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docProps/core.xml" ContentType="application/vnd.openxmlformats-package.core-properties+xml"/>
  <Override PartName="/xl/customProperty2.bin" ContentType="application/vnd.openxmlformats-officedocument.spreadsheetml.customProperty"/>
  <Override PartName="/docProps/app.xml" ContentType="application/vnd.openxmlformats-officedocument.extended-properties+xml"/>
  <Override PartName="/xl/customProperty14.bin" ContentType="application/vnd.openxmlformats-officedocument.spreadsheetml.customProperty"/>
  <Override PartName="/xl/calcChain.xml" ContentType="application/vnd.openxmlformats-officedocument.spreadsheetml.calcChain+xml"/>
  <Override PartName="/xl/externalLinks/externalLink1.xml" ContentType="application/vnd.openxmlformats-officedocument.spreadsheetml.externalLink+xml"/>
  <Override PartName="/xl/customProperty1.bin" ContentType="application/vnd.openxmlformats-officedocument.spreadsheetml.customProperty"/>
  <Override PartName="/xl/customProperty13.bin" ContentType="application/vnd.openxmlformats-officedocument.spreadsheetml.customProperty"/>
  <Override PartName="/xl/customProperty6.bin" ContentType="application/vnd.openxmlformats-officedocument.spreadsheetml.customProperty"/>
  <Override PartName="/xl/customProperty5.bin" ContentType="application/vnd.openxmlformats-officedocument.spreadsheetml.customProperty"/>
  <Override PartName="/xl/customProperty4.bin" ContentType="application/vnd.openxmlformats-officedocument.spreadsheetml.customProperty"/>
  <Override PartName="/xl/customProperty3.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12.bin" ContentType="application/vnd.openxmlformats-officedocument.spreadsheetml.customProperty"/>
  <Override PartName="/xl/customProperty11.bin" ContentType="application/vnd.openxmlformats-officedocument.spreadsheetml.customProperty"/>
  <Override PartName="/xl/customProperty10.bin" ContentType="application/vnd.openxmlformats-officedocument.spreadsheetml.customProperty"/>
  <Override PartName="/xl/customProperty9.bin" ContentType="application/vnd.openxmlformats-officedocument.spreadsheetml.customPropert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GrpRevnu\PUBLIC\Cost Recovery Mechanism for Gas (CRM)\2020 Filing\OCTOBER 16th 2020 CRM FILING\File to WUTC\"/>
    </mc:Choice>
  </mc:AlternateContent>
  <bookViews>
    <workbookView xWindow="-975" yWindow="195" windowWidth="17370" windowHeight="4965" tabRatio="817"/>
  </bookViews>
  <sheets>
    <sheet name="Summary" sheetId="67" r:id="rId1"/>
    <sheet name="Work Papers--&gt;" sheetId="27" r:id="rId2"/>
    <sheet name="2020 CAP CRM" sheetId="76" r:id="rId3"/>
    <sheet name="2020 C&amp;OM" sheetId="77" r:id="rId4"/>
    <sheet name="Summary Prog Orders" sheetId="84" r:id="rId5"/>
    <sheet name="CRM CAP Forecast" sheetId="71" r:id="rId6"/>
    <sheet name="2019 CRM+True Up " sheetId="74" r:id="rId7"/>
    <sheet name="2019 CRM Orig Flng" sheetId="83" r:id="rId8"/>
    <sheet name="2019TrueUp" sheetId="69" r:id="rId9"/>
    <sheet name="2017 CRM" sheetId="79" r:id="rId10"/>
    <sheet name="2018 CRM" sheetId="80" r:id="rId11"/>
    <sheet name="2017 4.01 G" sheetId="72" r:id="rId12"/>
    <sheet name="2019 GRC" sheetId="82" r:id="rId13"/>
    <sheet name="MACRS 20" sheetId="73" r:id="rId14"/>
  </sheets>
  <externalReferences>
    <externalReference r:id="rId15"/>
  </externalReferences>
  <calcPr calcId="162913"/>
</workbook>
</file>

<file path=xl/calcChain.xml><?xml version="1.0" encoding="utf-8"?>
<calcChain xmlns="http://schemas.openxmlformats.org/spreadsheetml/2006/main">
  <c r="E8" i="84" l="1"/>
  <c r="E7" i="84"/>
  <c r="E6" i="84"/>
  <c r="D7" i="84"/>
  <c r="D6" i="84"/>
  <c r="E17" i="77" l="1"/>
  <c r="F17" i="77" s="1"/>
  <c r="F8" i="84" l="1"/>
  <c r="E16" i="77" l="1"/>
  <c r="E15" i="77"/>
  <c r="E18" i="77" s="1"/>
  <c r="E4" i="77"/>
  <c r="E5" i="77"/>
  <c r="E15" i="84"/>
  <c r="D14" i="84"/>
  <c r="F14" i="84" s="1"/>
  <c r="D13" i="84"/>
  <c r="F13" i="84" s="1"/>
  <c r="E9" i="84"/>
  <c r="E17" i="84" s="1"/>
  <c r="F7" i="84"/>
  <c r="D15" i="77"/>
  <c r="D5" i="77" l="1"/>
  <c r="F15" i="84"/>
  <c r="D9" i="84"/>
  <c r="F6" i="84"/>
  <c r="F9" i="84" s="1"/>
  <c r="D4" i="77"/>
  <c r="D16" i="77"/>
  <c r="D18" i="77" s="1"/>
  <c r="D15" i="84"/>
  <c r="D17" i="84" l="1"/>
  <c r="F17" i="84"/>
  <c r="F66" i="74"/>
  <c r="G65" i="74"/>
  <c r="Y62" i="74"/>
  <c r="X62" i="74"/>
  <c r="W62" i="74"/>
  <c r="V62" i="74"/>
  <c r="U62" i="74"/>
  <c r="T62" i="74"/>
  <c r="S62" i="74"/>
  <c r="R62" i="74"/>
  <c r="Q62" i="74"/>
  <c r="P62" i="74"/>
  <c r="O62" i="74"/>
  <c r="N62" i="74"/>
  <c r="M62" i="74"/>
  <c r="L62" i="74"/>
  <c r="K62" i="74"/>
  <c r="J62" i="74"/>
  <c r="I62" i="74"/>
  <c r="H62" i="74"/>
  <c r="G62" i="74"/>
  <c r="F62" i="74"/>
  <c r="G16" i="74" l="1"/>
  <c r="G15" i="74"/>
  <c r="G12" i="74"/>
  <c r="G11" i="74"/>
  <c r="G13" i="74"/>
  <c r="D43" i="69" l="1"/>
  <c r="X62" i="83"/>
  <c r="T62" i="83"/>
  <c r="P62" i="83"/>
  <c r="L62" i="83"/>
  <c r="H62" i="83"/>
  <c r="Y62" i="83"/>
  <c r="W62" i="83"/>
  <c r="V62" i="83"/>
  <c r="U62" i="83"/>
  <c r="S62" i="83"/>
  <c r="R62" i="83"/>
  <c r="Q62" i="83"/>
  <c r="O62" i="83"/>
  <c r="N62" i="83"/>
  <c r="M62" i="83"/>
  <c r="K62" i="83"/>
  <c r="J62" i="83"/>
  <c r="I62" i="83"/>
  <c r="G62" i="83"/>
  <c r="F62" i="83"/>
  <c r="E62" i="83"/>
  <c r="B62" i="83"/>
  <c r="AT57" i="83"/>
  <c r="AU56" i="83"/>
  <c r="AU55" i="83"/>
  <c r="AU51" i="83"/>
  <c r="AU50" i="83"/>
  <c r="AU41" i="83"/>
  <c r="AU40" i="83"/>
  <c r="AU36" i="83"/>
  <c r="A29" i="83"/>
  <c r="A32" i="83" s="1"/>
  <c r="A33" i="83" s="1"/>
  <c r="A34" i="83" s="1"/>
  <c r="A35" i="83" s="1"/>
  <c r="A37" i="83" s="1"/>
  <c r="A38" i="83" s="1"/>
  <c r="A39" i="83" s="1"/>
  <c r="A40" i="83" s="1"/>
  <c r="A41" i="83" s="1"/>
  <c r="A42" i="83" s="1"/>
  <c r="A43" i="83" s="1"/>
  <c r="A44" i="83" s="1"/>
  <c r="A45" i="83" s="1"/>
  <c r="A46" i="83" s="1"/>
  <c r="A47" i="83" s="1"/>
  <c r="A48" i="83" s="1"/>
  <c r="A49" i="83" s="1"/>
  <c r="A50" i="83" s="1"/>
  <c r="A51" i="83" s="1"/>
  <c r="A52" i="83" s="1"/>
  <c r="A53" i="83" s="1"/>
  <c r="A54" i="83" s="1"/>
  <c r="A55" i="83" s="1"/>
  <c r="A56" i="83" s="1"/>
  <c r="A57" i="83" s="1"/>
  <c r="A58" i="83" s="1"/>
  <c r="A59" i="83" s="1"/>
  <c r="A60" i="83" s="1"/>
  <c r="A61" i="83" s="1"/>
  <c r="A62" i="83" s="1"/>
  <c r="A63" i="83" s="1"/>
  <c r="A64" i="83" s="1"/>
  <c r="A65" i="83" s="1"/>
  <c r="A66" i="83" s="1"/>
  <c r="AR58" i="83"/>
  <c r="AM27" i="83"/>
  <c r="D28" i="69"/>
  <c r="E28" i="69" s="1"/>
  <c r="F13" i="83"/>
  <c r="D13" i="83"/>
  <c r="AD27" i="83" l="1"/>
  <c r="AB58" i="83"/>
  <c r="F27" i="83"/>
  <c r="F57" i="83" s="1"/>
  <c r="AL27" i="83"/>
  <c r="AL57" i="83" s="1"/>
  <c r="V27" i="83"/>
  <c r="N27" i="83"/>
  <c r="I27" i="83"/>
  <c r="I57" i="83" s="1"/>
  <c r="Q27" i="83"/>
  <c r="Q57" i="83" s="1"/>
  <c r="Y27" i="83"/>
  <c r="AG27" i="83"/>
  <c r="AG57" i="83" s="1"/>
  <c r="AO27" i="83"/>
  <c r="AO57" i="83" s="1"/>
  <c r="J27" i="83"/>
  <c r="J57" i="83" s="1"/>
  <c r="R27" i="83"/>
  <c r="Z27" i="83"/>
  <c r="Z57" i="83" s="1"/>
  <c r="AH27" i="83"/>
  <c r="AH57" i="83" s="1"/>
  <c r="AP27" i="83"/>
  <c r="AP57" i="83" s="1"/>
  <c r="AJ58" i="83"/>
  <c r="E27" i="83"/>
  <c r="D8" i="69" s="1"/>
  <c r="M27" i="83"/>
  <c r="U27" i="83"/>
  <c r="AC27" i="83"/>
  <c r="AC57" i="83" s="1"/>
  <c r="AK27" i="83"/>
  <c r="AK57" i="83" s="1"/>
  <c r="AP66" i="83"/>
  <c r="AM57" i="83"/>
  <c r="Y57" i="83"/>
  <c r="N57" i="83"/>
  <c r="V57" i="83"/>
  <c r="AD57" i="83"/>
  <c r="R57" i="83"/>
  <c r="M57" i="83"/>
  <c r="U57" i="83"/>
  <c r="AS57" i="83"/>
  <c r="G27" i="83"/>
  <c r="K27" i="83"/>
  <c r="O27" i="83"/>
  <c r="S27" i="83"/>
  <c r="W27" i="83"/>
  <c r="AA27" i="83"/>
  <c r="AE27" i="83"/>
  <c r="AI27" i="83"/>
  <c r="AQ27" i="83"/>
  <c r="AV27" i="83"/>
  <c r="L58" i="83"/>
  <c r="AT58" i="83"/>
  <c r="AT59" i="83" s="1"/>
  <c r="AT60" i="83" s="1"/>
  <c r="AP58" i="83"/>
  <c r="AL58" i="83"/>
  <c r="AH58" i="83"/>
  <c r="AD58" i="83"/>
  <c r="Z58" i="83"/>
  <c r="V58" i="83"/>
  <c r="R58" i="83"/>
  <c r="R59" i="83" s="1"/>
  <c r="R60" i="83" s="1"/>
  <c r="N58" i="83"/>
  <c r="J58" i="83"/>
  <c r="F58" i="83"/>
  <c r="AS58" i="83"/>
  <c r="AO58" i="83"/>
  <c r="AK58" i="83"/>
  <c r="AG58" i="83"/>
  <c r="AC58" i="83"/>
  <c r="Y58" i="83"/>
  <c r="Y59" i="83" s="1"/>
  <c r="Y60" i="83" s="1"/>
  <c r="U58" i="83"/>
  <c r="Q58" i="83"/>
  <c r="M58" i="83"/>
  <c r="I58" i="83"/>
  <c r="E58" i="83"/>
  <c r="D39" i="69" s="1"/>
  <c r="AQ58" i="83"/>
  <c r="AM58" i="83"/>
  <c r="AM59" i="83" s="1"/>
  <c r="AM60" i="83" s="1"/>
  <c r="AI58" i="83"/>
  <c r="AE58" i="83"/>
  <c r="AA58" i="83"/>
  <c r="W58" i="83"/>
  <c r="S58" i="83"/>
  <c r="O58" i="83"/>
  <c r="K58" i="83"/>
  <c r="G58" i="83"/>
  <c r="AF58" i="83"/>
  <c r="P58" i="83"/>
  <c r="AN58" i="83"/>
  <c r="X58" i="83"/>
  <c r="H58" i="83"/>
  <c r="H27" i="83"/>
  <c r="L27" i="83"/>
  <c r="P27" i="83"/>
  <c r="T27" i="83"/>
  <c r="X27" i="83"/>
  <c r="AB27" i="83"/>
  <c r="AF27" i="83"/>
  <c r="AJ27" i="83"/>
  <c r="AN27" i="83"/>
  <c r="AR27" i="83"/>
  <c r="T58" i="83"/>
  <c r="Z59" i="83" l="1"/>
  <c r="Z60" i="83" s="1"/>
  <c r="J59" i="83"/>
  <c r="J60" i="83" s="1"/>
  <c r="AP59" i="83"/>
  <c r="AP60" i="83" s="1"/>
  <c r="I59" i="83"/>
  <c r="I60" i="83" s="1"/>
  <c r="AO59" i="83"/>
  <c r="AO60" i="83" s="1"/>
  <c r="M59" i="83"/>
  <c r="M60" i="83" s="1"/>
  <c r="AC59" i="83"/>
  <c r="AC60" i="83" s="1"/>
  <c r="AS59" i="83"/>
  <c r="AS60" i="83" s="1"/>
  <c r="AH59" i="83"/>
  <c r="AH60" i="83" s="1"/>
  <c r="E47" i="83"/>
  <c r="Q59" i="83"/>
  <c r="Q60" i="83" s="1"/>
  <c r="AG59" i="83"/>
  <c r="AG60" i="83" s="1"/>
  <c r="F59" i="83"/>
  <c r="F60" i="83" s="1"/>
  <c r="V59" i="83"/>
  <c r="V60" i="83" s="1"/>
  <c r="AL59" i="83"/>
  <c r="AL60" i="83" s="1"/>
  <c r="E57" i="83"/>
  <c r="D38" i="69" s="1"/>
  <c r="AF57" i="83"/>
  <c r="G57" i="83"/>
  <c r="G59" i="83" s="1"/>
  <c r="G60" i="83" s="1"/>
  <c r="AB57" i="83"/>
  <c r="AB59" i="83" s="1"/>
  <c r="AB60" i="83" s="1"/>
  <c r="L57" i="83"/>
  <c r="L59" i="83" s="1"/>
  <c r="L60" i="83" s="1"/>
  <c r="AF59" i="83"/>
  <c r="AF60" i="83" s="1"/>
  <c r="AI57" i="83"/>
  <c r="AI59" i="83" s="1"/>
  <c r="AI60" i="83" s="1"/>
  <c r="S57" i="83"/>
  <c r="S59" i="83" s="1"/>
  <c r="S60" i="83" s="1"/>
  <c r="AQ57" i="83"/>
  <c r="AQ59" i="83" s="1"/>
  <c r="AQ60" i="83" s="1"/>
  <c r="X57" i="83"/>
  <c r="X59" i="83" s="1"/>
  <c r="X60" i="83" s="1"/>
  <c r="H57" i="83"/>
  <c r="H59" i="83" s="1"/>
  <c r="H60" i="83" s="1"/>
  <c r="AU58" i="83"/>
  <c r="U59" i="83"/>
  <c r="U60" i="83" s="1"/>
  <c r="AK59" i="83"/>
  <c r="AK60" i="83" s="1"/>
  <c r="AE57" i="83"/>
  <c r="AE59" i="83" s="1"/>
  <c r="AE60" i="83" s="1"/>
  <c r="O57" i="83"/>
  <c r="O59" i="83" s="1"/>
  <c r="O60" i="83" s="1"/>
  <c r="P57" i="83"/>
  <c r="P59" i="83" s="1"/>
  <c r="P60" i="83" s="1"/>
  <c r="W57" i="83"/>
  <c r="W59" i="83" s="1"/>
  <c r="W60" i="83" s="1"/>
  <c r="AR57" i="83"/>
  <c r="AR59" i="83" s="1"/>
  <c r="AR60" i="83" s="1"/>
  <c r="AN57" i="83"/>
  <c r="AN59" i="83" s="1"/>
  <c r="AN60" i="83" s="1"/>
  <c r="AJ57" i="83"/>
  <c r="AJ59" i="83" s="1"/>
  <c r="AJ60" i="83" s="1"/>
  <c r="T57" i="83"/>
  <c r="T59" i="83" s="1"/>
  <c r="T60" i="83" s="1"/>
  <c r="N59" i="83"/>
  <c r="N60" i="83" s="1"/>
  <c r="AD59" i="83"/>
  <c r="AD60" i="83" s="1"/>
  <c r="AA57" i="83"/>
  <c r="AA59" i="83" s="1"/>
  <c r="AA60" i="83" s="1"/>
  <c r="K57" i="83"/>
  <c r="K59" i="83" s="1"/>
  <c r="K60" i="83" s="1"/>
  <c r="AU27" i="83"/>
  <c r="E59" i="83" l="1"/>
  <c r="D40" i="69" s="1"/>
  <c r="AU57" i="83"/>
  <c r="E60" i="83"/>
  <c r="X49" i="83" s="1"/>
  <c r="AU59" i="83"/>
  <c r="AB49" i="83" l="1"/>
  <c r="AK49" i="83"/>
  <c r="AD49" i="83"/>
  <c r="S49" i="83"/>
  <c r="S34" i="83" s="1"/>
  <c r="S52" i="83" s="1"/>
  <c r="O49" i="83"/>
  <c r="H49" i="83"/>
  <c r="AE49" i="83"/>
  <c r="AJ49" i="83"/>
  <c r="AJ34" i="83" s="1"/>
  <c r="AJ52" i="83" s="1"/>
  <c r="N49" i="83"/>
  <c r="P49" i="83"/>
  <c r="P32" i="83" s="1"/>
  <c r="AQ49" i="83"/>
  <c r="AQ34" i="83" s="1"/>
  <c r="AQ52" i="83" s="1"/>
  <c r="U49" i="83"/>
  <c r="U32" i="83" s="1"/>
  <c r="AN49" i="83"/>
  <c r="L49" i="83"/>
  <c r="L34" i="83" s="1"/>
  <c r="L52" i="83" s="1"/>
  <c r="D41" i="69"/>
  <c r="AA49" i="83"/>
  <c r="AA33" i="83" s="1"/>
  <c r="L32" i="83"/>
  <c r="H34" i="83"/>
  <c r="H52" i="83" s="1"/>
  <c r="H33" i="83"/>
  <c r="H32" i="83"/>
  <c r="AB34" i="83"/>
  <c r="AB52" i="83" s="1"/>
  <c r="AB33" i="83"/>
  <c r="AB32" i="83"/>
  <c r="U33" i="83"/>
  <c r="AN34" i="83"/>
  <c r="AN52" i="83" s="1"/>
  <c r="AN33" i="83"/>
  <c r="AN32" i="83"/>
  <c r="P34" i="83"/>
  <c r="P52" i="83" s="1"/>
  <c r="P33" i="83"/>
  <c r="X34" i="83"/>
  <c r="X52" i="83" s="1"/>
  <c r="X33" i="83"/>
  <c r="X32" i="83"/>
  <c r="AQ32" i="83"/>
  <c r="AK34" i="83"/>
  <c r="AK52" i="83" s="1"/>
  <c r="AK33" i="83"/>
  <c r="AK32" i="83"/>
  <c r="N34" i="83"/>
  <c r="N52" i="83" s="1"/>
  <c r="N33" i="83"/>
  <c r="N32" i="83"/>
  <c r="AE34" i="83"/>
  <c r="AE52" i="83" s="1"/>
  <c r="AE33" i="83"/>
  <c r="AE32" i="83"/>
  <c r="W49" i="83"/>
  <c r="O34" i="83"/>
  <c r="O52" i="83" s="1"/>
  <c r="O33" i="83"/>
  <c r="O32" i="83"/>
  <c r="AJ32" i="83"/>
  <c r="AD34" i="83"/>
  <c r="AD52" i="83" s="1"/>
  <c r="AD33" i="83"/>
  <c r="AD32" i="83"/>
  <c r="AU60" i="83"/>
  <c r="E48" i="83"/>
  <c r="E49" i="83"/>
  <c r="D30" i="69" s="1"/>
  <c r="I49" i="83"/>
  <c r="AT49" i="83"/>
  <c r="V49" i="83"/>
  <c r="AS49" i="83"/>
  <c r="Y49" i="83"/>
  <c r="AG49" i="83"/>
  <c r="AM49" i="83"/>
  <c r="AP49" i="83"/>
  <c r="AF49" i="83"/>
  <c r="AC49" i="83"/>
  <c r="AH49" i="83"/>
  <c r="AO49" i="83"/>
  <c r="J49" i="83"/>
  <c r="G49" i="83"/>
  <c r="AL49" i="83"/>
  <c r="R49" i="83"/>
  <c r="F49" i="83"/>
  <c r="Z49" i="83"/>
  <c r="Q49" i="83"/>
  <c r="M49" i="83"/>
  <c r="AR49" i="83"/>
  <c r="AI49" i="83"/>
  <c r="T49" i="83"/>
  <c r="K49" i="83"/>
  <c r="AJ33" i="83" l="1"/>
  <c r="U34" i="83"/>
  <c r="U52" i="83" s="1"/>
  <c r="S32" i="83"/>
  <c r="AQ33" i="83"/>
  <c r="AQ35" i="83" s="1"/>
  <c r="S33" i="83"/>
  <c r="AA34" i="83"/>
  <c r="AA52" i="83" s="1"/>
  <c r="L33" i="83"/>
  <c r="O35" i="83"/>
  <c r="AE35" i="83"/>
  <c r="X35" i="83"/>
  <c r="AB35" i="83"/>
  <c r="AA32" i="83"/>
  <c r="AA35" i="83" s="1"/>
  <c r="U35" i="83"/>
  <c r="L35" i="83"/>
  <c r="AR34" i="83"/>
  <c r="AR52" i="83" s="1"/>
  <c r="AR33" i="83"/>
  <c r="AR32" i="83"/>
  <c r="R34" i="83"/>
  <c r="R52" i="83" s="1"/>
  <c r="R32" i="83"/>
  <c r="R33" i="83"/>
  <c r="AP34" i="83"/>
  <c r="AP52" i="83" s="1"/>
  <c r="AP33" i="83"/>
  <c r="AP32" i="83"/>
  <c r="AU49" i="83"/>
  <c r="E33" i="83"/>
  <c r="D14" i="69" s="1"/>
  <c r="E32" i="83"/>
  <c r="E34" i="83"/>
  <c r="D15" i="69" s="1"/>
  <c r="AK53" i="83"/>
  <c r="AK29" i="83" s="1"/>
  <c r="H53" i="83"/>
  <c r="H29" i="83" s="1"/>
  <c r="Q34" i="83"/>
  <c r="Q52" i="83" s="1"/>
  <c r="Q33" i="83"/>
  <c r="Q32" i="83"/>
  <c r="AL34" i="83"/>
  <c r="AL52" i="83" s="1"/>
  <c r="AL33" i="83"/>
  <c r="AL32" i="83"/>
  <c r="AH34" i="83"/>
  <c r="AH52" i="83" s="1"/>
  <c r="AH32" i="83"/>
  <c r="AH33" i="83"/>
  <c r="AM34" i="83"/>
  <c r="AM52" i="83" s="1"/>
  <c r="AM33" i="83"/>
  <c r="AM32" i="83"/>
  <c r="V34" i="83"/>
  <c r="V52" i="83" s="1"/>
  <c r="V33" i="83"/>
  <c r="V32" i="83"/>
  <c r="AD53" i="83"/>
  <c r="AD29" i="83" s="1"/>
  <c r="N53" i="83"/>
  <c r="N29" i="83" s="1"/>
  <c r="P53" i="83"/>
  <c r="P29" i="83" s="1"/>
  <c r="S53" i="83"/>
  <c r="S29" i="83" s="1"/>
  <c r="K34" i="83"/>
  <c r="K52" i="83" s="1"/>
  <c r="K33" i="83"/>
  <c r="K32" i="83"/>
  <c r="M34" i="83"/>
  <c r="M52" i="83" s="1"/>
  <c r="M32" i="83"/>
  <c r="M33" i="83"/>
  <c r="AO34" i="83"/>
  <c r="AO52" i="83" s="1"/>
  <c r="AO33" i="83"/>
  <c r="AO32" i="83"/>
  <c r="AS34" i="83"/>
  <c r="AS52" i="83" s="1"/>
  <c r="AS32" i="83"/>
  <c r="AS33" i="83"/>
  <c r="AJ53" i="83"/>
  <c r="AJ29" i="83" s="1"/>
  <c r="AN53" i="83"/>
  <c r="AN29" i="83" s="1"/>
  <c r="T34" i="83"/>
  <c r="T52" i="83" s="1"/>
  <c r="T33" i="83"/>
  <c r="T32" i="83"/>
  <c r="AI34" i="83"/>
  <c r="AI52" i="83" s="1"/>
  <c r="AI33" i="83"/>
  <c r="AI32" i="83"/>
  <c r="Z34" i="83"/>
  <c r="Z52" i="83" s="1"/>
  <c r="Z32" i="83"/>
  <c r="Z33" i="83"/>
  <c r="G34" i="83"/>
  <c r="G52" i="83" s="1"/>
  <c r="G33" i="83"/>
  <c r="G32" i="83"/>
  <c r="AC34" i="83"/>
  <c r="AC52" i="83" s="1"/>
  <c r="AC32" i="83"/>
  <c r="AC33" i="83"/>
  <c r="AG32" i="83"/>
  <c r="AG33" i="83"/>
  <c r="AG34" i="83"/>
  <c r="AG52" i="83" s="1"/>
  <c r="AT34" i="83"/>
  <c r="AT52" i="83" s="1"/>
  <c r="AT33" i="83"/>
  <c r="AT32" i="83"/>
  <c r="AJ35" i="83"/>
  <c r="O53" i="83"/>
  <c r="O29" i="83" s="1"/>
  <c r="AE53" i="83"/>
  <c r="AE29" i="83" s="1"/>
  <c r="AE37" i="83" s="1"/>
  <c r="AK35" i="83"/>
  <c r="X53" i="83"/>
  <c r="X29" i="83" s="1"/>
  <c r="X37" i="83" s="1"/>
  <c r="AN35" i="83"/>
  <c r="AB53" i="83"/>
  <c r="AB29" i="83" s="1"/>
  <c r="AB37" i="83" s="1"/>
  <c r="AB54" i="83"/>
  <c r="H35" i="83"/>
  <c r="F34" i="83"/>
  <c r="F52" i="83" s="1"/>
  <c r="F33" i="83"/>
  <c r="F32" i="83"/>
  <c r="J34" i="83"/>
  <c r="J52" i="83" s="1"/>
  <c r="J32" i="83"/>
  <c r="J33" i="83"/>
  <c r="AF34" i="83"/>
  <c r="AF52" i="83" s="1"/>
  <c r="AF33" i="83"/>
  <c r="AF32" i="83"/>
  <c r="Y34" i="83"/>
  <c r="Y52" i="83" s="1"/>
  <c r="Y32" i="83"/>
  <c r="Y33" i="83"/>
  <c r="I34" i="83"/>
  <c r="I52" i="83" s="1"/>
  <c r="I32" i="83"/>
  <c r="I33" i="83"/>
  <c r="AD35" i="83"/>
  <c r="AA53" i="83"/>
  <c r="AA29" i="83" s="1"/>
  <c r="W34" i="83"/>
  <c r="W52" i="83" s="1"/>
  <c r="W33" i="83"/>
  <c r="W32" i="83"/>
  <c r="N35" i="83"/>
  <c r="AQ53" i="83"/>
  <c r="AQ29" i="83" s="1"/>
  <c r="P35" i="83"/>
  <c r="U53" i="83"/>
  <c r="U29" i="83" s="1"/>
  <c r="S35" i="83"/>
  <c r="L53" i="83"/>
  <c r="L29" i="83" s="1"/>
  <c r="L37" i="83" s="1"/>
  <c r="AQ37" i="83" l="1"/>
  <c r="O37" i="83"/>
  <c r="AA37" i="83"/>
  <c r="AA38" i="83" s="1"/>
  <c r="AA39" i="83" s="1"/>
  <c r="AA42" i="83" s="1"/>
  <c r="AA45" i="83" s="1"/>
  <c r="AR35" i="83"/>
  <c r="AD37" i="83"/>
  <c r="Y35" i="83"/>
  <c r="F35" i="83"/>
  <c r="X54" i="83"/>
  <c r="V35" i="83"/>
  <c r="Q35" i="83"/>
  <c r="AQ54" i="83"/>
  <c r="S37" i="83"/>
  <c r="S38" i="83" s="1"/>
  <c r="S39" i="83" s="1"/>
  <c r="S42" i="83" s="1"/>
  <c r="S45" i="83" s="1"/>
  <c r="AG35" i="83"/>
  <c r="G35" i="83"/>
  <c r="Z35" i="83"/>
  <c r="AN37" i="83"/>
  <c r="AN38" i="83" s="1"/>
  <c r="AN39" i="83" s="1"/>
  <c r="AN42" i="83" s="1"/>
  <c r="AN45" i="83" s="1"/>
  <c r="K35" i="83"/>
  <c r="AL35" i="83"/>
  <c r="H54" i="83"/>
  <c r="U37" i="83"/>
  <c r="U38" i="83" s="1"/>
  <c r="U39" i="83" s="1"/>
  <c r="U42" i="83" s="1"/>
  <c r="U45" i="83" s="1"/>
  <c r="L54" i="83"/>
  <c r="T35" i="83"/>
  <c r="AJ54" i="83"/>
  <c r="N37" i="83"/>
  <c r="N38" i="83" s="1"/>
  <c r="AF53" i="83"/>
  <c r="AF29" i="83" s="1"/>
  <c r="AI53" i="83"/>
  <c r="AI29" i="83" s="1"/>
  <c r="M53" i="83"/>
  <c r="M29" i="83" s="1"/>
  <c r="AH53" i="83"/>
  <c r="AH29" i="83" s="1"/>
  <c r="Y53" i="83"/>
  <c r="Y29" i="83" s="1"/>
  <c r="Y37" i="83" s="1"/>
  <c r="O54" i="83"/>
  <c r="Z53" i="83"/>
  <c r="Z29" i="83" s="1"/>
  <c r="AS35" i="83"/>
  <c r="AO53" i="83"/>
  <c r="AO29" i="83" s="1"/>
  <c r="S54" i="83"/>
  <c r="AM53" i="83"/>
  <c r="AM29" i="83" s="1"/>
  <c r="AU33" i="83"/>
  <c r="I53" i="83"/>
  <c r="I29" i="83" s="1"/>
  <c r="J35" i="83"/>
  <c r="G53" i="83"/>
  <c r="G29" i="83" s="1"/>
  <c r="AS53" i="83"/>
  <c r="AS29" i="83" s="1"/>
  <c r="AS37" i="83" s="1"/>
  <c r="AD38" i="83"/>
  <c r="AD39" i="83" s="1"/>
  <c r="AD42" i="83" s="1"/>
  <c r="AD45" i="83" s="1"/>
  <c r="V53" i="83"/>
  <c r="V29" i="83" s="1"/>
  <c r="Q53" i="83"/>
  <c r="Q29" i="83" s="1"/>
  <c r="Q37" i="83" s="1"/>
  <c r="AK54" i="83"/>
  <c r="W53" i="83"/>
  <c r="W29" i="83" s="1"/>
  <c r="O38" i="83"/>
  <c r="O39" i="83" s="1"/>
  <c r="O42" i="83" s="1"/>
  <c r="O45" i="83" s="1"/>
  <c r="AU32" i="83"/>
  <c r="E35" i="83"/>
  <c r="D16" i="69" s="1"/>
  <c r="R53" i="83"/>
  <c r="R29" i="83" s="1"/>
  <c r="U54" i="83"/>
  <c r="I35" i="83"/>
  <c r="AB38" i="83"/>
  <c r="AB39" i="83" s="1"/>
  <c r="AB42" i="83" s="1"/>
  <c r="AB45" i="83" s="1"/>
  <c r="AT53" i="83"/>
  <c r="AT29" i="83" s="1"/>
  <c r="AN54" i="83"/>
  <c r="N54" i="83"/>
  <c r="AK37" i="83"/>
  <c r="AP53" i="83"/>
  <c r="AP29" i="83" s="1"/>
  <c r="L38" i="83"/>
  <c r="L39" i="83" s="1"/>
  <c r="L42" i="83" s="1"/>
  <c r="L45" i="83" s="1"/>
  <c r="W35" i="83"/>
  <c r="AA54" i="83"/>
  <c r="AF35" i="83"/>
  <c r="F53" i="83"/>
  <c r="F29" i="83" s="1"/>
  <c r="F37" i="83" s="1"/>
  <c r="AE38" i="83"/>
  <c r="AE39" i="83" s="1"/>
  <c r="AE42" i="83" s="1"/>
  <c r="AE45" i="83" s="1"/>
  <c r="AG53" i="83"/>
  <c r="AG29" i="83" s="1"/>
  <c r="AG37" i="83" s="1"/>
  <c r="AC35" i="83"/>
  <c r="AI35" i="83"/>
  <c r="P37" i="83"/>
  <c r="AQ38" i="83"/>
  <c r="AQ39" i="83" s="1"/>
  <c r="AQ42" i="83" s="1"/>
  <c r="AQ45" i="83" s="1"/>
  <c r="J53" i="83"/>
  <c r="J29" i="83" s="1"/>
  <c r="X38" i="83"/>
  <c r="X39" i="83" s="1"/>
  <c r="X42" i="83" s="1"/>
  <c r="X45" i="83" s="1"/>
  <c r="AE54" i="83"/>
  <c r="AT35" i="83"/>
  <c r="AC53" i="83"/>
  <c r="AC29" i="83" s="1"/>
  <c r="AC37" i="83" s="1"/>
  <c r="T53" i="83"/>
  <c r="T29" i="83" s="1"/>
  <c r="T37" i="83" s="1"/>
  <c r="AJ37" i="83"/>
  <c r="AO35" i="83"/>
  <c r="M35" i="83"/>
  <c r="K53" i="83"/>
  <c r="K29" i="83" s="1"/>
  <c r="K37" i="83" s="1"/>
  <c r="P54" i="83"/>
  <c r="AD54" i="83"/>
  <c r="AM35" i="83"/>
  <c r="AH35" i="83"/>
  <c r="AL53" i="83"/>
  <c r="AL29" i="83" s="1"/>
  <c r="H37" i="83"/>
  <c r="E52" i="83"/>
  <c r="AU34" i="83"/>
  <c r="AP35" i="83"/>
  <c r="R35" i="83"/>
  <c r="AR53" i="83"/>
  <c r="AR29" i="83" s="1"/>
  <c r="AR54" i="83"/>
  <c r="AR37" i="83" l="1"/>
  <c r="Z37" i="83"/>
  <c r="V37" i="83"/>
  <c r="N39" i="83"/>
  <c r="N42" i="83" s="1"/>
  <c r="N45" i="83" s="1"/>
  <c r="Z54" i="83"/>
  <c r="R37" i="83"/>
  <c r="R38" i="83" s="1"/>
  <c r="R39" i="83" s="1"/>
  <c r="R42" i="83" s="1"/>
  <c r="R45" i="83" s="1"/>
  <c r="AO37" i="83"/>
  <c r="D33" i="69"/>
  <c r="AL37" i="83"/>
  <c r="AL38" i="83" s="1"/>
  <c r="AL39" i="83" s="1"/>
  <c r="AL42" i="83" s="1"/>
  <c r="AL45" i="83" s="1"/>
  <c r="J54" i="83"/>
  <c r="AT37" i="83"/>
  <c r="AT38" i="83" s="1"/>
  <c r="AT39" i="83" s="1"/>
  <c r="AT42" i="83" s="1"/>
  <c r="AT45" i="83" s="1"/>
  <c r="Q54" i="83"/>
  <c r="G37" i="83"/>
  <c r="G38" i="83" s="1"/>
  <c r="G39" i="83" s="1"/>
  <c r="G42" i="83" s="1"/>
  <c r="G45" i="83" s="1"/>
  <c r="AM37" i="83"/>
  <c r="T38" i="83"/>
  <c r="T39" i="83" s="1"/>
  <c r="T42" i="83" s="1"/>
  <c r="T45" i="83" s="1"/>
  <c r="AI37" i="83"/>
  <c r="AL54" i="83"/>
  <c r="R54" i="83"/>
  <c r="V38" i="83"/>
  <c r="V39" i="83" s="1"/>
  <c r="V42" i="83" s="1"/>
  <c r="V45" i="83" s="1"/>
  <c r="AO54" i="83"/>
  <c r="AI54" i="83"/>
  <c r="E53" i="83"/>
  <c r="D34" i="69" s="1"/>
  <c r="AU52" i="83"/>
  <c r="AJ38" i="83"/>
  <c r="AJ39" i="83" s="1"/>
  <c r="AJ42" i="83" s="1"/>
  <c r="AJ45" i="83" s="1"/>
  <c r="AC54" i="83"/>
  <c r="F38" i="83"/>
  <c r="F39" i="83" s="1"/>
  <c r="F42" i="83" s="1"/>
  <c r="F45" i="83" s="1"/>
  <c r="AP54" i="83"/>
  <c r="W37" i="83"/>
  <c r="AS54" i="83"/>
  <c r="AO38" i="83"/>
  <c r="AO39" i="83" s="1"/>
  <c r="AO42" i="83" s="1"/>
  <c r="AO45" i="83" s="1"/>
  <c r="AC38" i="83"/>
  <c r="AC39" i="83" s="1"/>
  <c r="AC42" i="83" s="1"/>
  <c r="AC45" i="83" s="1"/>
  <c r="AP37" i="83"/>
  <c r="AS38" i="83"/>
  <c r="AS39" i="83" s="1"/>
  <c r="AS42" i="83" s="1"/>
  <c r="AS45" i="83" s="1"/>
  <c r="AR38" i="83"/>
  <c r="AR39" i="83" s="1"/>
  <c r="AR42" i="83" s="1"/>
  <c r="AR45" i="83" s="1"/>
  <c r="K38" i="83"/>
  <c r="K39" i="83" s="1"/>
  <c r="K42" i="83" s="1"/>
  <c r="K45" i="83" s="1"/>
  <c r="AG38" i="83"/>
  <c r="AG39" i="83" s="1"/>
  <c r="AG42" i="83" s="1"/>
  <c r="AG45" i="83" s="1"/>
  <c r="AU35" i="83"/>
  <c r="V54" i="83"/>
  <c r="I37" i="83"/>
  <c r="AM54" i="83"/>
  <c r="Y38" i="83"/>
  <c r="Y39" i="83" s="1"/>
  <c r="Y42" i="83" s="1"/>
  <c r="Y45" i="83" s="1"/>
  <c r="AH37" i="83"/>
  <c r="M37" i="83"/>
  <c r="AF37" i="83"/>
  <c r="H38" i="83"/>
  <c r="H39" i="83" s="1"/>
  <c r="H42" i="83" s="1"/>
  <c r="H45" i="83" s="1"/>
  <c r="K54" i="83"/>
  <c r="T54" i="83"/>
  <c r="J37" i="83"/>
  <c r="P38" i="83"/>
  <c r="P39" i="83" s="1"/>
  <c r="P42" i="83" s="1"/>
  <c r="P45" i="83" s="1"/>
  <c r="AG54" i="83"/>
  <c r="F54" i="83"/>
  <c r="AK38" i="83"/>
  <c r="AK39" i="83" s="1"/>
  <c r="AK42" i="83" s="1"/>
  <c r="AK45" i="83" s="1"/>
  <c r="AT54" i="83"/>
  <c r="W54" i="83"/>
  <c r="Q38" i="83"/>
  <c r="Q39" i="83" s="1"/>
  <c r="Q42" i="83" s="1"/>
  <c r="Q45" i="83" s="1"/>
  <c r="G54" i="83"/>
  <c r="I54" i="83"/>
  <c r="Z38" i="83"/>
  <c r="Z39" i="83" s="1"/>
  <c r="Z42" i="83" s="1"/>
  <c r="Z45" i="83" s="1"/>
  <c r="Y54" i="83"/>
  <c r="AH54" i="83"/>
  <c r="M54" i="83"/>
  <c r="AF54" i="83"/>
  <c r="E54" i="83" l="1"/>
  <c r="AM38" i="83"/>
  <c r="AM39" i="83" s="1"/>
  <c r="AM42" i="83" s="1"/>
  <c r="AM45" i="83" s="1"/>
  <c r="D35" i="69"/>
  <c r="AI38" i="83"/>
  <c r="AI39" i="83" s="1"/>
  <c r="AI42" i="83" s="1"/>
  <c r="AI45" i="83" s="1"/>
  <c r="AF38" i="83"/>
  <c r="AF39" i="83"/>
  <c r="AF42" i="83" s="1"/>
  <c r="AF45" i="83" s="1"/>
  <c r="AU54" i="83"/>
  <c r="M38" i="83"/>
  <c r="M39" i="83" s="1"/>
  <c r="M42" i="83" s="1"/>
  <c r="M45" i="83" s="1"/>
  <c r="AH38" i="83"/>
  <c r="AH39" i="83" s="1"/>
  <c r="AH42" i="83" s="1"/>
  <c r="AH45" i="83" s="1"/>
  <c r="I38" i="83"/>
  <c r="I39" i="83" s="1"/>
  <c r="I42" i="83" s="1"/>
  <c r="I45" i="83" s="1"/>
  <c r="J38" i="83"/>
  <c r="J39" i="83" s="1"/>
  <c r="J42" i="83" s="1"/>
  <c r="J45" i="83" s="1"/>
  <c r="AP38" i="83"/>
  <c r="AP39" i="83" s="1"/>
  <c r="AP42" i="83" s="1"/>
  <c r="AP45" i="83" s="1"/>
  <c r="W38" i="83"/>
  <c r="W39" i="83" s="1"/>
  <c r="W42" i="83" s="1"/>
  <c r="W45" i="83" s="1"/>
  <c r="AU53" i="83"/>
  <c r="E29" i="83"/>
  <c r="D10" i="69" s="1"/>
  <c r="AU29" i="83" l="1"/>
  <c r="E37" i="83"/>
  <c r="D18" i="69" s="1"/>
  <c r="E38" i="83" l="1"/>
  <c r="AU37" i="83"/>
  <c r="AU38" i="83" l="1"/>
  <c r="D19" i="69"/>
  <c r="D20" i="69" s="1"/>
  <c r="D23" i="69" s="1"/>
  <c r="E39" i="83"/>
  <c r="E42" i="83" l="1"/>
  <c r="AU39" i="83"/>
  <c r="E45" i="83" l="1"/>
  <c r="AU42" i="83"/>
  <c r="E26" i="69" l="1"/>
  <c r="D26" i="69"/>
  <c r="F16" i="76"/>
  <c r="F15" i="76"/>
  <c r="F12" i="76"/>
  <c r="F11" i="76"/>
  <c r="E12" i="76"/>
  <c r="E11" i="76"/>
  <c r="D12" i="76"/>
  <c r="D11" i="76"/>
  <c r="F24" i="77"/>
  <c r="E9" i="71" l="1"/>
  <c r="E13" i="71" s="1"/>
  <c r="D10" i="71" l="1"/>
  <c r="C10" i="71"/>
  <c r="E6" i="77" l="1"/>
  <c r="F5" i="77" l="1"/>
  <c r="W62" i="80" l="1"/>
  <c r="S62" i="80"/>
  <c r="P62" i="80"/>
  <c r="O62" i="80"/>
  <c r="L62" i="80"/>
  <c r="K62" i="80"/>
  <c r="H62" i="80"/>
  <c r="G62" i="80"/>
  <c r="Y62" i="80"/>
  <c r="X62" i="80"/>
  <c r="V62" i="80"/>
  <c r="U62" i="80"/>
  <c r="T62" i="80"/>
  <c r="R62" i="80"/>
  <c r="Q62" i="80"/>
  <c r="N62" i="80"/>
  <c r="M62" i="80"/>
  <c r="J62" i="80"/>
  <c r="I62" i="80"/>
  <c r="F62" i="80"/>
  <c r="E62" i="80"/>
  <c r="B62" i="80"/>
  <c r="AT56" i="80"/>
  <c r="AT55" i="80"/>
  <c r="AT51" i="80"/>
  <c r="AT50" i="80"/>
  <c r="AT41" i="80"/>
  <c r="AT40" i="80"/>
  <c r="A40" i="80"/>
  <c r="A41" i="80" s="1"/>
  <c r="A42" i="80" s="1"/>
  <c r="A43" i="80" s="1"/>
  <c r="A44" i="80" s="1"/>
  <c r="A45" i="80" s="1"/>
  <c r="A46" i="80" s="1"/>
  <c r="A47" i="80" s="1"/>
  <c r="A48" i="80" s="1"/>
  <c r="A49" i="80" s="1"/>
  <c r="A50" i="80" s="1"/>
  <c r="A51" i="80" s="1"/>
  <c r="A52" i="80" s="1"/>
  <c r="A53" i="80" s="1"/>
  <c r="A54" i="80" s="1"/>
  <c r="A55" i="80" s="1"/>
  <c r="A56" i="80" s="1"/>
  <c r="A57" i="80" s="1"/>
  <c r="A58" i="80" s="1"/>
  <c r="A59" i="80" s="1"/>
  <c r="A60" i="80" s="1"/>
  <c r="A61" i="80" s="1"/>
  <c r="A62" i="80" s="1"/>
  <c r="A63" i="80" s="1"/>
  <c r="A64" i="80" s="1"/>
  <c r="A65" i="80" s="1"/>
  <c r="A66" i="80" s="1"/>
  <c r="AT36" i="80"/>
  <c r="A34" i="80"/>
  <c r="A35" i="80" s="1"/>
  <c r="A37" i="80" s="1"/>
  <c r="A38" i="80" s="1"/>
  <c r="A39" i="80" s="1"/>
  <c r="A29" i="80"/>
  <c r="AS57" i="80"/>
  <c r="M9" i="80"/>
  <c r="M10" i="80" s="1"/>
  <c r="M11" i="80" s="1"/>
  <c r="M12" i="80" s="1"/>
  <c r="M13" i="80" s="1"/>
  <c r="M14" i="80" s="1"/>
  <c r="M15" i="80" s="1"/>
  <c r="M16" i="80" s="1"/>
  <c r="M17" i="80" s="1"/>
  <c r="M18" i="80" s="1"/>
  <c r="M19" i="80" s="1"/>
  <c r="J13" i="80"/>
  <c r="H13" i="80"/>
  <c r="F13" i="80"/>
  <c r="D13" i="80"/>
  <c r="M8" i="80"/>
  <c r="X62" i="79"/>
  <c r="W62" i="79"/>
  <c r="V62" i="79"/>
  <c r="T62" i="79"/>
  <c r="S62" i="79"/>
  <c r="P62" i="79"/>
  <c r="O62" i="79"/>
  <c r="N62" i="79"/>
  <c r="L62" i="79"/>
  <c r="J62" i="79"/>
  <c r="H62" i="79"/>
  <c r="G62" i="79"/>
  <c r="Y62" i="79"/>
  <c r="U62" i="79"/>
  <c r="R62" i="79"/>
  <c r="Q62" i="79"/>
  <c r="M62" i="79"/>
  <c r="K62" i="79"/>
  <c r="I62" i="79"/>
  <c r="E62" i="79"/>
  <c r="B62" i="79"/>
  <c r="A29" i="79"/>
  <c r="A32" i="79" s="1"/>
  <c r="A33" i="79" s="1"/>
  <c r="A34" i="79" s="1"/>
  <c r="A35"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F58" i="79"/>
  <c r="AI27" i="79"/>
  <c r="Q13" i="79"/>
  <c r="J13" i="79"/>
  <c r="H13" i="79"/>
  <c r="F13" i="79"/>
  <c r="D13" i="79"/>
  <c r="Q12" i="79"/>
  <c r="Q11" i="79"/>
  <c r="Q10" i="79"/>
  <c r="Q9" i="79"/>
  <c r="Q8" i="79"/>
  <c r="T27" i="80" l="1"/>
  <c r="M27" i="79"/>
  <c r="M57" i="79" s="1"/>
  <c r="F27" i="79"/>
  <c r="F57" i="79" s="1"/>
  <c r="AO27" i="80"/>
  <c r="AO57" i="80" s="1"/>
  <c r="Q27" i="79"/>
  <c r="Q57" i="79" s="1"/>
  <c r="U27" i="79"/>
  <c r="U57" i="79" s="1"/>
  <c r="AC27" i="79"/>
  <c r="AC57" i="79" s="1"/>
  <c r="AG27" i="79"/>
  <c r="AG57" i="79" s="1"/>
  <c r="I27" i="79"/>
  <c r="I57" i="79" s="1"/>
  <c r="Y27" i="79"/>
  <c r="Y57" i="79" s="1"/>
  <c r="X58" i="79"/>
  <c r="AP66" i="79"/>
  <c r="K27" i="79"/>
  <c r="K57" i="79" s="1"/>
  <c r="S27" i="79"/>
  <c r="S57" i="79" s="1"/>
  <c r="AA27" i="79"/>
  <c r="AA57" i="79" s="1"/>
  <c r="AK27" i="79"/>
  <c r="AK57" i="79" s="1"/>
  <c r="AP66" i="80"/>
  <c r="E27" i="79"/>
  <c r="G27" i="79"/>
  <c r="G57" i="79" s="1"/>
  <c r="O27" i="79"/>
  <c r="O57" i="79" s="1"/>
  <c r="W27" i="79"/>
  <c r="W57" i="79" s="1"/>
  <c r="AE27" i="79"/>
  <c r="AE57" i="79" s="1"/>
  <c r="H58" i="79"/>
  <c r="F62" i="79"/>
  <c r="AI57" i="79"/>
  <c r="J27" i="79"/>
  <c r="N27" i="79"/>
  <c r="R27" i="79"/>
  <c r="V27" i="79"/>
  <c r="Z27" i="79"/>
  <c r="AD27" i="79"/>
  <c r="AH27" i="79"/>
  <c r="AL27" i="79"/>
  <c r="L58" i="79"/>
  <c r="AB58" i="79"/>
  <c r="AQ58" i="80"/>
  <c r="AM58" i="80"/>
  <c r="AI58" i="80"/>
  <c r="AE58" i="80"/>
  <c r="AA58" i="80"/>
  <c r="W58" i="80"/>
  <c r="S58" i="80"/>
  <c r="O58" i="80"/>
  <c r="K58" i="80"/>
  <c r="G58" i="80"/>
  <c r="AP58" i="80"/>
  <c r="AL58" i="80"/>
  <c r="AH58" i="80"/>
  <c r="AD58" i="80"/>
  <c r="Z58" i="80"/>
  <c r="V58" i="80"/>
  <c r="R58" i="80"/>
  <c r="N58" i="80"/>
  <c r="J58" i="80"/>
  <c r="F58" i="80"/>
  <c r="AS58" i="80"/>
  <c r="AS59" i="80" s="1"/>
  <c r="AS60" i="80" s="1"/>
  <c r="AO58" i="80"/>
  <c r="AK58" i="80"/>
  <c r="AG58" i="80"/>
  <c r="AC58" i="80"/>
  <c r="Y58" i="80"/>
  <c r="U58" i="80"/>
  <c r="Q58" i="80"/>
  <c r="M58" i="80"/>
  <c r="I58" i="80"/>
  <c r="E58" i="80"/>
  <c r="AJ58" i="80"/>
  <c r="T58" i="80"/>
  <c r="AQ27" i="80"/>
  <c r="AM27" i="80"/>
  <c r="AI27" i="80"/>
  <c r="AE27" i="80"/>
  <c r="AA27" i="80"/>
  <c r="W27" i="80"/>
  <c r="S27" i="80"/>
  <c r="O27" i="80"/>
  <c r="K27" i="80"/>
  <c r="G27" i="80"/>
  <c r="AF58" i="80"/>
  <c r="P58" i="80"/>
  <c r="AR58" i="80"/>
  <c r="AB58" i="80"/>
  <c r="L58" i="80"/>
  <c r="AN27" i="80"/>
  <c r="AH27" i="80"/>
  <c r="AC27" i="80"/>
  <c r="X27" i="80"/>
  <c r="R27" i="80"/>
  <c r="M27" i="80"/>
  <c r="H27" i="80"/>
  <c r="N5" i="80"/>
  <c r="AN58" i="80"/>
  <c r="AR27" i="80"/>
  <c r="AL27" i="80"/>
  <c r="AG27" i="80"/>
  <c r="AB27" i="80"/>
  <c r="V27" i="80"/>
  <c r="Q27" i="80"/>
  <c r="L27" i="80"/>
  <c r="F27" i="80"/>
  <c r="X58" i="80"/>
  <c r="AP27" i="80"/>
  <c r="AK27" i="80"/>
  <c r="AF27" i="80"/>
  <c r="Z27" i="80"/>
  <c r="U27" i="80"/>
  <c r="P27" i="80"/>
  <c r="J27" i="80"/>
  <c r="Y27" i="80"/>
  <c r="P58" i="79"/>
  <c r="I27" i="80"/>
  <c r="AD27" i="80"/>
  <c r="H58" i="80"/>
  <c r="E57" i="79"/>
  <c r="E47" i="79"/>
  <c r="T57" i="80"/>
  <c r="AM58" i="79"/>
  <c r="AI58" i="79"/>
  <c r="AI59" i="79" s="1"/>
  <c r="AI60" i="79" s="1"/>
  <c r="AE58" i="79"/>
  <c r="AE59" i="79" s="1"/>
  <c r="AE60" i="79" s="1"/>
  <c r="AA58" i="79"/>
  <c r="AA59" i="79" s="1"/>
  <c r="AA60" i="79" s="1"/>
  <c r="W58" i="79"/>
  <c r="S58" i="79"/>
  <c r="S59" i="79" s="1"/>
  <c r="S60" i="79" s="1"/>
  <c r="O58" i="79"/>
  <c r="K58" i="79"/>
  <c r="G58" i="79"/>
  <c r="G59" i="79" s="1"/>
  <c r="G60" i="79" s="1"/>
  <c r="AL58" i="79"/>
  <c r="AH58" i="79"/>
  <c r="AD58" i="79"/>
  <c r="Z58" i="79"/>
  <c r="V58" i="79"/>
  <c r="R58" i="79"/>
  <c r="N58" i="79"/>
  <c r="J58" i="79"/>
  <c r="F58" i="79"/>
  <c r="AK58" i="79"/>
  <c r="AG58" i="79"/>
  <c r="AG59" i="79" s="1"/>
  <c r="AG60" i="79" s="1"/>
  <c r="AC58" i="79"/>
  <c r="AC59" i="79" s="1"/>
  <c r="AC60" i="79" s="1"/>
  <c r="Y58" i="79"/>
  <c r="Y59" i="79" s="1"/>
  <c r="Y60" i="79" s="1"/>
  <c r="U58" i="79"/>
  <c r="U59" i="79" s="1"/>
  <c r="U60" i="79" s="1"/>
  <c r="Q58" i="79"/>
  <c r="M58" i="79"/>
  <c r="M59" i="79" s="1"/>
  <c r="M60" i="79" s="1"/>
  <c r="I58" i="79"/>
  <c r="E58" i="79"/>
  <c r="H27" i="79"/>
  <c r="L27" i="79"/>
  <c r="P27" i="79"/>
  <c r="T27" i="79"/>
  <c r="X27" i="79"/>
  <c r="AB27" i="79"/>
  <c r="AF27" i="79"/>
  <c r="AJ27" i="79"/>
  <c r="T58" i="79"/>
  <c r="AJ58" i="79"/>
  <c r="N27" i="80"/>
  <c r="AJ27" i="80"/>
  <c r="I59" i="79" l="1"/>
  <c r="I60" i="79" s="1"/>
  <c r="F59" i="79"/>
  <c r="F60" i="79" s="1"/>
  <c r="W59" i="79"/>
  <c r="W60" i="79" s="1"/>
  <c r="AO59" i="80"/>
  <c r="AO60" i="80" s="1"/>
  <c r="F47" i="79"/>
  <c r="Q59" i="79"/>
  <c r="Q60" i="79" s="1"/>
  <c r="K59" i="79"/>
  <c r="K60" i="79" s="1"/>
  <c r="E59" i="79"/>
  <c r="E60" i="79" s="1"/>
  <c r="F49" i="79" s="1"/>
  <c r="AK59" i="79"/>
  <c r="AK60" i="79" s="1"/>
  <c r="O59" i="79"/>
  <c r="O60" i="79" s="1"/>
  <c r="I57" i="80"/>
  <c r="I59" i="80" s="1"/>
  <c r="I60" i="80" s="1"/>
  <c r="Y57" i="80"/>
  <c r="Y59" i="80" s="1"/>
  <c r="Y60" i="80" s="1"/>
  <c r="L57" i="80"/>
  <c r="L59" i="80" s="1"/>
  <c r="L60" i="80" s="1"/>
  <c r="R57" i="80"/>
  <c r="AE57" i="80"/>
  <c r="AE59" i="80" s="1"/>
  <c r="AE60" i="80" s="1"/>
  <c r="R57" i="79"/>
  <c r="R59" i="79" s="1"/>
  <c r="R60" i="79" s="1"/>
  <c r="AB57" i="79"/>
  <c r="L57" i="79"/>
  <c r="L59" i="79" s="1"/>
  <c r="L60" i="79" s="1"/>
  <c r="G47" i="79"/>
  <c r="J57" i="80"/>
  <c r="AF57" i="80"/>
  <c r="Q57" i="80"/>
  <c r="Q59" i="80" s="1"/>
  <c r="Q60" i="80" s="1"/>
  <c r="AL57" i="80"/>
  <c r="N19" i="80"/>
  <c r="N17" i="80"/>
  <c r="N16" i="80"/>
  <c r="N15" i="80"/>
  <c r="N13" i="80"/>
  <c r="N11" i="80"/>
  <c r="N9" i="80"/>
  <c r="N18" i="80"/>
  <c r="N14" i="80"/>
  <c r="N12" i="80"/>
  <c r="N10" i="80"/>
  <c r="N8" i="80"/>
  <c r="X57" i="80"/>
  <c r="X59" i="80" s="1"/>
  <c r="X60" i="80" s="1"/>
  <c r="AF59" i="80"/>
  <c r="AF60" i="80" s="1"/>
  <c r="S57" i="80"/>
  <c r="S59" i="80" s="1"/>
  <c r="S60" i="80" s="1"/>
  <c r="AI57" i="80"/>
  <c r="AI59" i="80" s="1"/>
  <c r="AI60" i="80" s="1"/>
  <c r="R59" i="80"/>
  <c r="R60" i="80" s="1"/>
  <c r="AB59" i="79"/>
  <c r="AB60" i="79" s="1"/>
  <c r="AD57" i="79"/>
  <c r="N57" i="79"/>
  <c r="N59" i="79" s="1"/>
  <c r="N60" i="79" s="1"/>
  <c r="Z57" i="80"/>
  <c r="Z59" i="80" s="1"/>
  <c r="Z60" i="80" s="1"/>
  <c r="AG57" i="80"/>
  <c r="AG59" i="80" s="1"/>
  <c r="AG60" i="80" s="1"/>
  <c r="H57" i="79"/>
  <c r="H59" i="79" s="1"/>
  <c r="H60" i="79" s="1"/>
  <c r="P57" i="80"/>
  <c r="P59" i="80" s="1"/>
  <c r="P60" i="80" s="1"/>
  <c r="AK57" i="80"/>
  <c r="V57" i="80"/>
  <c r="V59" i="80" s="1"/>
  <c r="V60" i="80" s="1"/>
  <c r="AR57" i="80"/>
  <c r="AR59" i="80" s="1"/>
  <c r="AR60" i="80" s="1"/>
  <c r="H57" i="80"/>
  <c r="H59" i="80" s="1"/>
  <c r="H60" i="80" s="1"/>
  <c r="AC57" i="80"/>
  <c r="AC59" i="80" s="1"/>
  <c r="AC60" i="80" s="1"/>
  <c r="G57" i="80"/>
  <c r="G59" i="80" s="1"/>
  <c r="G60" i="80" s="1"/>
  <c r="W57" i="80"/>
  <c r="W59" i="80" s="1"/>
  <c r="W60" i="80" s="1"/>
  <c r="AM57" i="80"/>
  <c r="AL59" i="80"/>
  <c r="AL60" i="80" s="1"/>
  <c r="Z57" i="79"/>
  <c r="Z59" i="79" s="1"/>
  <c r="Z60" i="79" s="1"/>
  <c r="J57" i="79"/>
  <c r="AF57" i="79"/>
  <c r="AF59" i="79" s="1"/>
  <c r="AF60" i="79" s="1"/>
  <c r="P57" i="79"/>
  <c r="P59" i="79" s="1"/>
  <c r="P60" i="79" s="1"/>
  <c r="AN57" i="80"/>
  <c r="AN59" i="80" s="1"/>
  <c r="AN60" i="80" s="1"/>
  <c r="O57" i="80"/>
  <c r="O59" i="80" s="1"/>
  <c r="O60" i="80" s="1"/>
  <c r="AH57" i="79"/>
  <c r="AH59" i="79" s="1"/>
  <c r="AH60" i="79" s="1"/>
  <c r="AJ57" i="80"/>
  <c r="AJ59" i="80" s="1"/>
  <c r="AJ60" i="80" s="1"/>
  <c r="X57" i="79"/>
  <c r="X59" i="79" s="1"/>
  <c r="X60" i="79" s="1"/>
  <c r="J59" i="79"/>
  <c r="J60" i="79" s="1"/>
  <c r="N57" i="80"/>
  <c r="N59" i="80" s="1"/>
  <c r="N60" i="80" s="1"/>
  <c r="AJ57" i="79"/>
  <c r="AJ59" i="79" s="1"/>
  <c r="AJ60" i="79" s="1"/>
  <c r="T57" i="79"/>
  <c r="T59" i="79" s="1"/>
  <c r="T60" i="79" s="1"/>
  <c r="AD59" i="79"/>
  <c r="AD60" i="79" s="1"/>
  <c r="AD57" i="80"/>
  <c r="AD59" i="80" s="1"/>
  <c r="AD60" i="80" s="1"/>
  <c r="U57" i="80"/>
  <c r="U59" i="80" s="1"/>
  <c r="U60" i="80" s="1"/>
  <c r="AP57" i="80"/>
  <c r="AP59" i="80" s="1"/>
  <c r="AP60" i="80" s="1"/>
  <c r="F57" i="80"/>
  <c r="F59" i="80" s="1"/>
  <c r="F60" i="80" s="1"/>
  <c r="AB57" i="80"/>
  <c r="AB59" i="80" s="1"/>
  <c r="AB60" i="80" s="1"/>
  <c r="M57" i="80"/>
  <c r="M59" i="80" s="1"/>
  <c r="M60" i="80" s="1"/>
  <c r="AH57" i="80"/>
  <c r="AH59" i="80" s="1"/>
  <c r="AH60" i="80" s="1"/>
  <c r="K57" i="80"/>
  <c r="K59" i="80" s="1"/>
  <c r="K60" i="80" s="1"/>
  <c r="AA57" i="80"/>
  <c r="AA59" i="80" s="1"/>
  <c r="AA60" i="80" s="1"/>
  <c r="AQ57" i="80"/>
  <c r="AQ59" i="80" s="1"/>
  <c r="AQ60" i="80" s="1"/>
  <c r="T59" i="80"/>
  <c r="T60" i="80" s="1"/>
  <c r="AT58" i="80"/>
  <c r="AK59" i="80"/>
  <c r="AK60" i="80" s="1"/>
  <c r="J59" i="80"/>
  <c r="J60" i="80" s="1"/>
  <c r="AM59" i="80"/>
  <c r="AM60" i="80" s="1"/>
  <c r="AL57" i="79"/>
  <c r="AL59" i="79" s="1"/>
  <c r="AL60" i="79" s="1"/>
  <c r="V57" i="79"/>
  <c r="V59" i="79" s="1"/>
  <c r="V60" i="79" s="1"/>
  <c r="AM27" i="79"/>
  <c r="D4" i="69"/>
  <c r="I49" i="79" l="1"/>
  <c r="E49" i="79"/>
  <c r="G49" i="79"/>
  <c r="G33" i="79" s="1"/>
  <c r="F48" i="79"/>
  <c r="G48" i="79"/>
  <c r="J49" i="79"/>
  <c r="E48" i="79"/>
  <c r="F34" i="79"/>
  <c r="F52" i="79" s="1"/>
  <c r="F53" i="79" s="1"/>
  <c r="F29" i="79" s="1"/>
  <c r="F33" i="79"/>
  <c r="V49" i="79"/>
  <c r="P49" i="79"/>
  <c r="P34" i="79" s="1"/>
  <c r="P52" i="79" s="1"/>
  <c r="T49" i="79"/>
  <c r="T34" i="79" s="1"/>
  <c r="T52" i="79" s="1"/>
  <c r="R49" i="79"/>
  <c r="V34" i="79"/>
  <c r="V52" i="79" s="1"/>
  <c r="V33" i="79"/>
  <c r="V35" i="79" s="1"/>
  <c r="AH49" i="79"/>
  <c r="Z49" i="79"/>
  <c r="J34" i="79"/>
  <c r="J52" i="79" s="1"/>
  <c r="J33" i="79"/>
  <c r="R34" i="79"/>
  <c r="R52" i="79" s="1"/>
  <c r="R33" i="79"/>
  <c r="AL49" i="79"/>
  <c r="AJ49" i="79"/>
  <c r="X49" i="79"/>
  <c r="L49" i="79"/>
  <c r="AB49" i="79"/>
  <c r="AD49" i="79"/>
  <c r="AG49" i="79"/>
  <c r="AF49" i="79"/>
  <c r="AK49" i="79"/>
  <c r="AI49" i="79"/>
  <c r="K49" i="79"/>
  <c r="I33" i="79"/>
  <c r="I34" i="79"/>
  <c r="I52" i="79" s="1"/>
  <c r="AE49" i="79"/>
  <c r="N20" i="80"/>
  <c r="E27" i="80" s="1"/>
  <c r="U49" i="79"/>
  <c r="AA49" i="79"/>
  <c r="S49" i="79"/>
  <c r="AM57" i="79"/>
  <c r="AM59" i="79" s="1"/>
  <c r="AM60" i="79" s="1"/>
  <c r="AM49" i="79" s="1"/>
  <c r="AP27" i="79"/>
  <c r="M49" i="79"/>
  <c r="N49" i="79"/>
  <c r="Q49" i="79"/>
  <c r="L6" i="79"/>
  <c r="E34" i="79"/>
  <c r="E33" i="79"/>
  <c r="G34" i="79"/>
  <c r="G52" i="79" s="1"/>
  <c r="W49" i="79"/>
  <c r="Y49" i="79"/>
  <c r="O49" i="79"/>
  <c r="H49" i="79"/>
  <c r="AC49" i="79"/>
  <c r="AN27" i="79"/>
  <c r="AN28" i="79" s="1"/>
  <c r="T33" i="79" l="1"/>
  <c r="F35" i="79"/>
  <c r="I35" i="79"/>
  <c r="P33" i="79"/>
  <c r="P35" i="79" s="1"/>
  <c r="G53" i="79"/>
  <c r="G29" i="79" s="1"/>
  <c r="U33" i="79"/>
  <c r="U34" i="79"/>
  <c r="U52" i="79" s="1"/>
  <c r="J53" i="79"/>
  <c r="J29" i="79" s="1"/>
  <c r="Z34" i="79"/>
  <c r="Z52" i="79" s="1"/>
  <c r="Z33" i="79"/>
  <c r="Z35" i="79" s="1"/>
  <c r="AC34" i="79"/>
  <c r="AC52" i="79" s="1"/>
  <c r="AC33" i="79"/>
  <c r="AC35" i="79" s="1"/>
  <c r="Y34" i="79"/>
  <c r="Y52" i="79" s="1"/>
  <c r="Y33" i="79"/>
  <c r="E35" i="79"/>
  <c r="N34" i="79"/>
  <c r="N52" i="79" s="1"/>
  <c r="N33" i="79"/>
  <c r="E57" i="80"/>
  <c r="E47" i="80"/>
  <c r="AT27" i="80"/>
  <c r="K34" i="79"/>
  <c r="K52" i="79" s="1"/>
  <c r="K33" i="79"/>
  <c r="X34" i="79"/>
  <c r="X52" i="79" s="1"/>
  <c r="X33" i="79"/>
  <c r="R35" i="79"/>
  <c r="T35" i="79"/>
  <c r="P53" i="79"/>
  <c r="P29" i="79" s="1"/>
  <c r="Q34" i="79"/>
  <c r="Q52" i="79" s="1"/>
  <c r="Q33" i="79"/>
  <c r="AD34" i="79"/>
  <c r="AD52" i="79" s="1"/>
  <c r="AD33" i="79"/>
  <c r="E53" i="79"/>
  <c r="E29" i="79" s="1"/>
  <c r="E37" i="79" s="1"/>
  <c r="E52" i="79"/>
  <c r="S33" i="79"/>
  <c r="S34" i="79"/>
  <c r="S52" i="79" s="1"/>
  <c r="F37" i="79"/>
  <c r="AF34" i="79"/>
  <c r="AF52" i="79" s="1"/>
  <c r="AF33" i="79"/>
  <c r="AB34" i="79"/>
  <c r="AB52" i="79" s="1"/>
  <c r="AB33" i="79"/>
  <c r="AJ34" i="79"/>
  <c r="AJ52" i="79" s="1"/>
  <c r="AJ33" i="79"/>
  <c r="R53" i="79"/>
  <c r="R29" i="79" s="1"/>
  <c r="T53" i="79"/>
  <c r="T29" i="79" s="1"/>
  <c r="O34" i="79"/>
  <c r="O52" i="79" s="1"/>
  <c r="O33" i="79"/>
  <c r="W34" i="79"/>
  <c r="W52" i="79" s="1"/>
  <c r="W33" i="79"/>
  <c r="AM34" i="79"/>
  <c r="AM52" i="79" s="1"/>
  <c r="AM33" i="79"/>
  <c r="AE34" i="79"/>
  <c r="AE52" i="79" s="1"/>
  <c r="AE33" i="79"/>
  <c r="AI34" i="79"/>
  <c r="AI52" i="79" s="1"/>
  <c r="AI33" i="79"/>
  <c r="H34" i="79"/>
  <c r="H52" i="79" s="1"/>
  <c r="H33" i="79"/>
  <c r="G35" i="79"/>
  <c r="M34" i="79"/>
  <c r="M52" i="79" s="1"/>
  <c r="M33" i="79"/>
  <c r="AA34" i="79"/>
  <c r="AA52" i="79" s="1"/>
  <c r="AA33" i="79"/>
  <c r="I53" i="79"/>
  <c r="I29" i="79" s="1"/>
  <c r="I37" i="79" s="1"/>
  <c r="F54" i="79"/>
  <c r="AK34" i="79"/>
  <c r="AK52" i="79" s="1"/>
  <c r="AK33" i="79"/>
  <c r="AG34" i="79"/>
  <c r="AG52" i="79" s="1"/>
  <c r="AG33" i="79"/>
  <c r="L34" i="79"/>
  <c r="L52" i="79" s="1"/>
  <c r="L33" i="79"/>
  <c r="AL34" i="79"/>
  <c r="AL52" i="79" s="1"/>
  <c r="AL33" i="79"/>
  <c r="J35" i="79"/>
  <c r="AH34" i="79"/>
  <c r="AH52" i="79" s="1"/>
  <c r="AH33" i="79"/>
  <c r="AH35" i="79" s="1"/>
  <c r="V53" i="79"/>
  <c r="V29" i="79" s="1"/>
  <c r="V37" i="79" s="1"/>
  <c r="T54" i="79" l="1"/>
  <c r="R37" i="79"/>
  <c r="P37" i="79"/>
  <c r="K35" i="79"/>
  <c r="Y35" i="79"/>
  <c r="AL35" i="79"/>
  <c r="AG35" i="79"/>
  <c r="H35" i="79"/>
  <c r="AE35" i="79"/>
  <c r="W35" i="79"/>
  <c r="T37" i="79"/>
  <c r="T38" i="79" s="1"/>
  <c r="E54" i="79"/>
  <c r="Q35" i="79"/>
  <c r="N35" i="79"/>
  <c r="L35" i="79"/>
  <c r="AK35" i="79"/>
  <c r="I54" i="79"/>
  <c r="AI35" i="79"/>
  <c r="AM35" i="79"/>
  <c r="O35" i="79"/>
  <c r="AD35" i="79"/>
  <c r="S53" i="79"/>
  <c r="S29" i="79" s="1"/>
  <c r="AT57" i="80"/>
  <c r="E59" i="80"/>
  <c r="U53" i="79"/>
  <c r="U29" i="79" s="1"/>
  <c r="AL53" i="79"/>
  <c r="AL29" i="79" s="1"/>
  <c r="AL37" i="79" s="1"/>
  <c r="AL54" i="79"/>
  <c r="L53" i="79"/>
  <c r="L29" i="79" s="1"/>
  <c r="L37" i="79" s="1"/>
  <c r="AK53" i="79"/>
  <c r="AK29" i="79" s="1"/>
  <c r="AA35" i="79"/>
  <c r="AI53" i="79"/>
  <c r="AI29" i="79" s="1"/>
  <c r="AI37" i="79" s="1"/>
  <c r="AM53" i="79"/>
  <c r="AM29" i="79" s="1"/>
  <c r="AM37" i="79" s="1"/>
  <c r="O53" i="79"/>
  <c r="O29" i="79" s="1"/>
  <c r="AJ35" i="79"/>
  <c r="AF35" i="79"/>
  <c r="S35" i="79"/>
  <c r="AD53" i="79"/>
  <c r="AD29" i="79" s="1"/>
  <c r="X35" i="79"/>
  <c r="Y53" i="79"/>
  <c r="Y29" i="79" s="1"/>
  <c r="Y37" i="79" s="1"/>
  <c r="Z53" i="79"/>
  <c r="Z29" i="79" s="1"/>
  <c r="Z37" i="79" s="1"/>
  <c r="U35" i="79"/>
  <c r="M53" i="79"/>
  <c r="M29" i="79" s="1"/>
  <c r="AA53" i="79"/>
  <c r="AA29" i="79" s="1"/>
  <c r="AA37" i="79" s="1"/>
  <c r="AJ53" i="79"/>
  <c r="AJ29" i="79" s="1"/>
  <c r="AF53" i="79"/>
  <c r="AF29" i="79" s="1"/>
  <c r="P38" i="79"/>
  <c r="P39" i="79" s="1"/>
  <c r="P42" i="79" s="1"/>
  <c r="P45" i="79" s="1"/>
  <c r="X53" i="79"/>
  <c r="X29" i="79" s="1"/>
  <c r="N53" i="79"/>
  <c r="N29" i="79" s="1"/>
  <c r="N37" i="79" s="1"/>
  <c r="J37" i="79"/>
  <c r="G37" i="79"/>
  <c r="V38" i="79"/>
  <c r="V39" i="79" s="1"/>
  <c r="V42" i="79" s="1"/>
  <c r="V45" i="79" s="1"/>
  <c r="R38" i="79"/>
  <c r="R39" i="79" s="1"/>
  <c r="R42" i="79" s="1"/>
  <c r="R45" i="79" s="1"/>
  <c r="AB53" i="79"/>
  <c r="AB29" i="79" s="1"/>
  <c r="V54" i="79"/>
  <c r="AH53" i="79"/>
  <c r="AH29" i="79" s="1"/>
  <c r="AH37" i="79" s="1"/>
  <c r="AG53" i="79"/>
  <c r="AG29" i="79" s="1"/>
  <c r="AG37" i="79" s="1"/>
  <c r="I38" i="79"/>
  <c r="I39" i="79" s="1"/>
  <c r="I42" i="79" s="1"/>
  <c r="I45" i="79" s="1"/>
  <c r="M35" i="79"/>
  <c r="H53" i="79"/>
  <c r="H29" i="79" s="1"/>
  <c r="AE53" i="79"/>
  <c r="AE29" i="79" s="1"/>
  <c r="W53" i="79"/>
  <c r="W29" i="79" s="1"/>
  <c r="W37" i="79" s="1"/>
  <c r="R54" i="79"/>
  <c r="AB35" i="79"/>
  <c r="F38" i="79"/>
  <c r="F39" i="79" s="1"/>
  <c r="F42" i="79" s="1"/>
  <c r="F45" i="79" s="1"/>
  <c r="E38" i="79"/>
  <c r="E39" i="79" s="1"/>
  <c r="E42" i="79" s="1"/>
  <c r="E45" i="79" s="1"/>
  <c r="Q53" i="79"/>
  <c r="Q29" i="79" s="1"/>
  <c r="Q37" i="79" s="1"/>
  <c r="P54" i="79"/>
  <c r="K53" i="79"/>
  <c r="K29" i="79" s="1"/>
  <c r="AC53" i="79"/>
  <c r="AC29" i="79" s="1"/>
  <c r="AC37" i="79" s="1"/>
  <c r="J54" i="79"/>
  <c r="G54" i="79"/>
  <c r="E20" i="77"/>
  <c r="AF37" i="79" l="1"/>
  <c r="T39" i="79"/>
  <c r="T42" i="79" s="1"/>
  <c r="T45" i="79" s="1"/>
  <c r="AC54" i="79"/>
  <c r="K37" i="79"/>
  <c r="K54" i="79"/>
  <c r="H37" i="79"/>
  <c r="O37" i="79"/>
  <c r="O38" i="79" s="1"/>
  <c r="O39" i="79" s="1"/>
  <c r="O42" i="79" s="1"/>
  <c r="O45" i="79" s="1"/>
  <c r="AK37" i="79"/>
  <c r="AK38" i="79" s="1"/>
  <c r="AK39" i="79" s="1"/>
  <c r="AK42" i="79" s="1"/>
  <c r="AK45" i="79" s="1"/>
  <c r="AG54" i="79"/>
  <c r="AJ37" i="79"/>
  <c r="AD37" i="79"/>
  <c r="AD38" i="79" s="1"/>
  <c r="AD39" i="79" s="1"/>
  <c r="AD42" i="79" s="1"/>
  <c r="AD45" i="79" s="1"/>
  <c r="AM54" i="79"/>
  <c r="X37" i="79"/>
  <c r="X38" i="79" s="1"/>
  <c r="X39" i="79" s="1"/>
  <c r="X42" i="79" s="1"/>
  <c r="X45" i="79" s="1"/>
  <c r="AE37" i="79"/>
  <c r="Y54" i="79"/>
  <c r="W38" i="79"/>
  <c r="W39" i="79" s="1"/>
  <c r="W42" i="79" s="1"/>
  <c r="W45" i="79" s="1"/>
  <c r="AH38" i="79"/>
  <c r="AH39" i="79" s="1"/>
  <c r="AH42" i="79" s="1"/>
  <c r="AH45" i="79" s="1"/>
  <c r="E60" i="80"/>
  <c r="AT59" i="80"/>
  <c r="K38" i="79"/>
  <c r="K39" i="79" s="1"/>
  <c r="K42" i="79" s="1"/>
  <c r="K45" i="79" s="1"/>
  <c r="Q54" i="79"/>
  <c r="W54" i="79"/>
  <c r="H54" i="79"/>
  <c r="AG38" i="79"/>
  <c r="AG39" i="79" s="1"/>
  <c r="AG42" i="79" s="1"/>
  <c r="AG45" i="79" s="1"/>
  <c r="J38" i="79"/>
  <c r="J39" i="79" s="1"/>
  <c r="J42" i="79" s="1"/>
  <c r="J45" i="79" s="1"/>
  <c r="X54" i="79"/>
  <c r="AF54" i="79"/>
  <c r="AA54" i="79"/>
  <c r="Z38" i="79"/>
  <c r="Z39" i="79" s="1"/>
  <c r="Z42" i="79" s="1"/>
  <c r="Z45" i="79" s="1"/>
  <c r="AI38" i="79"/>
  <c r="AI39" i="79" s="1"/>
  <c r="AI42" i="79" s="1"/>
  <c r="AI45" i="79" s="1"/>
  <c r="AK54" i="79"/>
  <c r="AL38" i="79"/>
  <c r="AL39" i="79" s="1"/>
  <c r="AL42" i="79" s="1"/>
  <c r="AL45" i="79" s="1"/>
  <c r="H38" i="79"/>
  <c r="H39" i="79" s="1"/>
  <c r="H42" i="79" s="1"/>
  <c r="H45" i="79" s="1"/>
  <c r="AA38" i="79"/>
  <c r="AA39" i="79" s="1"/>
  <c r="AA42" i="79" s="1"/>
  <c r="AA45" i="79" s="1"/>
  <c r="AE38" i="79"/>
  <c r="AE39" i="79" s="1"/>
  <c r="AE42" i="79" s="1"/>
  <c r="AE45" i="79" s="1"/>
  <c r="AB37" i="79"/>
  <c r="AJ38" i="79"/>
  <c r="AJ39" i="79" s="1"/>
  <c r="AJ42" i="79" s="1"/>
  <c r="AJ45" i="79" s="1"/>
  <c r="M37" i="79"/>
  <c r="Z54" i="79"/>
  <c r="O54" i="79"/>
  <c r="AI54" i="79"/>
  <c r="L38" i="79"/>
  <c r="L39" i="79" s="1"/>
  <c r="L42" i="79" s="1"/>
  <c r="L45" i="79" s="1"/>
  <c r="U37" i="79"/>
  <c r="S37" i="79"/>
  <c r="Q38" i="79"/>
  <c r="Q39" i="79" s="1"/>
  <c r="Q42" i="79" s="1"/>
  <c r="Q45" i="79" s="1"/>
  <c r="G38" i="79"/>
  <c r="G39" i="79" s="1"/>
  <c r="G42" i="79" s="1"/>
  <c r="G45" i="79" s="1"/>
  <c r="AF38" i="79"/>
  <c r="AF39" i="79" s="1"/>
  <c r="AF42" i="79" s="1"/>
  <c r="AF45" i="79" s="1"/>
  <c r="N38" i="79"/>
  <c r="N39" i="79" s="1"/>
  <c r="N42" i="79" s="1"/>
  <c r="N45" i="79" s="1"/>
  <c r="AC38" i="79"/>
  <c r="AC39" i="79" s="1"/>
  <c r="AC42" i="79" s="1"/>
  <c r="AC45" i="79" s="1"/>
  <c r="AE54" i="79"/>
  <c r="AH54" i="79"/>
  <c r="AB54" i="79"/>
  <c r="N54" i="79"/>
  <c r="AJ54" i="79"/>
  <c r="M54" i="79"/>
  <c r="Y38" i="79"/>
  <c r="Y39" i="79" s="1"/>
  <c r="Y42" i="79" s="1"/>
  <c r="Y45" i="79" s="1"/>
  <c r="AD54" i="79"/>
  <c r="AM38" i="79"/>
  <c r="AM39" i="79" s="1"/>
  <c r="AM42" i="79" s="1"/>
  <c r="AM45" i="79" s="1"/>
  <c r="L54" i="79"/>
  <c r="U54" i="79"/>
  <c r="S54" i="79"/>
  <c r="AT60" i="80" l="1"/>
  <c r="E48" i="80"/>
  <c r="O49" i="80"/>
  <c r="G49" i="80"/>
  <c r="P49" i="80"/>
  <c r="Y49" i="80"/>
  <c r="AM49" i="80"/>
  <c r="AR49" i="80"/>
  <c r="T49" i="80"/>
  <c r="AH49" i="80"/>
  <c r="AG49" i="80"/>
  <c r="AD49" i="80"/>
  <c r="AI49" i="80"/>
  <c r="V49" i="80"/>
  <c r="J49" i="80"/>
  <c r="L49" i="80"/>
  <c r="AE49" i="80"/>
  <c r="AS49" i="80"/>
  <c r="AO49" i="80"/>
  <c r="N49" i="80"/>
  <c r="AA49" i="80"/>
  <c r="AN49" i="80"/>
  <c r="AL49" i="80"/>
  <c r="H49" i="80"/>
  <c r="AQ49" i="80"/>
  <c r="E49" i="80"/>
  <c r="AK49" i="80"/>
  <c r="M49" i="80"/>
  <c r="Z49" i="80"/>
  <c r="AF49" i="80"/>
  <c r="AP49" i="80"/>
  <c r="AJ49" i="80"/>
  <c r="U49" i="80"/>
  <c r="R49" i="80"/>
  <c r="AB49" i="80"/>
  <c r="Q49" i="80"/>
  <c r="K49" i="80"/>
  <c r="F49" i="80"/>
  <c r="S49" i="80"/>
  <c r="X49" i="80"/>
  <c r="W49" i="80"/>
  <c r="I49" i="80"/>
  <c r="AC49" i="80"/>
  <c r="AB38" i="79"/>
  <c r="AB39" i="79" s="1"/>
  <c r="AB42" i="79" s="1"/>
  <c r="AB45" i="79" s="1"/>
  <c r="S38" i="79"/>
  <c r="S39" i="79" s="1"/>
  <c r="S42" i="79" s="1"/>
  <c r="S45" i="79" s="1"/>
  <c r="U38" i="79"/>
  <c r="U39" i="79" s="1"/>
  <c r="U42" i="79" s="1"/>
  <c r="U45" i="79" s="1"/>
  <c r="M38" i="79"/>
  <c r="M39" i="79" s="1"/>
  <c r="M42" i="79" s="1"/>
  <c r="M45" i="79" s="1"/>
  <c r="F4" i="77"/>
  <c r="F6" i="77" s="1"/>
  <c r="F16" i="77"/>
  <c r="E31" i="76"/>
  <c r="F9" i="77" l="1"/>
  <c r="F10" i="77"/>
  <c r="Q34" i="80"/>
  <c r="Q52" i="80" s="1"/>
  <c r="Q33" i="80"/>
  <c r="Q35" i="80" s="1"/>
  <c r="H33" i="80"/>
  <c r="H34" i="80"/>
  <c r="H52" i="80" s="1"/>
  <c r="AR34" i="80"/>
  <c r="AR52" i="80" s="1"/>
  <c r="AR33" i="80"/>
  <c r="AR35" i="80" s="1"/>
  <c r="S34" i="80"/>
  <c r="S52" i="80" s="1"/>
  <c r="S33" i="80"/>
  <c r="S35" i="80" s="1"/>
  <c r="AB34" i="80"/>
  <c r="AB52" i="80" s="1"/>
  <c r="AB33" i="80"/>
  <c r="AB35" i="80" s="1"/>
  <c r="AP33" i="80"/>
  <c r="AP34" i="80"/>
  <c r="AP52" i="80" s="1"/>
  <c r="AK34" i="80"/>
  <c r="AK52" i="80" s="1"/>
  <c r="AK33" i="80"/>
  <c r="AK35" i="80" s="1"/>
  <c r="AL33" i="80"/>
  <c r="AL34" i="80"/>
  <c r="AL52" i="80" s="1"/>
  <c r="AO34" i="80"/>
  <c r="AO52" i="80" s="1"/>
  <c r="AO33" i="80"/>
  <c r="AO35" i="80" s="1"/>
  <c r="J33" i="80"/>
  <c r="J34" i="80"/>
  <c r="J52" i="80" s="1"/>
  <c r="AG34" i="80"/>
  <c r="AG52" i="80" s="1"/>
  <c r="AG33" i="80"/>
  <c r="AG35" i="80" s="1"/>
  <c r="AM34" i="80"/>
  <c r="AM52" i="80" s="1"/>
  <c r="AM33" i="80"/>
  <c r="AM35" i="80" s="1"/>
  <c r="O34" i="80"/>
  <c r="O52" i="80" s="1"/>
  <c r="O33" i="80"/>
  <c r="O35" i="80" s="1"/>
  <c r="X33" i="80"/>
  <c r="X34" i="80"/>
  <c r="X52" i="80" s="1"/>
  <c r="M34" i="80"/>
  <c r="M52" i="80" s="1"/>
  <c r="M33" i="80"/>
  <c r="M35" i="80" s="1"/>
  <c r="L34" i="80"/>
  <c r="L52" i="80" s="1"/>
  <c r="L33" i="80"/>
  <c r="L35" i="80" s="1"/>
  <c r="G34" i="80"/>
  <c r="G52" i="80" s="1"/>
  <c r="G33" i="80"/>
  <c r="G35" i="80" s="1"/>
  <c r="I34" i="80"/>
  <c r="I52" i="80" s="1"/>
  <c r="I33" i="80"/>
  <c r="I35" i="80" s="1"/>
  <c r="F33" i="80"/>
  <c r="F34" i="80"/>
  <c r="F52" i="80" s="1"/>
  <c r="R33" i="80"/>
  <c r="R34" i="80"/>
  <c r="R52" i="80" s="1"/>
  <c r="AF34" i="80"/>
  <c r="AF52" i="80" s="1"/>
  <c r="AF33" i="80"/>
  <c r="AF35" i="80" s="1"/>
  <c r="AT49" i="80"/>
  <c r="E34" i="80"/>
  <c r="E33" i="80"/>
  <c r="AN34" i="80"/>
  <c r="AN52" i="80" s="1"/>
  <c r="AN33" i="80"/>
  <c r="AS33" i="80"/>
  <c r="AS34" i="80"/>
  <c r="AS52" i="80" s="1"/>
  <c r="V33" i="80"/>
  <c r="V35" i="80" s="1"/>
  <c r="V34" i="80"/>
  <c r="V52" i="80" s="1"/>
  <c r="AH33" i="80"/>
  <c r="AH34" i="80"/>
  <c r="AH52" i="80" s="1"/>
  <c r="Y34" i="80"/>
  <c r="Y52" i="80" s="1"/>
  <c r="Y33" i="80"/>
  <c r="AJ34" i="80"/>
  <c r="AJ52" i="80" s="1"/>
  <c r="AJ33" i="80"/>
  <c r="N33" i="80"/>
  <c r="N35" i="80" s="1"/>
  <c r="N34" i="80"/>
  <c r="N52" i="80" s="1"/>
  <c r="AD33" i="80"/>
  <c r="AD34" i="80"/>
  <c r="AD52" i="80" s="1"/>
  <c r="AC34" i="80"/>
  <c r="AC52" i="80" s="1"/>
  <c r="AC33" i="80"/>
  <c r="W34" i="80"/>
  <c r="W52" i="80" s="1"/>
  <c r="W33" i="80"/>
  <c r="K34" i="80"/>
  <c r="K52" i="80" s="1"/>
  <c r="K33" i="80"/>
  <c r="U34" i="80"/>
  <c r="U52" i="80" s="1"/>
  <c r="U33" i="80"/>
  <c r="Z33" i="80"/>
  <c r="Z35" i="80" s="1"/>
  <c r="Z34" i="80"/>
  <c r="Z52" i="80" s="1"/>
  <c r="AQ34" i="80"/>
  <c r="AQ52" i="80" s="1"/>
  <c r="AQ33" i="80"/>
  <c r="AA34" i="80"/>
  <c r="AA52" i="80" s="1"/>
  <c r="AA33" i="80"/>
  <c r="AE34" i="80"/>
  <c r="AE52" i="80" s="1"/>
  <c r="AE33" i="80"/>
  <c r="AI34" i="80"/>
  <c r="AI52" i="80" s="1"/>
  <c r="AI33" i="80"/>
  <c r="T34" i="80"/>
  <c r="T52" i="80" s="1"/>
  <c r="T33" i="80"/>
  <c r="P34" i="80"/>
  <c r="P52" i="80" s="1"/>
  <c r="P33" i="80"/>
  <c r="F15" i="77"/>
  <c r="F18" i="77" s="1"/>
  <c r="F25" i="77" s="1"/>
  <c r="D6" i="77"/>
  <c r="F14" i="77"/>
  <c r="D20" i="77" l="1"/>
  <c r="F20" i="77" s="1"/>
  <c r="AD35" i="80"/>
  <c r="AH35" i="80"/>
  <c r="AS35" i="80"/>
  <c r="P35" i="80"/>
  <c r="AI35" i="80"/>
  <c r="AE53" i="80"/>
  <c r="AE29" i="80" s="1"/>
  <c r="W53" i="80"/>
  <c r="W29" i="80" s="1"/>
  <c r="E52" i="80"/>
  <c r="AT34" i="80"/>
  <c r="AL53" i="80"/>
  <c r="AL29" i="80" s="1"/>
  <c r="H53" i="80"/>
  <c r="H29" i="80" s="1"/>
  <c r="H54" i="80"/>
  <c r="AA35" i="80"/>
  <c r="Z53" i="80"/>
  <c r="Z29" i="80" s="1"/>
  <c r="Z37" i="80" s="1"/>
  <c r="K35" i="80"/>
  <c r="AC35" i="80"/>
  <c r="N53" i="80"/>
  <c r="N29" i="80" s="1"/>
  <c r="N37" i="80" s="1"/>
  <c r="Y35" i="80"/>
  <c r="V53" i="80"/>
  <c r="V29" i="80" s="1"/>
  <c r="V37" i="80" s="1"/>
  <c r="V54" i="80"/>
  <c r="AN35" i="80"/>
  <c r="R35" i="80"/>
  <c r="I53" i="80"/>
  <c r="I29" i="80" s="1"/>
  <c r="I37" i="80" s="1"/>
  <c r="L53" i="80"/>
  <c r="L29" i="80" s="1"/>
  <c r="L37" i="80" s="1"/>
  <c r="X35" i="80"/>
  <c r="AM53" i="80"/>
  <c r="AM29" i="80" s="1"/>
  <c r="AM37" i="80" s="1"/>
  <c r="J35" i="80"/>
  <c r="AL35" i="80"/>
  <c r="AP35" i="80"/>
  <c r="S53" i="80"/>
  <c r="S29" i="80" s="1"/>
  <c r="S37" i="80" s="1"/>
  <c r="H35" i="80"/>
  <c r="AQ53" i="80"/>
  <c r="AQ29" i="80" s="1"/>
  <c r="AJ53" i="80"/>
  <c r="AJ29" i="80" s="1"/>
  <c r="R53" i="80"/>
  <c r="R29" i="80" s="1"/>
  <c r="X53" i="80"/>
  <c r="X29" i="80" s="1"/>
  <c r="AP53" i="80"/>
  <c r="AP29" i="80" s="1"/>
  <c r="P53" i="80"/>
  <c r="P29" i="80" s="1"/>
  <c r="AA53" i="80"/>
  <c r="AA29" i="80" s="1"/>
  <c r="K53" i="80"/>
  <c r="K29" i="80" s="1"/>
  <c r="AN53" i="80"/>
  <c r="AN29" i="80" s="1"/>
  <c r="F53" i="80"/>
  <c r="F29" i="80" s="1"/>
  <c r="T53" i="80"/>
  <c r="T29" i="80" s="1"/>
  <c r="U53" i="80"/>
  <c r="U29" i="80" s="1"/>
  <c r="J53" i="80"/>
  <c r="J29" i="80" s="1"/>
  <c r="J37" i="80" s="1"/>
  <c r="AI53" i="80"/>
  <c r="AI29" i="80" s="1"/>
  <c r="AI37" i="80" s="1"/>
  <c r="AC53" i="80"/>
  <c r="AC29" i="80" s="1"/>
  <c r="Y53" i="80"/>
  <c r="Y29" i="80" s="1"/>
  <c r="T35" i="80"/>
  <c r="AE35" i="80"/>
  <c r="AQ35" i="80"/>
  <c r="U35" i="80"/>
  <c r="W35" i="80"/>
  <c r="AD53" i="80"/>
  <c r="AD29" i="80" s="1"/>
  <c r="AD37" i="80" s="1"/>
  <c r="AJ35" i="80"/>
  <c r="AH53" i="80"/>
  <c r="AH29" i="80" s="1"/>
  <c r="AH37" i="80" s="1"/>
  <c r="AS53" i="80"/>
  <c r="AS29" i="80" s="1"/>
  <c r="AS37" i="80" s="1"/>
  <c r="AT33" i="80"/>
  <c r="E35" i="80"/>
  <c r="AF53" i="80"/>
  <c r="AF29" i="80" s="1"/>
  <c r="AF37" i="80" s="1"/>
  <c r="F35" i="80"/>
  <c r="G53" i="80"/>
  <c r="G29" i="80" s="1"/>
  <c r="G37" i="80" s="1"/>
  <c r="M53" i="80"/>
  <c r="M29" i="80" s="1"/>
  <c r="M37" i="80" s="1"/>
  <c r="O53" i="80"/>
  <c r="O29" i="80" s="1"/>
  <c r="O37" i="80" s="1"/>
  <c r="AG53" i="80"/>
  <c r="AG29" i="80" s="1"/>
  <c r="AG37" i="80" s="1"/>
  <c r="AO53" i="80"/>
  <c r="AO29" i="80" s="1"/>
  <c r="AO37" i="80" s="1"/>
  <c r="AK53" i="80"/>
  <c r="AK29" i="80" s="1"/>
  <c r="AK37" i="80" s="1"/>
  <c r="AB53" i="80"/>
  <c r="AB29" i="80" s="1"/>
  <c r="AB37" i="80" s="1"/>
  <c r="AR53" i="80"/>
  <c r="AR29" i="80" s="1"/>
  <c r="AR37" i="80" s="1"/>
  <c r="Q53" i="80"/>
  <c r="Q29" i="80" s="1"/>
  <c r="Q37" i="80" s="1"/>
  <c r="P37" i="80" l="1"/>
  <c r="AN37" i="80"/>
  <c r="Y37" i="80"/>
  <c r="AC37" i="80"/>
  <c r="AA37" i="80"/>
  <c r="R37" i="80"/>
  <c r="R38" i="80" s="1"/>
  <c r="R39" i="80" s="1"/>
  <c r="R42" i="80" s="1"/>
  <c r="R45" i="80" s="1"/>
  <c r="S54" i="80"/>
  <c r="AS54" i="80"/>
  <c r="AE54" i="80"/>
  <c r="O54" i="80"/>
  <c r="AC54" i="80"/>
  <c r="U54" i="80"/>
  <c r="K37" i="80"/>
  <c r="X37" i="80"/>
  <c r="L54" i="80"/>
  <c r="AB54" i="80"/>
  <c r="G54" i="80"/>
  <c r="AQ37" i="80"/>
  <c r="AQ38" i="80" s="1"/>
  <c r="AQ39" i="80" s="1"/>
  <c r="AQ42" i="80" s="1"/>
  <c r="AQ45" i="80" s="1"/>
  <c r="AL54" i="80"/>
  <c r="W54" i="80"/>
  <c r="AR54" i="80"/>
  <c r="AD54" i="80"/>
  <c r="Y54" i="80"/>
  <c r="AJ54" i="80"/>
  <c r="AP37" i="80"/>
  <c r="AG38" i="80"/>
  <c r="AG39" i="80" s="1"/>
  <c r="AG42" i="80" s="1"/>
  <c r="AG45" i="80" s="1"/>
  <c r="AN38" i="80"/>
  <c r="AN39" i="80" s="1"/>
  <c r="AN42" i="80" s="1"/>
  <c r="AN45" i="80" s="1"/>
  <c r="AM38" i="80"/>
  <c r="AM39" i="80" s="1"/>
  <c r="AM42" i="80" s="1"/>
  <c r="AM45" i="80" s="1"/>
  <c r="Z38" i="80"/>
  <c r="Z39" i="80" s="1"/>
  <c r="Z42" i="80" s="1"/>
  <c r="Z45" i="80" s="1"/>
  <c r="AR38" i="80"/>
  <c r="AR39" i="80" s="1"/>
  <c r="AR42" i="80" s="1"/>
  <c r="AR45" i="80" s="1"/>
  <c r="AK54" i="80"/>
  <c r="AG54" i="80"/>
  <c r="M54" i="80"/>
  <c r="AF54" i="80"/>
  <c r="AS38" i="80"/>
  <c r="AS39" i="80" s="1"/>
  <c r="AS42" i="80" s="1"/>
  <c r="AS45" i="80" s="1"/>
  <c r="Y38" i="80"/>
  <c r="Y39" i="80" s="1"/>
  <c r="Y42" i="80" s="1"/>
  <c r="Y45" i="80" s="1"/>
  <c r="AI54" i="80"/>
  <c r="U37" i="80"/>
  <c r="F54" i="80"/>
  <c r="K54" i="80"/>
  <c r="P54" i="80"/>
  <c r="X54" i="80"/>
  <c r="I54" i="80"/>
  <c r="V38" i="80"/>
  <c r="V39" i="80" s="1"/>
  <c r="V42" i="80" s="1"/>
  <c r="V45" i="80" s="1"/>
  <c r="AL37" i="80"/>
  <c r="W37" i="80"/>
  <c r="AK38" i="80"/>
  <c r="AK39" i="80" s="1"/>
  <c r="AK42" i="80" s="1"/>
  <c r="AK45" i="80" s="1"/>
  <c r="J38" i="80"/>
  <c r="J39" i="80" s="1"/>
  <c r="J42" i="80" s="1"/>
  <c r="J45" i="80" s="1"/>
  <c r="I38" i="80"/>
  <c r="I39" i="80" s="1"/>
  <c r="I42" i="80" s="1"/>
  <c r="I45" i="80" s="1"/>
  <c r="Q38" i="80"/>
  <c r="Q39" i="80" s="1"/>
  <c r="Q42" i="80" s="1"/>
  <c r="Q45" i="80" s="1"/>
  <c r="AF38" i="80"/>
  <c r="AF39" i="80" s="1"/>
  <c r="AF42" i="80" s="1"/>
  <c r="AF45" i="80" s="1"/>
  <c r="AI38" i="80"/>
  <c r="AI39" i="80" s="1"/>
  <c r="AI42" i="80" s="1"/>
  <c r="AI45" i="80" s="1"/>
  <c r="F37" i="80"/>
  <c r="K38" i="80"/>
  <c r="K39" i="80" s="1"/>
  <c r="K42" i="80" s="1"/>
  <c r="K45" i="80" s="1"/>
  <c r="P38" i="80"/>
  <c r="P39" i="80" s="1"/>
  <c r="P42" i="80" s="1"/>
  <c r="P45" i="80" s="1"/>
  <c r="X38" i="80"/>
  <c r="X39" i="80" s="1"/>
  <c r="X42" i="80" s="1"/>
  <c r="X45" i="80" s="1"/>
  <c r="AJ37" i="80"/>
  <c r="M38" i="80"/>
  <c r="M39" i="80" s="1"/>
  <c r="M42" i="80" s="1"/>
  <c r="M45" i="80" s="1"/>
  <c r="AH38" i="80"/>
  <c r="AH39" i="80" s="1"/>
  <c r="AH42" i="80" s="1"/>
  <c r="AH45" i="80" s="1"/>
  <c r="T37" i="80"/>
  <c r="AA38" i="80"/>
  <c r="AA39" i="80" s="1"/>
  <c r="AA42" i="80" s="1"/>
  <c r="AA45" i="80" s="1"/>
  <c r="N38" i="80"/>
  <c r="N39" i="80" s="1"/>
  <c r="N42" i="80" s="1"/>
  <c r="N45" i="80" s="1"/>
  <c r="AO38" i="80"/>
  <c r="AO39" i="80" s="1"/>
  <c r="AO42" i="80" s="1"/>
  <c r="AO45" i="80" s="1"/>
  <c r="Q54" i="80"/>
  <c r="AB38" i="80"/>
  <c r="AB39" i="80" s="1"/>
  <c r="AB42" i="80" s="1"/>
  <c r="AB45" i="80" s="1"/>
  <c r="AO54" i="80"/>
  <c r="O38" i="80"/>
  <c r="O39" i="80" s="1"/>
  <c r="O42" i="80" s="1"/>
  <c r="O45" i="80" s="1"/>
  <c r="G38" i="80"/>
  <c r="G39" i="80" s="1"/>
  <c r="G42" i="80" s="1"/>
  <c r="G45" i="80" s="1"/>
  <c r="AT35" i="80"/>
  <c r="AH54" i="80"/>
  <c r="AD38" i="80"/>
  <c r="AD39" i="80" s="1"/>
  <c r="AD42" i="80" s="1"/>
  <c r="AD45" i="80" s="1"/>
  <c r="AC38" i="80"/>
  <c r="AC39" i="80" s="1"/>
  <c r="AC42" i="80" s="1"/>
  <c r="AC45" i="80" s="1"/>
  <c r="J54" i="80"/>
  <c r="T54" i="80"/>
  <c r="AN54" i="80"/>
  <c r="AA54" i="80"/>
  <c r="AP54" i="80"/>
  <c r="R54" i="80"/>
  <c r="AQ54" i="80"/>
  <c r="S38" i="80"/>
  <c r="S39" i="80" s="1"/>
  <c r="S42" i="80" s="1"/>
  <c r="S45" i="80" s="1"/>
  <c r="AM54" i="80"/>
  <c r="L38" i="80"/>
  <c r="L39" i="80" s="1"/>
  <c r="L42" i="80" s="1"/>
  <c r="L45" i="80" s="1"/>
  <c r="N54" i="80"/>
  <c r="Z54" i="80"/>
  <c r="H37" i="80"/>
  <c r="AT52" i="80"/>
  <c r="E53" i="80"/>
  <c r="E54" i="80" s="1"/>
  <c r="AE37" i="80"/>
  <c r="F22" i="76"/>
  <c r="AP38" i="80" l="1"/>
  <c r="AP39" i="80" s="1"/>
  <c r="AP42" i="80" s="1"/>
  <c r="AP45" i="80" s="1"/>
  <c r="AT54" i="80"/>
  <c r="AE38" i="80"/>
  <c r="AE39" i="80" s="1"/>
  <c r="AE42" i="80" s="1"/>
  <c r="AE45" i="80" s="1"/>
  <c r="H38" i="80"/>
  <c r="H39" i="80" s="1"/>
  <c r="H42" i="80" s="1"/>
  <c r="H45" i="80" s="1"/>
  <c r="W38" i="80"/>
  <c r="W39" i="80" s="1"/>
  <c r="W42" i="80" s="1"/>
  <c r="W45" i="80" s="1"/>
  <c r="AT53" i="80"/>
  <c r="E29" i="80"/>
  <c r="T38" i="80"/>
  <c r="T39" i="80" s="1"/>
  <c r="T42" i="80" s="1"/>
  <c r="T45" i="80" s="1"/>
  <c r="F38" i="80"/>
  <c r="F39" i="80" s="1"/>
  <c r="F42" i="80" s="1"/>
  <c r="F45" i="80" s="1"/>
  <c r="AL38" i="80"/>
  <c r="AL39" i="80" s="1"/>
  <c r="AL42" i="80" s="1"/>
  <c r="AL45" i="80" s="1"/>
  <c r="U38" i="80"/>
  <c r="U39" i="80" s="1"/>
  <c r="U42" i="80" s="1"/>
  <c r="U45" i="80" s="1"/>
  <c r="AJ38" i="80"/>
  <c r="AJ39" i="80" s="1"/>
  <c r="AJ42" i="80" s="1"/>
  <c r="AJ45" i="80" s="1"/>
  <c r="E43" i="69"/>
  <c r="AT29" i="80" l="1"/>
  <c r="E37" i="80"/>
  <c r="AP66" i="76"/>
  <c r="Y66" i="76"/>
  <c r="X66" i="76"/>
  <c r="W66" i="76"/>
  <c r="V66" i="76"/>
  <c r="U66" i="76"/>
  <c r="T66" i="76"/>
  <c r="S66" i="76"/>
  <c r="R66" i="76"/>
  <c r="Q66" i="76"/>
  <c r="P66" i="76"/>
  <c r="O66" i="76"/>
  <c r="N66" i="76"/>
  <c r="M66" i="76"/>
  <c r="L66" i="76"/>
  <c r="K66" i="76"/>
  <c r="J66" i="76"/>
  <c r="I66" i="76"/>
  <c r="H66" i="76"/>
  <c r="G66" i="76"/>
  <c r="F66" i="76"/>
  <c r="E66" i="76"/>
  <c r="Y65" i="76"/>
  <c r="X65" i="76"/>
  <c r="W65" i="76"/>
  <c r="V65" i="76"/>
  <c r="U65" i="76"/>
  <c r="T65" i="76"/>
  <c r="S65" i="76"/>
  <c r="R65" i="76"/>
  <c r="Q65" i="76"/>
  <c r="P65" i="76"/>
  <c r="O65" i="76"/>
  <c r="N65" i="76"/>
  <c r="M65" i="76"/>
  <c r="L65" i="76"/>
  <c r="K65" i="76"/>
  <c r="J65" i="76"/>
  <c r="I65" i="76"/>
  <c r="H65" i="76"/>
  <c r="G65" i="76"/>
  <c r="F65" i="76"/>
  <c r="E65" i="76"/>
  <c r="Y62" i="76"/>
  <c r="X62" i="76"/>
  <c r="W62" i="76"/>
  <c r="V62" i="76"/>
  <c r="U62" i="76"/>
  <c r="T62" i="76"/>
  <c r="S62" i="76"/>
  <c r="R62" i="76"/>
  <c r="Q62" i="76"/>
  <c r="P62" i="76"/>
  <c r="O62" i="76"/>
  <c r="N62" i="76"/>
  <c r="M62" i="76"/>
  <c r="L62" i="76"/>
  <c r="K62" i="76"/>
  <c r="J62" i="76"/>
  <c r="I62" i="76"/>
  <c r="H62" i="76"/>
  <c r="G62" i="76"/>
  <c r="F62" i="76"/>
  <c r="E62" i="76"/>
  <c r="B62" i="76"/>
  <c r="AT57" i="76"/>
  <c r="AU56" i="76"/>
  <c r="AU55" i="76"/>
  <c r="AU51" i="76"/>
  <c r="AU50" i="76"/>
  <c r="A45" i="76"/>
  <c r="A46" i="76" s="1"/>
  <c r="A47" i="76" s="1"/>
  <c r="A48" i="76" s="1"/>
  <c r="A49" i="76" s="1"/>
  <c r="A50" i="76" s="1"/>
  <c r="A51" i="76" s="1"/>
  <c r="A52" i="76" s="1"/>
  <c r="A53" i="76" s="1"/>
  <c r="A54" i="76" s="1"/>
  <c r="A55" i="76" s="1"/>
  <c r="A56" i="76" s="1"/>
  <c r="A57" i="76" s="1"/>
  <c r="A58" i="76" s="1"/>
  <c r="A59" i="76" s="1"/>
  <c r="A60" i="76" s="1"/>
  <c r="A61" i="76" s="1"/>
  <c r="A62" i="76" s="1"/>
  <c r="A63" i="76" s="1"/>
  <c r="A64" i="76" s="1"/>
  <c r="A65" i="76" s="1"/>
  <c r="A66" i="76" s="1"/>
  <c r="AU41" i="76"/>
  <c r="A41" i="76"/>
  <c r="A42" i="76" s="1"/>
  <c r="A43" i="76" s="1"/>
  <c r="A44" i="76" s="1"/>
  <c r="AU40" i="76"/>
  <c r="AU36" i="76"/>
  <c r="A29" i="76"/>
  <c r="A32" i="76" s="1"/>
  <c r="A33" i="76" s="1"/>
  <c r="A34" i="76" s="1"/>
  <c r="A35" i="76" s="1"/>
  <c r="A37" i="76" s="1"/>
  <c r="A38" i="76" s="1"/>
  <c r="A39" i="76" s="1"/>
  <c r="A40" i="76" s="1"/>
  <c r="F13" i="76"/>
  <c r="D13" i="76"/>
  <c r="E38" i="80" l="1"/>
  <c r="AT38" i="80" s="1"/>
  <c r="AT37" i="80"/>
  <c r="E39" i="80" l="1"/>
  <c r="AT39" i="80" s="1"/>
  <c r="E42" i="80" l="1"/>
  <c r="E45" i="80" s="1"/>
  <c r="B20" i="71"/>
  <c r="G4" i="77" s="1"/>
  <c r="H4" i="77" s="1"/>
  <c r="B19" i="71"/>
  <c r="G5" i="77" s="1"/>
  <c r="H5" i="77" s="1"/>
  <c r="Y65" i="74"/>
  <c r="X65" i="74"/>
  <c r="W65" i="74"/>
  <c r="V65" i="74"/>
  <c r="U65" i="74"/>
  <c r="T65" i="74"/>
  <c r="S65" i="74"/>
  <c r="R65" i="74"/>
  <c r="Q65" i="74"/>
  <c r="P65" i="74"/>
  <c r="O65" i="74"/>
  <c r="N65" i="74"/>
  <c r="M65" i="74"/>
  <c r="L65" i="74"/>
  <c r="K65" i="74"/>
  <c r="J65" i="74"/>
  <c r="I65" i="74"/>
  <c r="H65" i="74"/>
  <c r="F65" i="74"/>
  <c r="E65" i="74"/>
  <c r="E62" i="74"/>
  <c r="B62" i="74"/>
  <c r="AU56" i="74"/>
  <c r="AU55" i="74"/>
  <c r="AU51" i="74"/>
  <c r="AU50" i="74"/>
  <c r="AU41" i="74"/>
  <c r="AU40" i="74"/>
  <c r="AU36" i="74"/>
  <c r="A29" i="74"/>
  <c r="A32" i="74" s="1"/>
  <c r="A33" i="74" s="1"/>
  <c r="A34" i="74" s="1"/>
  <c r="A35" i="74" s="1"/>
  <c r="A37" i="74" s="1"/>
  <c r="A38" i="74" s="1"/>
  <c r="A39" i="74" s="1"/>
  <c r="A40" i="74" s="1"/>
  <c r="A41" i="74" s="1"/>
  <c r="A42" i="74" s="1"/>
  <c r="A43" i="74" s="1"/>
  <c r="A44" i="74" s="1"/>
  <c r="A45" i="74" s="1"/>
  <c r="A46" i="74" s="1"/>
  <c r="A47" i="74" s="1"/>
  <c r="A48" i="74" s="1"/>
  <c r="A49" i="74" s="1"/>
  <c r="A50" i="74" s="1"/>
  <c r="A51" i="74" s="1"/>
  <c r="A52" i="74" s="1"/>
  <c r="A53" i="74" s="1"/>
  <c r="A54" i="74" s="1"/>
  <c r="A55" i="74" s="1"/>
  <c r="A56" i="74" s="1"/>
  <c r="A57" i="74" s="1"/>
  <c r="A58" i="74" s="1"/>
  <c r="A59" i="74" s="1"/>
  <c r="A60" i="74" s="1"/>
  <c r="A61" i="74" s="1"/>
  <c r="A62" i="74" s="1"/>
  <c r="A63" i="74" s="1"/>
  <c r="A64" i="74" s="1"/>
  <c r="A65" i="74" s="1"/>
  <c r="A66" i="74" s="1"/>
  <c r="F16" i="74"/>
  <c r="F13" i="74"/>
  <c r="D13" i="74"/>
  <c r="AT42" i="80" l="1"/>
  <c r="H6" i="77"/>
  <c r="E8" i="71"/>
  <c r="D20" i="71" s="1"/>
  <c r="E7" i="71"/>
  <c r="E12" i="71" s="1"/>
  <c r="G7" i="77" l="1"/>
  <c r="H9" i="77"/>
  <c r="H10" i="77"/>
  <c r="E10" i="71"/>
  <c r="C19" i="71"/>
  <c r="D21" i="71"/>
  <c r="E20" i="71"/>
  <c r="F17" i="76" l="1"/>
  <c r="E27" i="76" s="1"/>
  <c r="E57" i="76" s="1"/>
  <c r="E14" i="71"/>
  <c r="E15" i="71"/>
  <c r="AV27" i="76"/>
  <c r="AH58" i="76"/>
  <c r="R58" i="76"/>
  <c r="AS58" i="76"/>
  <c r="AC58" i="76"/>
  <c r="M58" i="76"/>
  <c r="AN58" i="76"/>
  <c r="X58" i="76"/>
  <c r="H58" i="76"/>
  <c r="AM58" i="76"/>
  <c r="K58" i="76"/>
  <c r="AT58" i="76"/>
  <c r="AT59" i="76" s="1"/>
  <c r="AT60" i="76" s="1"/>
  <c r="AD58" i="76"/>
  <c r="N58" i="76"/>
  <c r="AO58" i="76"/>
  <c r="Y58" i="76"/>
  <c r="I58" i="76"/>
  <c r="AJ58" i="76"/>
  <c r="T58" i="76"/>
  <c r="AQ58" i="76"/>
  <c r="W58" i="76"/>
  <c r="S58" i="76"/>
  <c r="AP58" i="76"/>
  <c r="Z58" i="76"/>
  <c r="J58" i="76"/>
  <c r="AK58" i="76"/>
  <c r="U58" i="76"/>
  <c r="E58" i="76"/>
  <c r="AF58" i="76"/>
  <c r="P58" i="76"/>
  <c r="AA58" i="76"/>
  <c r="G58" i="76"/>
  <c r="AL58" i="76"/>
  <c r="V58" i="76"/>
  <c r="F58" i="76"/>
  <c r="AG58" i="76"/>
  <c r="Q58" i="76"/>
  <c r="AR58" i="76"/>
  <c r="AB58" i="76"/>
  <c r="L58" i="76"/>
  <c r="O58" i="76"/>
  <c r="AI58" i="76"/>
  <c r="AE58" i="76"/>
  <c r="F22" i="74"/>
  <c r="AU58" i="76" l="1"/>
  <c r="AV27" i="74"/>
  <c r="AS58" i="74"/>
  <c r="C21" i="71"/>
  <c r="E21" i="71" s="1"/>
  <c r="E19" i="71"/>
  <c r="AS27" i="74" l="1"/>
  <c r="E22" i="71"/>
  <c r="E24" i="71"/>
  <c r="E23" i="71"/>
  <c r="F17" i="74" l="1"/>
  <c r="AS57" i="74"/>
  <c r="AS59" i="74" s="1"/>
  <c r="AS60" i="74" s="1"/>
  <c r="AS27" i="76"/>
  <c r="H27" i="74" l="1"/>
  <c r="X27" i="74"/>
  <c r="AN27" i="74"/>
  <c r="AK27" i="74"/>
  <c r="AD27" i="74"/>
  <c r="M27" i="74"/>
  <c r="F27" i="74"/>
  <c r="AH27" i="74"/>
  <c r="S27" i="74"/>
  <c r="AI27" i="74"/>
  <c r="P27" i="74"/>
  <c r="AF27" i="74"/>
  <c r="U27" i="74"/>
  <c r="R27" i="74"/>
  <c r="AP27" i="74"/>
  <c r="Y27" i="74"/>
  <c r="N27" i="74"/>
  <c r="K27" i="74"/>
  <c r="AA27" i="74"/>
  <c r="I27" i="74"/>
  <c r="O27" i="74"/>
  <c r="L27" i="74"/>
  <c r="AB27" i="74"/>
  <c r="AR27" i="74"/>
  <c r="AO27" i="74"/>
  <c r="AL27" i="74"/>
  <c r="Q27" i="74"/>
  <c r="J27" i="74"/>
  <c r="G27" i="74"/>
  <c r="W27" i="74"/>
  <c r="AM27" i="74"/>
  <c r="AQ27" i="74"/>
  <c r="T27" i="74"/>
  <c r="AJ27" i="74"/>
  <c r="AC27" i="74"/>
  <c r="Z27" i="74"/>
  <c r="AG27" i="74"/>
  <c r="V27" i="74"/>
  <c r="AE27" i="74"/>
  <c r="E27" i="74"/>
  <c r="E38" i="69" s="1"/>
  <c r="AQ27" i="76"/>
  <c r="AQ57" i="76" s="1"/>
  <c r="AQ59" i="76" s="1"/>
  <c r="AQ60" i="76" s="1"/>
  <c r="I27" i="76"/>
  <c r="I57" i="76" s="1"/>
  <c r="I59" i="76" s="1"/>
  <c r="I60" i="76" s="1"/>
  <c r="AF27" i="76"/>
  <c r="Q27" i="76"/>
  <c r="Q57" i="76" s="1"/>
  <c r="Q59" i="76" s="1"/>
  <c r="Q60" i="76" s="1"/>
  <c r="F27" i="76"/>
  <c r="F57" i="76" s="1"/>
  <c r="F59" i="76" s="1"/>
  <c r="F60" i="76" s="1"/>
  <c r="M27" i="76"/>
  <c r="M57" i="76" s="1"/>
  <c r="M59" i="76" s="1"/>
  <c r="M60" i="76" s="1"/>
  <c r="AD27" i="76"/>
  <c r="AD57" i="76" s="1"/>
  <c r="AD59" i="76" s="1"/>
  <c r="AD60" i="76" s="1"/>
  <c r="AC27" i="76"/>
  <c r="AC57" i="76" s="1"/>
  <c r="AC59" i="76" s="1"/>
  <c r="AC60" i="76" s="1"/>
  <c r="J27" i="76"/>
  <c r="J57" i="76" s="1"/>
  <c r="J59" i="76" s="1"/>
  <c r="J60" i="76" s="1"/>
  <c r="V27" i="76"/>
  <c r="V57" i="76" s="1"/>
  <c r="V59" i="76" s="1"/>
  <c r="V60" i="76" s="1"/>
  <c r="S27" i="76"/>
  <c r="S57" i="76" s="1"/>
  <c r="S59" i="76" s="1"/>
  <c r="S60" i="76" s="1"/>
  <c r="AP27" i="76"/>
  <c r="AB27" i="76"/>
  <c r="G27" i="76"/>
  <c r="G57" i="76" s="1"/>
  <c r="G59" i="76" s="1"/>
  <c r="G60" i="76" s="1"/>
  <c r="Y27" i="76"/>
  <c r="Y57" i="76" s="1"/>
  <c r="Y59" i="76" s="1"/>
  <c r="Y60" i="76" s="1"/>
  <c r="AR27" i="76"/>
  <c r="AR57" i="76" s="1"/>
  <c r="AR59" i="76" s="1"/>
  <c r="AR60" i="76" s="1"/>
  <c r="X27" i="76"/>
  <c r="X57" i="76" s="1"/>
  <c r="X59" i="76" s="1"/>
  <c r="X60" i="76" s="1"/>
  <c r="AJ27" i="76"/>
  <c r="AJ57" i="76" s="1"/>
  <c r="AJ59" i="76" s="1"/>
  <c r="AJ60" i="76" s="1"/>
  <c r="AN27" i="76"/>
  <c r="P27" i="76"/>
  <c r="P57" i="76" s="1"/>
  <c r="P59" i="76" s="1"/>
  <c r="P60" i="76" s="1"/>
  <c r="N27" i="76"/>
  <c r="N57" i="76" s="1"/>
  <c r="N59" i="76" s="1"/>
  <c r="N60" i="76" s="1"/>
  <c r="U27" i="76"/>
  <c r="R27" i="76"/>
  <c r="R57" i="76" s="1"/>
  <c r="R59" i="76" s="1"/>
  <c r="R60" i="76" s="1"/>
  <c r="Z27" i="76"/>
  <c r="Z57" i="76" s="1"/>
  <c r="Z59" i="76" s="1"/>
  <c r="Z60" i="76" s="1"/>
  <c r="AO27" i="76"/>
  <c r="AO57" i="76" s="1"/>
  <c r="AO59" i="76" s="1"/>
  <c r="AO60" i="76" s="1"/>
  <c r="AM27" i="76"/>
  <c r="O27" i="76"/>
  <c r="AL27" i="76"/>
  <c r="AL57" i="76" s="1"/>
  <c r="AL59" i="76" s="1"/>
  <c r="AL60" i="76" s="1"/>
  <c r="T27" i="76"/>
  <c r="AI27" i="76"/>
  <c r="W27" i="76"/>
  <c r="AH27" i="76"/>
  <c r="AH57" i="76" s="1"/>
  <c r="AH59" i="76" s="1"/>
  <c r="AH60" i="76" s="1"/>
  <c r="L27" i="76"/>
  <c r="H27" i="76"/>
  <c r="H57" i="76" s="1"/>
  <c r="H59" i="76" s="1"/>
  <c r="H60" i="76" s="1"/>
  <c r="K27" i="76"/>
  <c r="AA27" i="76"/>
  <c r="AK27" i="76"/>
  <c r="AE27" i="76"/>
  <c r="AE57" i="76" s="1"/>
  <c r="AE59" i="76" s="1"/>
  <c r="AE60" i="76" s="1"/>
  <c r="AG27" i="76"/>
  <c r="AG57" i="76" s="1"/>
  <c r="AG59" i="76" s="1"/>
  <c r="AG60" i="76" s="1"/>
  <c r="AS57" i="76"/>
  <c r="AS59" i="76" s="1"/>
  <c r="AS60" i="76" s="1"/>
  <c r="V7" i="73"/>
  <c r="U7" i="73"/>
  <c r="T7" i="73"/>
  <c r="S7" i="73"/>
  <c r="R7" i="73"/>
  <c r="Q7" i="73"/>
  <c r="P7" i="73"/>
  <c r="O7" i="73"/>
  <c r="N7" i="73"/>
  <c r="M7" i="73"/>
  <c r="L7" i="73"/>
  <c r="K7" i="73"/>
  <c r="J7" i="73"/>
  <c r="I7" i="73"/>
  <c r="H7" i="73"/>
  <c r="G7" i="73"/>
  <c r="F7" i="73"/>
  <c r="E7" i="73"/>
  <c r="D7" i="73"/>
  <c r="C7" i="73"/>
  <c r="B7" i="73"/>
  <c r="W7" i="73" s="1"/>
  <c r="V6" i="73"/>
  <c r="Y66" i="74" s="1"/>
  <c r="U6" i="73"/>
  <c r="X66" i="74" s="1"/>
  <c r="T6" i="73"/>
  <c r="W66" i="74" s="1"/>
  <c r="S6" i="73"/>
  <c r="V66" i="74" s="1"/>
  <c r="R6" i="73"/>
  <c r="U66" i="74" s="1"/>
  <c r="Q6" i="73"/>
  <c r="T66" i="74" s="1"/>
  <c r="P6" i="73"/>
  <c r="S66" i="74" s="1"/>
  <c r="O6" i="73"/>
  <c r="R66" i="74" s="1"/>
  <c r="N6" i="73"/>
  <c r="Q66" i="74" s="1"/>
  <c r="M6" i="73"/>
  <c r="P66" i="74" s="1"/>
  <c r="L6" i="73"/>
  <c r="O66" i="74" s="1"/>
  <c r="K6" i="73"/>
  <c r="N66" i="74" s="1"/>
  <c r="J6" i="73"/>
  <c r="M66" i="74" s="1"/>
  <c r="I6" i="73"/>
  <c r="L66" i="74" s="1"/>
  <c r="H6" i="73"/>
  <c r="K66" i="74" s="1"/>
  <c r="G6" i="73"/>
  <c r="J66" i="74" s="1"/>
  <c r="F6" i="73"/>
  <c r="I66" i="74" s="1"/>
  <c r="E6" i="73"/>
  <c r="H66" i="74" s="1"/>
  <c r="D6" i="73"/>
  <c r="G66" i="74" s="1"/>
  <c r="C6" i="73"/>
  <c r="B6" i="73"/>
  <c r="E66" i="74" s="1"/>
  <c r="W5" i="73"/>
  <c r="B65" i="71"/>
  <c r="B64" i="71"/>
  <c r="B57" i="71"/>
  <c r="B56" i="71"/>
  <c r="D47" i="71"/>
  <c r="C47" i="71"/>
  <c r="E46" i="71"/>
  <c r="E50" i="71" s="1"/>
  <c r="E45" i="71"/>
  <c r="E44" i="71"/>
  <c r="B36" i="71"/>
  <c r="B35" i="71"/>
  <c r="B87" i="71"/>
  <c r="B86" i="71"/>
  <c r="D78" i="71"/>
  <c r="C78" i="71"/>
  <c r="E77" i="71"/>
  <c r="E81" i="71" s="1"/>
  <c r="E76" i="71"/>
  <c r="E75" i="71"/>
  <c r="A10" i="69"/>
  <c r="A13" i="69" s="1"/>
  <c r="A14" i="69" s="1"/>
  <c r="A15" i="69" s="1"/>
  <c r="A16" i="69" s="1"/>
  <c r="A18" i="69" s="1"/>
  <c r="A19" i="69" s="1"/>
  <c r="A20" i="69" s="1"/>
  <c r="A21" i="69" s="1"/>
  <c r="A22" i="69" s="1"/>
  <c r="A23" i="69" s="1"/>
  <c r="A24" i="69" s="1"/>
  <c r="A25" i="69" s="1"/>
  <c r="A26" i="69" s="1"/>
  <c r="A27" i="69" s="1"/>
  <c r="A28" i="69" s="1"/>
  <c r="A29" i="69" s="1"/>
  <c r="A30" i="69" s="1"/>
  <c r="A31" i="69" s="1"/>
  <c r="A32" i="69" s="1"/>
  <c r="A33" i="69" s="1"/>
  <c r="A34" i="69" s="1"/>
  <c r="A35" i="69" s="1"/>
  <c r="A36" i="69" s="1"/>
  <c r="A37" i="69" s="1"/>
  <c r="A38" i="69" s="1"/>
  <c r="A39" i="69" s="1"/>
  <c r="A40" i="69" s="1"/>
  <c r="A41" i="69" s="1"/>
  <c r="A42" i="69" s="1"/>
  <c r="A43" i="69" s="1"/>
  <c r="F43" i="69"/>
  <c r="K57" i="76" l="1"/>
  <c r="K59" i="76" s="1"/>
  <c r="K60" i="76" s="1"/>
  <c r="O57" i="76"/>
  <c r="O59" i="76" s="1"/>
  <c r="O60" i="76" s="1"/>
  <c r="AI57" i="76"/>
  <c r="AI59" i="76" s="1"/>
  <c r="AI60" i="76" s="1"/>
  <c r="AM57" i="76"/>
  <c r="AM59" i="76" s="1"/>
  <c r="AM60" i="76" s="1"/>
  <c r="U57" i="76"/>
  <c r="U59" i="76" s="1"/>
  <c r="U60" i="76" s="1"/>
  <c r="AF57" i="76"/>
  <c r="AF59" i="76" s="1"/>
  <c r="AF60" i="76" s="1"/>
  <c r="W57" i="76"/>
  <c r="W59" i="76" s="1"/>
  <c r="W60" i="76" s="1"/>
  <c r="AN57" i="76"/>
  <c r="AN59" i="76" s="1"/>
  <c r="AN60" i="76" s="1"/>
  <c r="AK57" i="76"/>
  <c r="AK59" i="76" s="1"/>
  <c r="AK60" i="76" s="1"/>
  <c r="L57" i="76"/>
  <c r="L59" i="76" s="1"/>
  <c r="L60" i="76" s="1"/>
  <c r="T57" i="76"/>
  <c r="T59" i="76" s="1"/>
  <c r="T60" i="76" s="1"/>
  <c r="AB57" i="76"/>
  <c r="AB59" i="76" s="1"/>
  <c r="AB60" i="76" s="1"/>
  <c r="AA57" i="76"/>
  <c r="AA59" i="76" s="1"/>
  <c r="AA60" i="76" s="1"/>
  <c r="AP57" i="76"/>
  <c r="AP59" i="76" s="1"/>
  <c r="AP60" i="76" s="1"/>
  <c r="AU27" i="76"/>
  <c r="E47" i="76"/>
  <c r="AP66" i="74"/>
  <c r="W6" i="73"/>
  <c r="E47" i="71"/>
  <c r="D65" i="71"/>
  <c r="D57" i="71"/>
  <c r="E78" i="71"/>
  <c r="E80" i="71"/>
  <c r="C86" i="71" s="1"/>
  <c r="E49" i="71"/>
  <c r="C56" i="71" s="1"/>
  <c r="D36" i="71"/>
  <c r="D87" i="71"/>
  <c r="C35" i="71" l="1"/>
  <c r="C37" i="71" s="1"/>
  <c r="AU57" i="76"/>
  <c r="E59" i="76"/>
  <c r="E60" i="76" s="1"/>
  <c r="E52" i="71"/>
  <c r="E65" i="71"/>
  <c r="D66" i="71"/>
  <c r="E57" i="71"/>
  <c r="D58" i="71"/>
  <c r="E51" i="71"/>
  <c r="C64" i="71"/>
  <c r="E64" i="71" s="1"/>
  <c r="AM58" i="74"/>
  <c r="W58" i="74"/>
  <c r="G58" i="74"/>
  <c r="AD58" i="74"/>
  <c r="N58" i="74"/>
  <c r="AO58" i="74"/>
  <c r="Y58" i="74"/>
  <c r="I58" i="74"/>
  <c r="AR58" i="74"/>
  <c r="X58" i="74"/>
  <c r="H58" i="74"/>
  <c r="V58" i="74"/>
  <c r="Q58" i="74"/>
  <c r="AA58" i="74"/>
  <c r="AH58" i="74"/>
  <c r="AT58" i="74"/>
  <c r="M58" i="74"/>
  <c r="AJ58" i="74"/>
  <c r="AI58" i="74"/>
  <c r="S58" i="74"/>
  <c r="AP58" i="74"/>
  <c r="Z58" i="74"/>
  <c r="J58" i="74"/>
  <c r="AK58" i="74"/>
  <c r="U58" i="74"/>
  <c r="E58" i="74"/>
  <c r="E39" i="69" s="1"/>
  <c r="AB58" i="74"/>
  <c r="T58" i="74"/>
  <c r="AE58" i="74"/>
  <c r="O58" i="74"/>
  <c r="AL58" i="74"/>
  <c r="F58" i="74"/>
  <c r="AG58" i="74"/>
  <c r="AF58" i="74"/>
  <c r="L58" i="74"/>
  <c r="AQ58" i="74"/>
  <c r="K58" i="74"/>
  <c r="R58" i="74"/>
  <c r="AC58" i="74"/>
  <c r="P58" i="74"/>
  <c r="AN58" i="74"/>
  <c r="E83" i="71"/>
  <c r="E82" i="71"/>
  <c r="E35" i="71"/>
  <c r="C88" i="71"/>
  <c r="E86" i="71"/>
  <c r="D88" i="71"/>
  <c r="E87" i="71"/>
  <c r="D37" i="71"/>
  <c r="E36" i="71"/>
  <c r="C58" i="71"/>
  <c r="E56" i="71"/>
  <c r="C66" i="71"/>
  <c r="E66" i="71" s="1"/>
  <c r="AU59" i="76" l="1"/>
  <c r="E58" i="71"/>
  <c r="E59" i="71" s="1"/>
  <c r="AU58" i="74"/>
  <c r="E88" i="71"/>
  <c r="E91" i="71" s="1"/>
  <c r="E37" i="71"/>
  <c r="E38" i="71" s="1"/>
  <c r="E68" i="71"/>
  <c r="F39" i="69"/>
  <c r="E67" i="71"/>
  <c r="E69" i="71"/>
  <c r="F71" i="71" l="1"/>
  <c r="E71" i="71" s="1"/>
  <c r="E48" i="76"/>
  <c r="AU60" i="76"/>
  <c r="AP49" i="76"/>
  <c r="N49" i="76"/>
  <c r="V49" i="76"/>
  <c r="AH49" i="76"/>
  <c r="I49" i="76"/>
  <c r="T49" i="76"/>
  <c r="AC49" i="76"/>
  <c r="L49" i="76"/>
  <c r="J49" i="76"/>
  <c r="AQ49" i="76"/>
  <c r="M49" i="76"/>
  <c r="E49" i="76"/>
  <c r="E34" i="76" s="1"/>
  <c r="X49" i="76"/>
  <c r="W49" i="76"/>
  <c r="AN49" i="76"/>
  <c r="AL49" i="76"/>
  <c r="AI49" i="76"/>
  <c r="AB49" i="76"/>
  <c r="G49" i="76"/>
  <c r="AK49" i="76"/>
  <c r="F49" i="76"/>
  <c r="Q49" i="76"/>
  <c r="AE49" i="76"/>
  <c r="AG49" i="76"/>
  <c r="AJ49" i="76"/>
  <c r="AT49" i="76"/>
  <c r="Z49" i="76"/>
  <c r="O49" i="76"/>
  <c r="AS49" i="76"/>
  <c r="AD49" i="76"/>
  <c r="R49" i="76"/>
  <c r="U49" i="76"/>
  <c r="AR49" i="76"/>
  <c r="AA49" i="76"/>
  <c r="H49" i="76"/>
  <c r="AF49" i="76"/>
  <c r="AM49" i="76"/>
  <c r="AO49" i="76"/>
  <c r="K49" i="76"/>
  <c r="Y49" i="76"/>
  <c r="P49" i="76"/>
  <c r="S49" i="76"/>
  <c r="E61" i="71"/>
  <c r="E90" i="71"/>
  <c r="E60" i="71"/>
  <c r="AA57" i="74"/>
  <c r="AA59" i="74" s="1"/>
  <c r="AA60" i="74" s="1"/>
  <c r="I57" i="74"/>
  <c r="I59" i="74" s="1"/>
  <c r="I60" i="74" s="1"/>
  <c r="U57" i="74"/>
  <c r="U59" i="74" s="1"/>
  <c r="U60" i="74" s="1"/>
  <c r="AL57" i="74"/>
  <c r="AL59" i="74" s="1"/>
  <c r="AL60" i="74" s="1"/>
  <c r="V57" i="74"/>
  <c r="V59" i="74" s="1"/>
  <c r="V60" i="74" s="1"/>
  <c r="AI57" i="74"/>
  <c r="AI59" i="74" s="1"/>
  <c r="AI60" i="74" s="1"/>
  <c r="AH57" i="74"/>
  <c r="AH59" i="74" s="1"/>
  <c r="AH60" i="74" s="1"/>
  <c r="AN57" i="74"/>
  <c r="AN59" i="74" s="1"/>
  <c r="AN60" i="74" s="1"/>
  <c r="AM57" i="74"/>
  <c r="AM59" i="74" s="1"/>
  <c r="AM60" i="74" s="1"/>
  <c r="AJ57" i="74"/>
  <c r="AJ59" i="74" s="1"/>
  <c r="AJ60" i="74" s="1"/>
  <c r="AQ57" i="74"/>
  <c r="AQ59" i="74" s="1"/>
  <c r="AQ60" i="74" s="1"/>
  <c r="X57" i="74"/>
  <c r="X59" i="74" s="1"/>
  <c r="X60" i="74" s="1"/>
  <c r="W57" i="74"/>
  <c r="W59" i="74" s="1"/>
  <c r="W60" i="74" s="1"/>
  <c r="AB57" i="74"/>
  <c r="AB59" i="74" s="1"/>
  <c r="AB60" i="74" s="1"/>
  <c r="Z57" i="74"/>
  <c r="Z59" i="74" s="1"/>
  <c r="Z60" i="74" s="1"/>
  <c r="AP57" i="74"/>
  <c r="AP59" i="74" s="1"/>
  <c r="AP60" i="74" s="1"/>
  <c r="M57" i="74"/>
  <c r="M59" i="74" s="1"/>
  <c r="M60" i="74" s="1"/>
  <c r="AF57" i="74"/>
  <c r="AF59" i="74" s="1"/>
  <c r="AF60" i="74" s="1"/>
  <c r="Y57" i="74"/>
  <c r="Y59" i="74" s="1"/>
  <c r="Y60" i="74" s="1"/>
  <c r="R57" i="74"/>
  <c r="R59" i="74" s="1"/>
  <c r="R60" i="74" s="1"/>
  <c r="AO57" i="74"/>
  <c r="AO59" i="74" s="1"/>
  <c r="AO60" i="74" s="1"/>
  <c r="L57" i="74"/>
  <c r="L59" i="74" s="1"/>
  <c r="L60" i="74" s="1"/>
  <c r="S57" i="74"/>
  <c r="S59" i="74" s="1"/>
  <c r="S60" i="74" s="1"/>
  <c r="AG57" i="74"/>
  <c r="AG59" i="74" s="1"/>
  <c r="AG60" i="74" s="1"/>
  <c r="E89" i="71"/>
  <c r="AA32" i="76" l="1"/>
  <c r="AA34" i="76"/>
  <c r="AA52" i="76" s="1"/>
  <c r="AA33" i="76"/>
  <c r="Q34" i="76"/>
  <c r="Q52" i="76" s="1"/>
  <c r="Q33" i="76"/>
  <c r="Q32" i="76"/>
  <c r="AB32" i="76"/>
  <c r="AB33" i="76"/>
  <c r="AB34" i="76"/>
  <c r="AB52" i="76" s="1"/>
  <c r="T32" i="76"/>
  <c r="T34" i="76"/>
  <c r="T52" i="76" s="1"/>
  <c r="T33" i="76"/>
  <c r="N34" i="76"/>
  <c r="N52" i="76" s="1"/>
  <c r="N33" i="76"/>
  <c r="N32" i="76"/>
  <c r="P33" i="76"/>
  <c r="P34" i="76"/>
  <c r="P52" i="76" s="1"/>
  <c r="P32" i="76"/>
  <c r="AM32" i="76"/>
  <c r="AM33" i="76"/>
  <c r="AM34" i="76"/>
  <c r="AM52" i="76" s="1"/>
  <c r="AR33" i="76"/>
  <c r="AR34" i="76"/>
  <c r="AR52" i="76" s="1"/>
  <c r="AR32" i="76"/>
  <c r="AS33" i="76"/>
  <c r="AS32" i="76"/>
  <c r="AS34" i="76"/>
  <c r="AS52" i="76" s="1"/>
  <c r="AJ34" i="76"/>
  <c r="AJ52" i="76" s="1"/>
  <c r="AJ32" i="76"/>
  <c r="AJ33" i="76"/>
  <c r="F33" i="76"/>
  <c r="F32" i="76"/>
  <c r="F34" i="76"/>
  <c r="F52" i="76" s="1"/>
  <c r="AI32" i="76"/>
  <c r="AI34" i="76"/>
  <c r="AI52" i="76" s="1"/>
  <c r="AI33" i="76"/>
  <c r="X33" i="76"/>
  <c r="X32" i="76"/>
  <c r="X34" i="76"/>
  <c r="X52" i="76" s="1"/>
  <c r="J34" i="76"/>
  <c r="J52" i="76" s="1"/>
  <c r="J33" i="76"/>
  <c r="J32" i="76"/>
  <c r="I32" i="76"/>
  <c r="I33" i="76"/>
  <c r="I34" i="76"/>
  <c r="I52" i="76" s="1"/>
  <c r="AP33" i="76"/>
  <c r="AP32" i="76"/>
  <c r="AP34" i="76"/>
  <c r="AP52" i="76" s="1"/>
  <c r="AO33" i="76"/>
  <c r="AO32" i="76"/>
  <c r="AO34" i="76"/>
  <c r="AO52" i="76" s="1"/>
  <c r="AD34" i="76"/>
  <c r="AD52" i="76" s="1"/>
  <c r="AD33" i="76"/>
  <c r="AD32" i="76"/>
  <c r="W33" i="76"/>
  <c r="W32" i="76"/>
  <c r="W34" i="76"/>
  <c r="W52" i="76" s="1"/>
  <c r="Y34" i="76"/>
  <c r="Y52" i="76" s="1"/>
  <c r="Y33" i="76"/>
  <c r="Y32" i="76"/>
  <c r="AF32" i="76"/>
  <c r="AF33" i="76"/>
  <c r="AF34" i="76"/>
  <c r="AF52" i="76" s="1"/>
  <c r="U32" i="76"/>
  <c r="U34" i="76"/>
  <c r="U52" i="76" s="1"/>
  <c r="U33" i="76"/>
  <c r="O34" i="76"/>
  <c r="O52" i="76" s="1"/>
  <c r="O32" i="76"/>
  <c r="O33" i="76"/>
  <c r="AG34" i="76"/>
  <c r="AG52" i="76" s="1"/>
  <c r="AG33" i="76"/>
  <c r="AG32" i="76"/>
  <c r="AK32" i="76"/>
  <c r="AK34" i="76"/>
  <c r="AK52" i="76" s="1"/>
  <c r="AK33" i="76"/>
  <c r="AL32" i="76"/>
  <c r="AL34" i="76"/>
  <c r="AL52" i="76" s="1"/>
  <c r="AL33" i="76"/>
  <c r="E32" i="76"/>
  <c r="E33" i="76"/>
  <c r="AU49" i="76"/>
  <c r="L34" i="76"/>
  <c r="L52" i="76" s="1"/>
  <c r="L32" i="76"/>
  <c r="L33" i="76"/>
  <c r="AH34" i="76"/>
  <c r="AH52" i="76" s="1"/>
  <c r="AH33" i="76"/>
  <c r="AH32" i="76"/>
  <c r="S34" i="76"/>
  <c r="S52" i="76" s="1"/>
  <c r="S33" i="76"/>
  <c r="S32" i="76"/>
  <c r="AT33" i="76"/>
  <c r="AT32" i="76"/>
  <c r="AT34" i="76"/>
  <c r="AT52" i="76" s="1"/>
  <c r="AQ34" i="76"/>
  <c r="AQ52" i="76" s="1"/>
  <c r="AQ32" i="76"/>
  <c r="AQ33" i="76"/>
  <c r="K33" i="76"/>
  <c r="K32" i="76"/>
  <c r="K34" i="76"/>
  <c r="K52" i="76" s="1"/>
  <c r="H32" i="76"/>
  <c r="H34" i="76"/>
  <c r="H52" i="76" s="1"/>
  <c r="H33" i="76"/>
  <c r="R34" i="76"/>
  <c r="R52" i="76" s="1"/>
  <c r="R33" i="76"/>
  <c r="R32" i="76"/>
  <c r="Z32" i="76"/>
  <c r="Z34" i="76"/>
  <c r="Z52" i="76" s="1"/>
  <c r="Z33" i="76"/>
  <c r="AE34" i="76"/>
  <c r="AE52" i="76" s="1"/>
  <c r="AE33" i="76"/>
  <c r="AE32" i="76"/>
  <c r="G34" i="76"/>
  <c r="G52" i="76" s="1"/>
  <c r="G32" i="76"/>
  <c r="G33" i="76"/>
  <c r="AN32" i="76"/>
  <c r="AN33" i="76"/>
  <c r="AN34" i="76"/>
  <c r="AN52" i="76" s="1"/>
  <c r="M34" i="76"/>
  <c r="M52" i="76" s="1"/>
  <c r="M33" i="76"/>
  <c r="M32" i="76"/>
  <c r="AC34" i="76"/>
  <c r="AC52" i="76" s="1"/>
  <c r="AC33" i="76"/>
  <c r="AC32" i="76"/>
  <c r="V33" i="76"/>
  <c r="V32" i="76"/>
  <c r="V34" i="76"/>
  <c r="V52" i="76" s="1"/>
  <c r="F57" i="74"/>
  <c r="F59" i="74" s="1"/>
  <c r="F60" i="74" s="1"/>
  <c r="J57" i="74"/>
  <c r="J59" i="74" s="1"/>
  <c r="J60" i="74" s="1"/>
  <c r="AK57" i="74"/>
  <c r="AK59" i="74" s="1"/>
  <c r="AK60" i="74" s="1"/>
  <c r="AD57" i="74"/>
  <c r="AD59" i="74" s="1"/>
  <c r="AD60" i="74" s="1"/>
  <c r="H57" i="74"/>
  <c r="H59" i="74" s="1"/>
  <c r="H60" i="74" s="1"/>
  <c r="AT57" i="74"/>
  <c r="AT59" i="74" s="1"/>
  <c r="AT60" i="74" s="1"/>
  <c r="P57" i="74"/>
  <c r="P59" i="74" s="1"/>
  <c r="P60" i="74" s="1"/>
  <c r="AC57" i="74"/>
  <c r="AC59" i="74" s="1"/>
  <c r="AC60" i="74" s="1"/>
  <c r="AR57" i="74"/>
  <c r="AR59" i="74" s="1"/>
  <c r="AR60" i="74" s="1"/>
  <c r="O57" i="74"/>
  <c r="O59" i="74" s="1"/>
  <c r="O60" i="74" s="1"/>
  <c r="N57" i="74"/>
  <c r="N59" i="74" s="1"/>
  <c r="N60" i="74" s="1"/>
  <c r="G57" i="74"/>
  <c r="G59" i="74" s="1"/>
  <c r="G60" i="74" s="1"/>
  <c r="K57" i="74"/>
  <c r="K59" i="74" s="1"/>
  <c r="K60" i="74" s="1"/>
  <c r="T57" i="74"/>
  <c r="T59" i="74" s="1"/>
  <c r="T60" i="74" s="1"/>
  <c r="AE57" i="74"/>
  <c r="AE59" i="74" s="1"/>
  <c r="AE60" i="74" s="1"/>
  <c r="Q57" i="74"/>
  <c r="Q59" i="74" s="1"/>
  <c r="Q60" i="74" s="1"/>
  <c r="O35" i="76" l="1"/>
  <c r="W35" i="76"/>
  <c r="F35" i="76"/>
  <c r="AQ35" i="76"/>
  <c r="L35" i="76"/>
  <c r="AC35" i="76"/>
  <c r="AN35" i="76"/>
  <c r="AE35" i="76"/>
  <c r="AH35" i="76"/>
  <c r="AL35" i="76"/>
  <c r="AG35" i="76"/>
  <c r="U35" i="76"/>
  <c r="Y35" i="76"/>
  <c r="AR35" i="76"/>
  <c r="V35" i="76"/>
  <c r="G35" i="76"/>
  <c r="AO35" i="76"/>
  <c r="X35" i="76"/>
  <c r="AS35" i="76"/>
  <c r="Z53" i="76"/>
  <c r="Z29" i="76" s="1"/>
  <c r="K53" i="76"/>
  <c r="K29" i="76" s="1"/>
  <c r="AU33" i="76"/>
  <c r="AD53" i="76"/>
  <c r="AD29" i="76" s="1"/>
  <c r="AP53" i="76"/>
  <c r="AP29" i="76" s="1"/>
  <c r="J53" i="76"/>
  <c r="J29" i="76" s="1"/>
  <c r="AJ53" i="76"/>
  <c r="AJ29" i="76" s="1"/>
  <c r="Q53" i="76"/>
  <c r="Q29" i="76" s="1"/>
  <c r="V53" i="76"/>
  <c r="V29" i="76" s="1"/>
  <c r="M53" i="76"/>
  <c r="M29" i="76" s="1"/>
  <c r="Z35" i="76"/>
  <c r="K35" i="76"/>
  <c r="AQ53" i="76"/>
  <c r="AQ29" i="76" s="1"/>
  <c r="AQ37" i="76" s="1"/>
  <c r="AQ38" i="76" s="1"/>
  <c r="AQ39" i="76" s="1"/>
  <c r="AQ42" i="76" s="1"/>
  <c r="AQ45" i="76" s="1"/>
  <c r="S35" i="76"/>
  <c r="L53" i="76"/>
  <c r="L29" i="76" s="1"/>
  <c r="AU32" i="76"/>
  <c r="E35" i="76"/>
  <c r="O53" i="76"/>
  <c r="O29" i="76" s="1"/>
  <c r="O37" i="76" s="1"/>
  <c r="O38" i="76" s="1"/>
  <c r="O39" i="76" s="1"/>
  <c r="O42" i="76" s="1"/>
  <c r="O45" i="76" s="1"/>
  <c r="AF53" i="76"/>
  <c r="AF29" i="76" s="1"/>
  <c r="AO53" i="76"/>
  <c r="AO29" i="76" s="1"/>
  <c r="AP35" i="76"/>
  <c r="I35" i="76"/>
  <c r="X53" i="76"/>
  <c r="X29" i="76" s="1"/>
  <c r="AI53" i="76"/>
  <c r="AI29" i="76" s="1"/>
  <c r="AS53" i="76"/>
  <c r="AS29" i="76" s="1"/>
  <c r="AR53" i="76"/>
  <c r="AR29" i="76" s="1"/>
  <c r="AM35" i="76"/>
  <c r="N35" i="76"/>
  <c r="T53" i="76"/>
  <c r="T29" i="76" s="1"/>
  <c r="AB35" i="76"/>
  <c r="AC53" i="76"/>
  <c r="AC29" i="76" s="1"/>
  <c r="AC37" i="76" s="1"/>
  <c r="AC38" i="76" s="1"/>
  <c r="AC39" i="76" s="1"/>
  <c r="AC42" i="76" s="1"/>
  <c r="AC45" i="76" s="1"/>
  <c r="AN53" i="76"/>
  <c r="AN29" i="76" s="1"/>
  <c r="AN37" i="76" s="1"/>
  <c r="AN38" i="76" s="1"/>
  <c r="AN39" i="76" s="1"/>
  <c r="AN42" i="76" s="1"/>
  <c r="AN45" i="76" s="1"/>
  <c r="AE53" i="76"/>
  <c r="AE29" i="76" s="1"/>
  <c r="AE37" i="76" s="1"/>
  <c r="AE38" i="76" s="1"/>
  <c r="AE39" i="76" s="1"/>
  <c r="AE42" i="76" s="1"/>
  <c r="AE45" i="76" s="1"/>
  <c r="R35" i="76"/>
  <c r="H53" i="76"/>
  <c r="H29" i="76" s="1"/>
  <c r="AT53" i="76"/>
  <c r="AT29" i="76" s="1"/>
  <c r="AH53" i="76"/>
  <c r="AH29" i="76" s="1"/>
  <c r="E52" i="76"/>
  <c r="AU34" i="76"/>
  <c r="AK53" i="76"/>
  <c r="AK29" i="76" s="1"/>
  <c r="AG53" i="76"/>
  <c r="AG29" i="76" s="1"/>
  <c r="Y53" i="76"/>
  <c r="Y29" i="76" s="1"/>
  <c r="AD35" i="76"/>
  <c r="J35" i="76"/>
  <c r="AI35" i="76"/>
  <c r="P35" i="76"/>
  <c r="T35" i="76"/>
  <c r="Q35" i="76"/>
  <c r="AA53" i="76"/>
  <c r="AA29" i="76" s="1"/>
  <c r="R53" i="76"/>
  <c r="R29" i="76" s="1"/>
  <c r="M35" i="76"/>
  <c r="G53" i="76"/>
  <c r="G29" i="76" s="1"/>
  <c r="H35" i="76"/>
  <c r="AT35" i="76"/>
  <c r="S53" i="76"/>
  <c r="S29" i="76" s="1"/>
  <c r="AL53" i="76"/>
  <c r="AL29" i="76" s="1"/>
  <c r="AL37" i="76" s="1"/>
  <c r="AK35" i="76"/>
  <c r="U53" i="76"/>
  <c r="U29" i="76" s="1"/>
  <c r="AF35" i="76"/>
  <c r="W53" i="76"/>
  <c r="W29" i="76" s="1"/>
  <c r="W37" i="76" s="1"/>
  <c r="W38" i="76" s="1"/>
  <c r="W39" i="76" s="1"/>
  <c r="W42" i="76" s="1"/>
  <c r="W45" i="76" s="1"/>
  <c r="I53" i="76"/>
  <c r="I29" i="76" s="1"/>
  <c r="F53" i="76"/>
  <c r="F29" i="76" s="1"/>
  <c r="AJ35" i="76"/>
  <c r="AM53" i="76"/>
  <c r="AM29" i="76" s="1"/>
  <c r="AM37" i="76" s="1"/>
  <c r="AM38" i="76" s="1"/>
  <c r="AM39" i="76" s="1"/>
  <c r="AM42" i="76" s="1"/>
  <c r="AM45" i="76" s="1"/>
  <c r="P53" i="76"/>
  <c r="P29" i="76" s="1"/>
  <c r="N53" i="76"/>
  <c r="N29" i="76" s="1"/>
  <c r="AB53" i="76"/>
  <c r="AB29" i="76" s="1"/>
  <c r="AA35" i="76"/>
  <c r="L37" i="76" l="1"/>
  <c r="L38" i="76" s="1"/>
  <c r="L39" i="76" s="1"/>
  <c r="L42" i="76" s="1"/>
  <c r="L45" i="76" s="1"/>
  <c r="F37" i="76"/>
  <c r="F38" i="76" s="1"/>
  <c r="F39" i="76" s="1"/>
  <c r="F42" i="76" s="1"/>
  <c r="F45" i="76" s="1"/>
  <c r="AR37" i="76"/>
  <c r="AR38" i="76" s="1"/>
  <c r="AR39" i="76" s="1"/>
  <c r="AR42" i="76" s="1"/>
  <c r="AR45" i="76" s="1"/>
  <c r="G37" i="76"/>
  <c r="G38" i="76" s="1"/>
  <c r="G39" i="76" s="1"/>
  <c r="G42" i="76" s="1"/>
  <c r="G45" i="76" s="1"/>
  <c r="AG37" i="76"/>
  <c r="AG38" i="76" s="1"/>
  <c r="AG39" i="76" s="1"/>
  <c r="AG42" i="76" s="1"/>
  <c r="AG45" i="76" s="1"/>
  <c r="AS37" i="76"/>
  <c r="AS38" i="76" s="1"/>
  <c r="AS39" i="76" s="1"/>
  <c r="AS42" i="76" s="1"/>
  <c r="AS45" i="76" s="1"/>
  <c r="V37" i="76"/>
  <c r="AH37" i="76"/>
  <c r="AH38" i="76" s="1"/>
  <c r="AH39" i="76" s="1"/>
  <c r="AH42" i="76" s="1"/>
  <c r="AH45" i="76" s="1"/>
  <c r="U37" i="76"/>
  <c r="U38" i="76" s="1"/>
  <c r="U39" i="76" s="1"/>
  <c r="U42" i="76" s="1"/>
  <c r="U45" i="76" s="1"/>
  <c r="Y37" i="76"/>
  <c r="Y38" i="76" s="1"/>
  <c r="Y39" i="76" s="1"/>
  <c r="Y42" i="76" s="1"/>
  <c r="Y45" i="76" s="1"/>
  <c r="K54" i="76"/>
  <c r="AO37" i="76"/>
  <c r="AO38" i="76" s="1"/>
  <c r="AO39" i="76" s="1"/>
  <c r="AO42" i="76" s="1"/>
  <c r="AO45" i="76" s="1"/>
  <c r="AM54" i="76"/>
  <c r="AG54" i="76"/>
  <c r="AT54" i="76"/>
  <c r="AB37" i="76"/>
  <c r="AB38" i="76" s="1"/>
  <c r="AB39" i="76" s="1"/>
  <c r="AB42" i="76" s="1"/>
  <c r="AB45" i="76" s="1"/>
  <c r="I37" i="76"/>
  <c r="I38" i="76" s="1"/>
  <c r="I39" i="76" s="1"/>
  <c r="I42" i="76" s="1"/>
  <c r="I45" i="76" s="1"/>
  <c r="AE54" i="76"/>
  <c r="N54" i="76"/>
  <c r="X37" i="76"/>
  <c r="X38" i="76" s="1"/>
  <c r="X39" i="76" s="1"/>
  <c r="X42" i="76" s="1"/>
  <c r="X45" i="76" s="1"/>
  <c r="L54" i="76"/>
  <c r="Z54" i="76"/>
  <c r="Y54" i="76"/>
  <c r="AK54" i="76"/>
  <c r="AH54" i="76"/>
  <c r="H54" i="76"/>
  <c r="T54" i="76"/>
  <c r="N37" i="76"/>
  <c r="N38" i="76" s="1"/>
  <c r="N39" i="76" s="1"/>
  <c r="N42" i="76" s="1"/>
  <c r="N45" i="76" s="1"/>
  <c r="R37" i="76"/>
  <c r="R38" i="76" s="1"/>
  <c r="R39" i="76" s="1"/>
  <c r="R42" i="76" s="1"/>
  <c r="R45" i="76" s="1"/>
  <c r="AI54" i="76"/>
  <c r="AF37" i="76"/>
  <c r="AF38" i="76" s="1"/>
  <c r="AF39" i="76" s="1"/>
  <c r="AF42" i="76" s="1"/>
  <c r="AF45" i="76" s="1"/>
  <c r="AP37" i="76"/>
  <c r="AP38" i="76" s="1"/>
  <c r="AP39" i="76" s="1"/>
  <c r="AP42" i="76" s="1"/>
  <c r="AP45" i="76" s="1"/>
  <c r="AB54" i="76"/>
  <c r="P54" i="76"/>
  <c r="AA54" i="76"/>
  <c r="U54" i="76"/>
  <c r="AL54" i="76"/>
  <c r="AS54" i="76"/>
  <c r="X54" i="76"/>
  <c r="AO54" i="76"/>
  <c r="J54" i="76"/>
  <c r="AU35" i="76"/>
  <c r="V38" i="76"/>
  <c r="V39" i="76" s="1"/>
  <c r="V42" i="76" s="1"/>
  <c r="V45" i="76" s="1"/>
  <c r="AJ37" i="76"/>
  <c r="AJ38" i="76" s="1"/>
  <c r="AJ39" i="76" s="1"/>
  <c r="AJ42" i="76" s="1"/>
  <c r="AJ45" i="76" s="1"/>
  <c r="P37" i="76"/>
  <c r="F54" i="76"/>
  <c r="W54" i="76"/>
  <c r="S54" i="76"/>
  <c r="G54" i="76"/>
  <c r="R54" i="76"/>
  <c r="E53" i="76"/>
  <c r="AU52" i="76"/>
  <c r="AT37" i="76"/>
  <c r="AC54" i="76"/>
  <c r="T37" i="76"/>
  <c r="T38" i="76" s="1"/>
  <c r="T39" i="76" s="1"/>
  <c r="T42" i="76" s="1"/>
  <c r="T45" i="76" s="1"/>
  <c r="AR54" i="76"/>
  <c r="AI37" i="76"/>
  <c r="AF54" i="76"/>
  <c r="AQ54" i="76"/>
  <c r="M54" i="76"/>
  <c r="Q54" i="76"/>
  <c r="AD37" i="76"/>
  <c r="K37" i="76"/>
  <c r="S37" i="76"/>
  <c r="S38" i="76" s="1"/>
  <c r="S39" i="76" s="1"/>
  <c r="S42" i="76" s="1"/>
  <c r="S45" i="76" s="1"/>
  <c r="M37" i="76"/>
  <c r="M38" i="76" s="1"/>
  <c r="M39" i="76" s="1"/>
  <c r="M42" i="76" s="1"/>
  <c r="M45" i="76" s="1"/>
  <c r="Q37" i="76"/>
  <c r="Q38" i="76" s="1"/>
  <c r="Q39" i="76" s="1"/>
  <c r="Q42" i="76" s="1"/>
  <c r="Q45" i="76" s="1"/>
  <c r="J37" i="76"/>
  <c r="J38" i="76" s="1"/>
  <c r="J39" i="76" s="1"/>
  <c r="J42" i="76" s="1"/>
  <c r="J45" i="76" s="1"/>
  <c r="AD54" i="76"/>
  <c r="I54" i="76"/>
  <c r="AL38" i="76"/>
  <c r="AL39" i="76" s="1"/>
  <c r="AL42" i="76" s="1"/>
  <c r="AL45" i="76" s="1"/>
  <c r="AA37" i="76"/>
  <c r="AK37" i="76"/>
  <c r="AK38" i="76" s="1"/>
  <c r="AK39" i="76" s="1"/>
  <c r="AK42" i="76" s="1"/>
  <c r="AK45" i="76" s="1"/>
  <c r="H37" i="76"/>
  <c r="AN54" i="76"/>
  <c r="O54" i="76"/>
  <c r="V54" i="76"/>
  <c r="AJ54" i="76"/>
  <c r="AP54" i="76"/>
  <c r="Z37" i="76"/>
  <c r="Z38" i="76" s="1"/>
  <c r="Z39" i="76" s="1"/>
  <c r="Z42" i="76" s="1"/>
  <c r="Z45" i="76" s="1"/>
  <c r="H38" i="76" l="1"/>
  <c r="H39" i="76" s="1"/>
  <c r="H42" i="76" s="1"/>
  <c r="H45" i="76" s="1"/>
  <c r="AA38" i="76"/>
  <c r="AA39" i="76" s="1"/>
  <c r="AA42" i="76" s="1"/>
  <c r="AA45" i="76" s="1"/>
  <c r="AD38" i="76"/>
  <c r="AD39" i="76" s="1"/>
  <c r="AD42" i="76" s="1"/>
  <c r="AD45" i="76" s="1"/>
  <c r="AU53" i="76"/>
  <c r="E29" i="76"/>
  <c r="E37" i="76" s="1"/>
  <c r="E38" i="76" s="1"/>
  <c r="K38" i="76"/>
  <c r="K39" i="76" s="1"/>
  <c r="K42" i="76" s="1"/>
  <c r="K45" i="76" s="1"/>
  <c r="AI38" i="76"/>
  <c r="AI39" i="76" s="1"/>
  <c r="AI42" i="76" s="1"/>
  <c r="AI45" i="76" s="1"/>
  <c r="AT38" i="76"/>
  <c r="AT39" i="76" s="1"/>
  <c r="AT42" i="76" s="1"/>
  <c r="AT45" i="76" s="1"/>
  <c r="E54" i="76"/>
  <c r="AU54" i="76" s="1"/>
  <c r="P38" i="76"/>
  <c r="P39" i="76" s="1"/>
  <c r="P42" i="76" s="1"/>
  <c r="P45" i="76" s="1"/>
  <c r="AU29" i="76" l="1"/>
  <c r="AU38" i="76" l="1"/>
  <c r="AU37" i="76"/>
  <c r="E39" i="76" l="1"/>
  <c r="E42" i="76" s="1"/>
  <c r="E45" i="76" s="1"/>
  <c r="AU39" i="76" l="1"/>
  <c r="F26" i="77"/>
  <c r="F27" i="77" s="1"/>
  <c r="B13" i="67" s="1"/>
  <c r="AU42" i="76"/>
  <c r="E47" i="74" l="1"/>
  <c r="AU27" i="74"/>
  <c r="E57" i="74"/>
  <c r="AU57" i="74" l="1"/>
  <c r="E59" i="74"/>
  <c r="E60" i="74" s="1"/>
  <c r="AU59" i="74" l="1"/>
  <c r="E8" i="69"/>
  <c r="E40" i="69"/>
  <c r="F38" i="69"/>
  <c r="AS49" i="74" l="1"/>
  <c r="E41" i="69"/>
  <c r="F41" i="69" s="1"/>
  <c r="AU60" i="74"/>
  <c r="E48" i="74"/>
  <c r="N49" i="74"/>
  <c r="AD49" i="74"/>
  <c r="W49" i="74"/>
  <c r="S49" i="74"/>
  <c r="V49" i="74"/>
  <c r="R49" i="74"/>
  <c r="K49" i="74"/>
  <c r="AT49" i="74"/>
  <c r="T49" i="74"/>
  <c r="AC49" i="74"/>
  <c r="P49" i="74"/>
  <c r="J49" i="74"/>
  <c r="I49" i="74"/>
  <c r="Y49" i="74"/>
  <c r="AF49" i="74"/>
  <c r="AE49" i="74"/>
  <c r="AA49" i="74"/>
  <c r="AP49" i="74"/>
  <c r="Q49" i="74"/>
  <c r="AR49" i="74"/>
  <c r="AB49" i="74"/>
  <c r="AJ49" i="74"/>
  <c r="AG49" i="74"/>
  <c r="O49" i="74"/>
  <c r="U49" i="74"/>
  <c r="AN49" i="74"/>
  <c r="Z49" i="74"/>
  <c r="M49" i="74"/>
  <c r="AH49" i="74"/>
  <c r="L49" i="74"/>
  <c r="E49" i="74"/>
  <c r="E30" i="69" s="1"/>
  <c r="H8" i="69" s="1"/>
  <c r="AQ49" i="74"/>
  <c r="AK49" i="74"/>
  <c r="AI49" i="74"/>
  <c r="AL49" i="74"/>
  <c r="AO49" i="74"/>
  <c r="H49" i="74"/>
  <c r="X49" i="74"/>
  <c r="G49" i="74"/>
  <c r="AM49" i="74"/>
  <c r="F49" i="74"/>
  <c r="F8" i="69"/>
  <c r="F40" i="69"/>
  <c r="F32" i="74" l="1"/>
  <c r="F33" i="74"/>
  <c r="AO34" i="74"/>
  <c r="AO52" i="74" s="1"/>
  <c r="AO53" i="74" s="1"/>
  <c r="AO33" i="74"/>
  <c r="AR34" i="74"/>
  <c r="AR52" i="74" s="1"/>
  <c r="AR53" i="74" s="1"/>
  <c r="AR33" i="74"/>
  <c r="J34" i="74"/>
  <c r="J52" i="74" s="1"/>
  <c r="J53" i="74" s="1"/>
  <c r="J33" i="74"/>
  <c r="S34" i="74"/>
  <c r="S52" i="74" s="1"/>
  <c r="S53" i="74" s="1"/>
  <c r="S33" i="74"/>
  <c r="G34" i="74"/>
  <c r="G52" i="74" s="1"/>
  <c r="G53" i="74" s="1"/>
  <c r="G33" i="74"/>
  <c r="AL34" i="74"/>
  <c r="AL52" i="74" s="1"/>
  <c r="AL53" i="74" s="1"/>
  <c r="AL33" i="74"/>
  <c r="Z34" i="74"/>
  <c r="Z52" i="74" s="1"/>
  <c r="Z53" i="74" s="1"/>
  <c r="Z33" i="74"/>
  <c r="AG34" i="74"/>
  <c r="AG52" i="74" s="1"/>
  <c r="AG53" i="74" s="1"/>
  <c r="AG33" i="74"/>
  <c r="Q34" i="74"/>
  <c r="Q52" i="74" s="1"/>
  <c r="Q53" i="74" s="1"/>
  <c r="Q33" i="74"/>
  <c r="AF34" i="74"/>
  <c r="AF52" i="74" s="1"/>
  <c r="AF53" i="74" s="1"/>
  <c r="AF33" i="74"/>
  <c r="P34" i="74"/>
  <c r="P52" i="74" s="1"/>
  <c r="P53" i="74" s="1"/>
  <c r="P33" i="74"/>
  <c r="K34" i="74"/>
  <c r="K52" i="74" s="1"/>
  <c r="K53" i="74" s="1"/>
  <c r="K33" i="74"/>
  <c r="W34" i="74"/>
  <c r="W52" i="74" s="1"/>
  <c r="W53" i="74" s="1"/>
  <c r="W33" i="74"/>
  <c r="AM34" i="74"/>
  <c r="AM52" i="74" s="1"/>
  <c r="AM53" i="74" s="1"/>
  <c r="AM33" i="74"/>
  <c r="M34" i="74"/>
  <c r="M52" i="74" s="1"/>
  <c r="M53" i="74" s="1"/>
  <c r="M33" i="74"/>
  <c r="AT34" i="74"/>
  <c r="AT52" i="74" s="1"/>
  <c r="AT53" i="74" s="1"/>
  <c r="AT33" i="74"/>
  <c r="X34" i="74"/>
  <c r="X52" i="74" s="1"/>
  <c r="X53" i="74" s="1"/>
  <c r="X33" i="74"/>
  <c r="AI34" i="74"/>
  <c r="AI52" i="74" s="1"/>
  <c r="AI53" i="74" s="1"/>
  <c r="AI33" i="74"/>
  <c r="L34" i="74"/>
  <c r="L52" i="74" s="1"/>
  <c r="L53" i="74" s="1"/>
  <c r="L33" i="74"/>
  <c r="AN34" i="74"/>
  <c r="AN52" i="74" s="1"/>
  <c r="AN53" i="74" s="1"/>
  <c r="AN33" i="74"/>
  <c r="AJ34" i="74"/>
  <c r="AJ52" i="74" s="1"/>
  <c r="AJ53" i="74" s="1"/>
  <c r="AJ33" i="74"/>
  <c r="AP34" i="74"/>
  <c r="AP52" i="74" s="1"/>
  <c r="AP53" i="74" s="1"/>
  <c r="AP33" i="74"/>
  <c r="Y34" i="74"/>
  <c r="Y52" i="74" s="1"/>
  <c r="Y53" i="74" s="1"/>
  <c r="Y33" i="74"/>
  <c r="AC34" i="74"/>
  <c r="AC52" i="74" s="1"/>
  <c r="AC53" i="74" s="1"/>
  <c r="AC33" i="74"/>
  <c r="R34" i="74"/>
  <c r="R52" i="74" s="1"/>
  <c r="R53" i="74" s="1"/>
  <c r="R33" i="74"/>
  <c r="AD34" i="74"/>
  <c r="AD52" i="74" s="1"/>
  <c r="AD53" i="74" s="1"/>
  <c r="AD33" i="74"/>
  <c r="AQ34" i="74"/>
  <c r="AQ52" i="74" s="1"/>
  <c r="AQ53" i="74" s="1"/>
  <c r="AQ33" i="74"/>
  <c r="O34" i="74"/>
  <c r="O52" i="74" s="1"/>
  <c r="O53" i="74" s="1"/>
  <c r="O33" i="74"/>
  <c r="AE34" i="74"/>
  <c r="AE52" i="74" s="1"/>
  <c r="AE53" i="74" s="1"/>
  <c r="AE33" i="74"/>
  <c r="F34" i="74"/>
  <c r="F52" i="74" s="1"/>
  <c r="F53" i="74" s="1"/>
  <c r="H34" i="74"/>
  <c r="H52" i="74" s="1"/>
  <c r="H53" i="74" s="1"/>
  <c r="H33" i="74"/>
  <c r="AK34" i="74"/>
  <c r="AK52" i="74" s="1"/>
  <c r="AK53" i="74" s="1"/>
  <c r="AK33" i="74"/>
  <c r="AH34" i="74"/>
  <c r="AH52" i="74" s="1"/>
  <c r="AH53" i="74" s="1"/>
  <c r="AH33" i="74"/>
  <c r="U34" i="74"/>
  <c r="U52" i="74" s="1"/>
  <c r="U53" i="74" s="1"/>
  <c r="U33" i="74"/>
  <c r="AB34" i="74"/>
  <c r="AB52" i="74" s="1"/>
  <c r="AB53" i="74" s="1"/>
  <c r="AB33" i="74"/>
  <c r="AA34" i="74"/>
  <c r="AA52" i="74" s="1"/>
  <c r="AA53" i="74" s="1"/>
  <c r="AA33" i="74"/>
  <c r="I34" i="74"/>
  <c r="I52" i="74" s="1"/>
  <c r="I53" i="74" s="1"/>
  <c r="I33" i="74"/>
  <c r="T34" i="74"/>
  <c r="T52" i="74" s="1"/>
  <c r="T53" i="74" s="1"/>
  <c r="T33" i="74"/>
  <c r="V34" i="74"/>
  <c r="V52" i="74" s="1"/>
  <c r="V53" i="74" s="1"/>
  <c r="V33" i="74"/>
  <c r="N34" i="74"/>
  <c r="N52" i="74" s="1"/>
  <c r="N53" i="74" s="1"/>
  <c r="N33" i="74"/>
  <c r="AS32" i="74"/>
  <c r="AS34" i="74"/>
  <c r="AS52" i="74" s="1"/>
  <c r="AS53" i="74" s="1"/>
  <c r="AS29" i="74" s="1"/>
  <c r="AS33" i="74"/>
  <c r="AK32" i="74"/>
  <c r="U32" i="74"/>
  <c r="AA32" i="74"/>
  <c r="T32" i="74"/>
  <c r="N32" i="74"/>
  <c r="AO32" i="74"/>
  <c r="M32" i="74"/>
  <c r="AR32" i="74"/>
  <c r="AT32" i="74"/>
  <c r="G32" i="74"/>
  <c r="X32" i="74"/>
  <c r="AI32" i="74"/>
  <c r="L32" i="74"/>
  <c r="AN32" i="74"/>
  <c r="AJ32" i="74"/>
  <c r="AP32" i="74"/>
  <c r="Y32" i="74"/>
  <c r="AC32" i="74"/>
  <c r="R32" i="74"/>
  <c r="AD32" i="74"/>
  <c r="H32" i="74"/>
  <c r="AH32" i="74"/>
  <c r="AB32" i="74"/>
  <c r="I32" i="74"/>
  <c r="V32" i="74"/>
  <c r="AM32" i="74"/>
  <c r="AQ32" i="74"/>
  <c r="O32" i="74"/>
  <c r="AE32" i="74"/>
  <c r="J32" i="74"/>
  <c r="S32" i="74"/>
  <c r="AL32" i="74"/>
  <c r="E32" i="74"/>
  <c r="AU49" i="74"/>
  <c r="E34" i="74"/>
  <c r="E15" i="69" s="1"/>
  <c r="E33" i="74"/>
  <c r="E14" i="69" s="1"/>
  <c r="Z32" i="74"/>
  <c r="AG32" i="74"/>
  <c r="Q32" i="74"/>
  <c r="AF32" i="74"/>
  <c r="P32" i="74"/>
  <c r="K32" i="74"/>
  <c r="W32" i="74"/>
  <c r="F30" i="69"/>
  <c r="AS35" i="74" l="1"/>
  <c r="AS37" i="74" s="1"/>
  <c r="AS54" i="74"/>
  <c r="I35" i="74"/>
  <c r="N35" i="74"/>
  <c r="W35" i="74"/>
  <c r="P35" i="74"/>
  <c r="AB35" i="74"/>
  <c r="H35" i="74"/>
  <c r="AI35" i="74"/>
  <c r="G35" i="74"/>
  <c r="T35" i="74"/>
  <c r="Z29" i="74"/>
  <c r="AU32" i="74"/>
  <c r="E35" i="74"/>
  <c r="AH29" i="74"/>
  <c r="AC29" i="74"/>
  <c r="AR29" i="74"/>
  <c r="M29" i="74"/>
  <c r="AO29" i="74"/>
  <c r="U29" i="74"/>
  <c r="K35" i="74"/>
  <c r="Q29" i="74"/>
  <c r="AU33" i="74"/>
  <c r="AQ35" i="74"/>
  <c r="AD29" i="74"/>
  <c r="AJ35" i="74"/>
  <c r="X29" i="74"/>
  <c r="T29" i="74"/>
  <c r="AA35" i="74"/>
  <c r="P29" i="74"/>
  <c r="Q35" i="74"/>
  <c r="E52" i="74"/>
  <c r="E33" i="69" s="1"/>
  <c r="AU34" i="74"/>
  <c r="S35" i="74"/>
  <c r="O29" i="74"/>
  <c r="AQ29" i="74"/>
  <c r="V35" i="74"/>
  <c r="AB29" i="74"/>
  <c r="F35" i="74"/>
  <c r="AD35" i="74"/>
  <c r="Y29" i="74"/>
  <c r="AP29" i="74"/>
  <c r="L35" i="74"/>
  <c r="AT29" i="74"/>
  <c r="AO35" i="74"/>
  <c r="N29" i="74"/>
  <c r="AG29" i="74"/>
  <c r="S29" i="74"/>
  <c r="AE29" i="74"/>
  <c r="V29" i="74"/>
  <c r="R29" i="74"/>
  <c r="AN29" i="74"/>
  <c r="AA29" i="74"/>
  <c r="W29" i="74"/>
  <c r="AF29" i="74"/>
  <c r="AL29" i="74"/>
  <c r="J35" i="74"/>
  <c r="AM29" i="74"/>
  <c r="R35" i="74"/>
  <c r="AP35" i="74"/>
  <c r="AI29" i="74"/>
  <c r="AR35" i="74"/>
  <c r="AK29" i="74"/>
  <c r="K29" i="74"/>
  <c r="AF35" i="74"/>
  <c r="AG35" i="74"/>
  <c r="Z35" i="74"/>
  <c r="AL35" i="74"/>
  <c r="J29" i="74"/>
  <c r="AE35" i="74"/>
  <c r="O35" i="74"/>
  <c r="AM35" i="74"/>
  <c r="I29" i="74"/>
  <c r="AH35" i="74"/>
  <c r="H29" i="74"/>
  <c r="F29" i="74"/>
  <c r="AC35" i="74"/>
  <c r="Y35" i="74"/>
  <c r="AJ29" i="74"/>
  <c r="AN35" i="74"/>
  <c r="L29" i="74"/>
  <c r="X35" i="74"/>
  <c r="G29" i="74"/>
  <c r="AT35" i="74"/>
  <c r="M35" i="74"/>
  <c r="U35" i="74"/>
  <c r="AK35" i="74"/>
  <c r="F14" i="69"/>
  <c r="F15" i="69"/>
  <c r="AS38" i="74" l="1"/>
  <c r="AS39" i="74" s="1"/>
  <c r="AS42" i="74" s="1"/>
  <c r="AS45" i="74" s="1"/>
  <c r="I37" i="74"/>
  <c r="I38" i="74" s="1"/>
  <c r="K37" i="74"/>
  <c r="AN54" i="74"/>
  <c r="AE37" i="74"/>
  <c r="P37" i="74"/>
  <c r="AO54" i="74"/>
  <c r="L37" i="74"/>
  <c r="AQ54" i="74"/>
  <c r="AD54" i="74"/>
  <c r="AL54" i="74"/>
  <c r="N54" i="74"/>
  <c r="AI37" i="74"/>
  <c r="W37" i="74"/>
  <c r="R37" i="74"/>
  <c r="U54" i="74"/>
  <c r="AT54" i="74"/>
  <c r="K54" i="74"/>
  <c r="W54" i="74"/>
  <c r="S54" i="74"/>
  <c r="N37" i="74"/>
  <c r="H37" i="74"/>
  <c r="T37" i="74"/>
  <c r="AC37" i="74"/>
  <c r="AJ54" i="74"/>
  <c r="J54" i="74"/>
  <c r="AA37" i="74"/>
  <c r="V54" i="74"/>
  <c r="AB37" i="74"/>
  <c r="X54" i="74"/>
  <c r="AH54" i="74"/>
  <c r="Z54" i="74"/>
  <c r="O37" i="74"/>
  <c r="G37" i="74"/>
  <c r="J37" i="74"/>
  <c r="AM37" i="74"/>
  <c r="AF54" i="74"/>
  <c r="AA54" i="74"/>
  <c r="R54" i="74"/>
  <c r="AE54" i="74"/>
  <c r="AG54" i="74"/>
  <c r="AP54" i="74"/>
  <c r="AQ37" i="74"/>
  <c r="AQ38" i="74" s="1"/>
  <c r="T54" i="74"/>
  <c r="AR54" i="74"/>
  <c r="M37" i="74"/>
  <c r="AK37" i="74"/>
  <c r="AK38" i="74" s="1"/>
  <c r="G54" i="74"/>
  <c r="H54" i="74"/>
  <c r="AF37" i="74"/>
  <c r="AG37" i="74"/>
  <c r="AP37" i="74"/>
  <c r="AP38" i="74" s="1"/>
  <c r="Q37" i="74"/>
  <c r="U37" i="74"/>
  <c r="M54" i="74"/>
  <c r="AC54" i="74"/>
  <c r="AJ37" i="74"/>
  <c r="F54" i="74"/>
  <c r="AT37" i="74"/>
  <c r="Y37" i="74"/>
  <c r="P54" i="74"/>
  <c r="AD37" i="74"/>
  <c r="Q54" i="74"/>
  <c r="I39" i="74"/>
  <c r="I42" i="74" s="1"/>
  <c r="I45" i="74" s="1"/>
  <c r="AU35" i="74"/>
  <c r="AK54" i="74"/>
  <c r="L54" i="74"/>
  <c r="F37" i="74"/>
  <c r="F38" i="74" s="1"/>
  <c r="I54" i="74"/>
  <c r="AI54" i="74"/>
  <c r="AM54" i="74"/>
  <c r="AL37" i="74"/>
  <c r="AL38" i="74" s="1"/>
  <c r="AN37" i="74"/>
  <c r="V37" i="74"/>
  <c r="V38" i="74" s="1"/>
  <c r="S37" i="74"/>
  <c r="Y54" i="74"/>
  <c r="AB54" i="74"/>
  <c r="O54" i="74"/>
  <c r="E53" i="74"/>
  <c r="AU52" i="74"/>
  <c r="X37" i="74"/>
  <c r="AO37" i="74"/>
  <c r="AR37" i="74"/>
  <c r="AR38" i="74" s="1"/>
  <c r="AH37" i="74"/>
  <c r="AH38" i="74" s="1"/>
  <c r="Z37" i="74"/>
  <c r="Z38" i="74" s="1"/>
  <c r="F13" i="69"/>
  <c r="E16" i="69"/>
  <c r="F16" i="69" s="1"/>
  <c r="S38" i="74" l="1"/>
  <c r="S39" i="74" s="1"/>
  <c r="S42" i="74" s="1"/>
  <c r="S45" i="74" s="1"/>
  <c r="AT38" i="74"/>
  <c r="AT39" i="74" s="1"/>
  <c r="AT42" i="74" s="1"/>
  <c r="AT45" i="74" s="1"/>
  <c r="AG38" i="74"/>
  <c r="AG39" i="74" s="1"/>
  <c r="AG42" i="74" s="1"/>
  <c r="AG45" i="74" s="1"/>
  <c r="J38" i="74"/>
  <c r="J39" i="74" s="1"/>
  <c r="J42" i="74" s="1"/>
  <c r="J45" i="74" s="1"/>
  <c r="AA38" i="74"/>
  <c r="AA39" i="74" s="1"/>
  <c r="AA42" i="74" s="1"/>
  <c r="AA45" i="74" s="1"/>
  <c r="T38" i="74"/>
  <c r="T39" i="74" s="1"/>
  <c r="T42" i="74" s="1"/>
  <c r="T45" i="74" s="1"/>
  <c r="R38" i="74"/>
  <c r="R39" i="74" s="1"/>
  <c r="R42" i="74" s="1"/>
  <c r="R45" i="74" s="1"/>
  <c r="K38" i="74"/>
  <c r="K39" i="74" s="1"/>
  <c r="K42" i="74" s="1"/>
  <c r="K45" i="74" s="1"/>
  <c r="AO38" i="74"/>
  <c r="AO39" i="74" s="1"/>
  <c r="AO42" i="74" s="1"/>
  <c r="AO45" i="74" s="1"/>
  <c r="AD38" i="74"/>
  <c r="AD39" i="74" s="1"/>
  <c r="AD42" i="74" s="1"/>
  <c r="AD45" i="74" s="1"/>
  <c r="U38" i="74"/>
  <c r="U39" i="74" s="1"/>
  <c r="U42" i="74" s="1"/>
  <c r="U45" i="74" s="1"/>
  <c r="AF38" i="74"/>
  <c r="AF39" i="74" s="1"/>
  <c r="AF42" i="74" s="1"/>
  <c r="AF45" i="74" s="1"/>
  <c r="M38" i="74"/>
  <c r="M39" i="74" s="1"/>
  <c r="M42" i="74" s="1"/>
  <c r="M45" i="74" s="1"/>
  <c r="G38" i="74"/>
  <c r="G39" i="74" s="1"/>
  <c r="G42" i="74" s="1"/>
  <c r="G45" i="74" s="1"/>
  <c r="H38" i="74"/>
  <c r="H39" i="74" s="1"/>
  <c r="H42" i="74" s="1"/>
  <c r="H45" i="74" s="1"/>
  <c r="W38" i="74"/>
  <c r="W39" i="74" s="1"/>
  <c r="W42" i="74" s="1"/>
  <c r="W45" i="74" s="1"/>
  <c r="P38" i="74"/>
  <c r="P39" i="74" s="1"/>
  <c r="P42" i="74" s="1"/>
  <c r="P45" i="74" s="1"/>
  <c r="X38" i="74"/>
  <c r="X39" i="74" s="1"/>
  <c r="X42" i="74" s="1"/>
  <c r="X45" i="74" s="1"/>
  <c r="AN38" i="74"/>
  <c r="AN39" i="74" s="1"/>
  <c r="AN42" i="74" s="1"/>
  <c r="AN45" i="74" s="1"/>
  <c r="AJ38" i="74"/>
  <c r="AJ39" i="74" s="1"/>
  <c r="AJ42" i="74" s="1"/>
  <c r="AJ45" i="74" s="1"/>
  <c r="Q38" i="74"/>
  <c r="Q39" i="74" s="1"/>
  <c r="Q42" i="74" s="1"/>
  <c r="Q45" i="74" s="1"/>
  <c r="O38" i="74"/>
  <c r="O39" i="74" s="1"/>
  <c r="O42" i="74" s="1"/>
  <c r="O45" i="74" s="1"/>
  <c r="AB38" i="74"/>
  <c r="AB39" i="74" s="1"/>
  <c r="AB42" i="74" s="1"/>
  <c r="AB45" i="74" s="1"/>
  <c r="N38" i="74"/>
  <c r="N39" i="74" s="1"/>
  <c r="N42" i="74" s="1"/>
  <c r="N45" i="74" s="1"/>
  <c r="AI38" i="74"/>
  <c r="AI39" i="74" s="1"/>
  <c r="AI42" i="74" s="1"/>
  <c r="AI45" i="74" s="1"/>
  <c r="AE38" i="74"/>
  <c r="AE39" i="74" s="1"/>
  <c r="AE42" i="74" s="1"/>
  <c r="AE45" i="74" s="1"/>
  <c r="Y38" i="74"/>
  <c r="Y39" i="74" s="1"/>
  <c r="Y42" i="74" s="1"/>
  <c r="Y45" i="74" s="1"/>
  <c r="AM38" i="74"/>
  <c r="AM39" i="74" s="1"/>
  <c r="AM42" i="74" s="1"/>
  <c r="AM45" i="74" s="1"/>
  <c r="AC38" i="74"/>
  <c r="AC39" i="74" s="1"/>
  <c r="AC42" i="74" s="1"/>
  <c r="AC45" i="74" s="1"/>
  <c r="L38" i="74"/>
  <c r="L39" i="74" s="1"/>
  <c r="L42" i="74" s="1"/>
  <c r="L45" i="74" s="1"/>
  <c r="E34" i="69"/>
  <c r="E10" i="69"/>
  <c r="AQ39" i="74"/>
  <c r="AQ42" i="74" s="1"/>
  <c r="AQ45" i="74" s="1"/>
  <c r="AU53" i="74"/>
  <c r="E29" i="74"/>
  <c r="E54" i="74"/>
  <c r="AU54" i="74" s="1"/>
  <c r="AH39" i="74"/>
  <c r="AH42" i="74" s="1"/>
  <c r="AH45" i="74" s="1"/>
  <c r="AP39" i="74"/>
  <c r="AP42" i="74" s="1"/>
  <c r="AP45" i="74" s="1"/>
  <c r="AR39" i="74"/>
  <c r="AR42" i="74" s="1"/>
  <c r="AR45" i="74" s="1"/>
  <c r="F39" i="74"/>
  <c r="F42" i="74" s="1"/>
  <c r="Z39" i="74"/>
  <c r="Z42" i="74" s="1"/>
  <c r="Z45" i="74" s="1"/>
  <c r="V39" i="74"/>
  <c r="V42" i="74" s="1"/>
  <c r="V45" i="74" s="1"/>
  <c r="AL39" i="74"/>
  <c r="AL42" i="74" s="1"/>
  <c r="AL45" i="74" s="1"/>
  <c r="AK39" i="74"/>
  <c r="AK42" i="74" s="1"/>
  <c r="AK45" i="74" s="1"/>
  <c r="F33" i="69"/>
  <c r="F45" i="74" l="1"/>
  <c r="B11" i="67"/>
  <c r="AU29" i="74"/>
  <c r="E37" i="74"/>
  <c r="E38" i="74" l="1"/>
  <c r="AU37" i="74"/>
  <c r="F34" i="69"/>
  <c r="E35" i="69"/>
  <c r="F35" i="69" s="1"/>
  <c r="F10" i="69"/>
  <c r="E18" i="69"/>
  <c r="AU38" i="74" l="1"/>
  <c r="E19" i="69"/>
  <c r="E39" i="74"/>
  <c r="AU39" i="74" s="1"/>
  <c r="F18" i="69"/>
  <c r="E42" i="74" l="1"/>
  <c r="E45" i="74" l="1"/>
  <c r="AU42" i="74"/>
  <c r="F19" i="69"/>
  <c r="E20" i="69"/>
  <c r="F20" i="69" l="1"/>
  <c r="E23" i="69"/>
  <c r="F26" i="69"/>
  <c r="E4" i="69" l="1"/>
  <c r="E24" i="69"/>
  <c r="F23" i="69"/>
  <c r="F4" i="69" s="1"/>
  <c r="B12" i="67" l="1"/>
  <c r="B14" i="67" l="1"/>
</calcChain>
</file>

<file path=xl/sharedStrings.xml><?xml version="1.0" encoding="utf-8"?>
<sst xmlns="http://schemas.openxmlformats.org/spreadsheetml/2006/main" count="718" uniqueCount="248">
  <si>
    <t>Puget Sound Energy</t>
  </si>
  <si>
    <t>IPL-CRM REVENUE REQUIREMENT MODEL</t>
  </si>
  <si>
    <t>Program Year</t>
  </si>
  <si>
    <t>(Spending November 1 to October 31)</t>
  </si>
  <si>
    <t>Input Capital Costs and Rates</t>
  </si>
  <si>
    <t xml:space="preserve">Weighted </t>
  </si>
  <si>
    <t>Cost of Capital</t>
  </si>
  <si>
    <t>% of Capital</t>
  </si>
  <si>
    <t>Cost</t>
  </si>
  <si>
    <t>Common Equity</t>
  </si>
  <si>
    <t>Total Pre Tax Cost of Capital</t>
  </si>
  <si>
    <t>Federal Tax Rate</t>
  </si>
  <si>
    <t xml:space="preserve">Revenue Sensitive Rate </t>
  </si>
  <si>
    <t>Depreciation Rate</t>
  </si>
  <si>
    <t>Bonus Tax Depreciation toggled  (1 = yes, 2 = no)</t>
  </si>
  <si>
    <t>Replacement Plan Investment</t>
  </si>
  <si>
    <t>Normalized Investment (baseline)</t>
  </si>
  <si>
    <t>Investment</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</si>
  <si>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</si>
  <si>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</si>
  <si>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</si>
  <si>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</si>
  <si>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</si>
  <si>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</si>
  <si>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</si>
  <si>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</si>
  <si>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</si>
  <si>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</si>
  <si>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</si>
  <si>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</si>
  <si>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</si>
  <si>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</si>
  <si>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</si>
  <si>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</si>
  <si>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</si>
  <si>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</si>
  <si>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</si>
  <si>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</si>
  <si>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</si>
  <si>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</si>
  <si>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</si>
  <si>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</si>
  <si>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</si>
  <si>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Year 26</t>
  </si>
  <si>
    <t>Year 27</t>
  </si>
  <si>
    <t>Year 28</t>
  </si>
  <si>
    <t>Year 29</t>
  </si>
  <si>
    <t>Year 30</t>
  </si>
  <si>
    <t>Year 31</t>
  </si>
  <si>
    <t>Year 32</t>
  </si>
  <si>
    <t>Year 33</t>
  </si>
  <si>
    <t>Year 34</t>
  </si>
  <si>
    <t>Year 35</t>
  </si>
  <si>
    <t>Depreciation</t>
  </si>
  <si>
    <t>Federal Taxes on Equity Return</t>
  </si>
  <si>
    <t>Return on Rate Base</t>
  </si>
  <si>
    <t>Long Term Debt</t>
  </si>
  <si>
    <t>Short Term Debt</t>
  </si>
  <si>
    <t xml:space="preserve">      Total Return</t>
  </si>
  <si>
    <t xml:space="preserve">Cost of Service </t>
  </si>
  <si>
    <t>Revenue Sensitive Items</t>
  </si>
  <si>
    <t>Total  Cost of Service</t>
  </si>
  <si>
    <t>Total Cost of Service (Capital &amp; O&amp;M)</t>
  </si>
  <si>
    <t>Annual Cost of Service as % of Investment</t>
  </si>
  <si>
    <t>Rate Base - net of deprec. &amp; def. tax</t>
  </si>
  <si>
    <t>Federal Taxable Equity Income</t>
  </si>
  <si>
    <t>Less:  Federal Tax</t>
  </si>
  <si>
    <t>Return</t>
  </si>
  <si>
    <t>Book Depreciation</t>
  </si>
  <si>
    <t>Tax Depreciation</t>
  </si>
  <si>
    <t>Book-Tax Difference</t>
  </si>
  <si>
    <t>Tax Effect</t>
  </si>
  <si>
    <t>MACRS Depreciation - 20</t>
  </si>
  <si>
    <t>MACRS Depreciation - 20 year - Bonus</t>
  </si>
  <si>
    <t>Year 36</t>
  </si>
  <si>
    <t>Year 37</t>
  </si>
  <si>
    <t>PUGET SOUND ENERGY</t>
  </si>
  <si>
    <t>COST RECOVERY MECHANISM</t>
  </si>
  <si>
    <t>COST BREAKDOWN BY PROGRAM</t>
  </si>
  <si>
    <t>WBS Element</t>
  </si>
  <si>
    <t>WBS Description</t>
  </si>
  <si>
    <t>Total CRM Actual and Forecast</t>
  </si>
  <si>
    <t>Grand Total</t>
  </si>
  <si>
    <t>Mains</t>
  </si>
  <si>
    <t>Services</t>
  </si>
  <si>
    <t>DEPRECIATION EXPENSE CALCULATION</t>
  </si>
  <si>
    <t>Type</t>
  </si>
  <si>
    <t>Rate per Study</t>
  </si>
  <si>
    <t>FERC G376</t>
  </si>
  <si>
    <t>FERC G380</t>
  </si>
  <si>
    <t>Total</t>
  </si>
  <si>
    <t>Main</t>
  </si>
  <si>
    <t>Total Annual Depr</t>
  </si>
  <si>
    <t>WEIGHTED AVERAGE COMPOSITE RATE</t>
  </si>
  <si>
    <t>Actuals Nov 2016 - July 2017</t>
  </si>
  <si>
    <t>R.10015.03.04.01</t>
  </si>
  <si>
    <t>G-DIMP DUPONT PIPE REPL-MAIN WITH SERV</t>
  </si>
  <si>
    <t>R.10015.03.04.02</t>
  </si>
  <si>
    <t>G-DIMP OLDER STW REPL-MAIN WITH SERVICE</t>
  </si>
  <si>
    <t>R.10015.03.04.03</t>
  </si>
  <si>
    <t>G-DIMP OLDER STW REPL-SERVICE ONLY</t>
  </si>
  <si>
    <t>Program Years</t>
  </si>
  <si>
    <t>True Up Amount</t>
  </si>
  <si>
    <t>Year</t>
  </si>
  <si>
    <t>Check</t>
  </si>
  <si>
    <t>Table</t>
  </si>
  <si>
    <t>Apply 50% Bonus</t>
  </si>
  <si>
    <t>Apply 40% Bonus</t>
  </si>
  <si>
    <t>LINE</t>
  </si>
  <si>
    <t>NO.</t>
  </si>
  <si>
    <t>DESCRIPTION</t>
  </si>
  <si>
    <t>RATE</t>
  </si>
  <si>
    <t>BAD DEBTS</t>
  </si>
  <si>
    <t>ANNUAL FILING FEE</t>
  </si>
  <si>
    <t>SUM OF TAXES OTHER</t>
  </si>
  <si>
    <t>CONVERSION FACTOR EXCLUDING FEDERAL INCOME TAX ( 1 - LINE 5)</t>
  </si>
  <si>
    <t>FEDERAL INCOME TAX ( LINE 7 * 35%)</t>
  </si>
  <si>
    <t xml:space="preserve">CONVERSION FACTOR INCL FEDERAL INCOME TAX ( LINE 5 + LINE 8 ) </t>
  </si>
  <si>
    <t>As  Filed</t>
  </si>
  <si>
    <t>True Up</t>
  </si>
  <si>
    <t>Current Year</t>
  </si>
  <si>
    <t>Pre Tax Long and Short Term Debt</t>
  </si>
  <si>
    <t>Year 38</t>
  </si>
  <si>
    <t>Year 39</t>
  </si>
  <si>
    <t>Year 40</t>
  </si>
  <si>
    <t>Partial Year 41</t>
  </si>
  <si>
    <t>Actual October 2017</t>
  </si>
  <si>
    <t>Per Depreciation Study Adjustment</t>
  </si>
  <si>
    <t>ACCOUNT</t>
  </si>
  <si>
    <t>Pre Jan 1, 2018</t>
  </si>
  <si>
    <t>17 GRC rate, Jan 1, 2018</t>
  </si>
  <si>
    <t>NUMBER</t>
  </si>
  <si>
    <t>%</t>
  </si>
  <si>
    <t xml:space="preserve">MAINS - PLASTIC                           </t>
  </si>
  <si>
    <t>SERVICES - PLASTIC</t>
  </si>
  <si>
    <t>Rate per 2017 GRC Study</t>
  </si>
  <si>
    <t>FERC G376.2</t>
  </si>
  <si>
    <t>FERC G380.2</t>
  </si>
  <si>
    <t>Page 3.04</t>
  </si>
  <si>
    <t>PUGET SOUND ENERGY-ELECTRIC</t>
  </si>
  <si>
    <t>FOR THE TWELVE MONTHS ENDED SEPTEMBER 30, 2016</t>
  </si>
  <si>
    <t>STATE UTILITY TAX - NET OF BAD DEBTS ( 3.8734% - ( LINE 1 * 3.8734%) )</t>
  </si>
  <si>
    <t>Percent Mains</t>
  </si>
  <si>
    <t>Percent Services</t>
  </si>
  <si>
    <t>Rate per 2007 GRC Study</t>
  </si>
  <si>
    <t>CONVERSION FACTOR - GAS</t>
  </si>
  <si>
    <t>Revenue Sensitive Items Rate</t>
  </si>
  <si>
    <t>2018 Projects 
In Service November to September Actual Costs</t>
  </si>
  <si>
    <t>2018 Projects 
 October Project Forecast</t>
  </si>
  <si>
    <t>Rates beginning November 1, 2019</t>
  </si>
  <si>
    <t>41 years of depr</t>
  </si>
  <si>
    <t>Partial last year due to composite rate</t>
  </si>
  <si>
    <t>2019 Projects 
In Service November to September Actual Costs</t>
  </si>
  <si>
    <t>2018 - 2019</t>
  </si>
  <si>
    <t>2020 CRM Program, Year 1</t>
  </si>
  <si>
    <t>2019 CRM Program, Year 1 True Up to Actuals</t>
  </si>
  <si>
    <t>Depreciation, Capital Spendings</t>
  </si>
  <si>
    <t>Program Year 2019</t>
  </si>
  <si>
    <t>True up of 2019 CRM Year One</t>
  </si>
  <si>
    <t>O&amp;M</t>
  </si>
  <si>
    <t>WBS</t>
  </si>
  <si>
    <t>Forecast</t>
  </si>
  <si>
    <t>Buried Meters mitigations</t>
  </si>
  <si>
    <t>R.99999.04.20.03</t>
  </si>
  <si>
    <t>Legacy Cross Bore inspections</t>
  </si>
  <si>
    <t>R.99999.04.37.10</t>
  </si>
  <si>
    <t>Legacy Cross Bore repairs</t>
  </si>
  <si>
    <t>R.99999.04.37.11</t>
  </si>
  <si>
    <t>CAPITAL</t>
  </si>
  <si>
    <t>Buried Meters replacements</t>
  </si>
  <si>
    <t>R.10015.03.09.15</t>
  </si>
  <si>
    <t>DuPont Pipe Replacement Program</t>
  </si>
  <si>
    <t>Total for all programs</t>
  </si>
  <si>
    <t>Actual Amount</t>
  </si>
  <si>
    <t>Depr. Exp</t>
  </si>
  <si>
    <t>Program</t>
  </si>
  <si>
    <t>Total O&amp;M Rev Req</t>
  </si>
  <si>
    <t>Total Cost of Service (Capital)</t>
  </si>
  <si>
    <t>Total Capital from 2020 CRM tab</t>
  </si>
  <si>
    <t>Rev Req for Capital and O&amp;M Investments</t>
  </si>
  <si>
    <t>2019 Projects 
October Project Actuals</t>
  </si>
  <si>
    <t>2020 PROGRAM YEAR</t>
  </si>
  <si>
    <t>2019 - 2020</t>
  </si>
  <si>
    <t>2019 CRM Program, Year 2</t>
  </si>
  <si>
    <t>Total True up</t>
  </si>
  <si>
    <t>Rates beginning December 19, 2018</t>
  </si>
  <si>
    <t>Rates through December 18, 2018</t>
  </si>
  <si>
    <t>check s/b $0</t>
  </si>
  <si>
    <t>Plant Investment</t>
  </si>
  <si>
    <t>Dep Rate</t>
  </si>
  <si>
    <t>Note</t>
  </si>
  <si>
    <t>2.  Legacy Cross Bore inspections and repair</t>
  </si>
  <si>
    <t>Increase in 2020 CRM year is due to adding two new spending to the program</t>
  </si>
  <si>
    <t>FERC</t>
  </si>
  <si>
    <t>Description of Charges</t>
  </si>
  <si>
    <t>InfraSource Labor</t>
  </si>
  <si>
    <t>HydroMax Labor</t>
  </si>
  <si>
    <t>COS Spread</t>
  </si>
  <si>
    <t>EXH. SEF-3G page 2 of 3</t>
  </si>
  <si>
    <t>EXH. SEF-3G page 3 of 4</t>
  </si>
  <si>
    <t>PUGET SOUND ENERGY - NATURAL GAS</t>
  </si>
  <si>
    <t>RESULTS OF OPERATIONS</t>
  </si>
  <si>
    <t>2019 GENERAL RATE CASE</t>
  </si>
  <si>
    <t>12 MONTHS ENDED DECEMBER 31, 2018</t>
  </si>
  <si>
    <t>COST OF CAPITAL - PROFORMA</t>
  </si>
  <si>
    <t>CONVERSION FACTOR</t>
  </si>
  <si>
    <t>WEIGHTED</t>
  </si>
  <si>
    <t>STRUCTURE</t>
  </si>
  <si>
    <t>COST</t>
  </si>
  <si>
    <t>SHORT AND LONG TERM DEBT</t>
  </si>
  <si>
    <t>EQUITY</t>
  </si>
  <si>
    <t>TOTAL</t>
  </si>
  <si>
    <t>STATE UTILITY TAX ( 3.8323% - ( LINE 1 * 3.8323% )  )</t>
  </si>
  <si>
    <t>AFTER TAX SHORT TERM DEBT ( (LINE 1)* 79%)</t>
  </si>
  <si>
    <t>TOTAL AFTER TAX COST OF CAPITAL</t>
  </si>
  <si>
    <t>CONVERSION FACTOR EXCLUDING FEDERAL INCOME TAX ( 1 - LINE 6 )</t>
  </si>
  <si>
    <t>FEDERAL INCOME TAX ( LINE 7  * 21% )</t>
  </si>
  <si>
    <t xml:space="preserve">CONVERSION FACTOR INCL FEDERAL INCOME TAX ( LINE 7 - LINE 8 ) </t>
  </si>
  <si>
    <t>2019 GRC Compliance Filing</t>
  </si>
  <si>
    <t xml:space="preserve">FILED ON OCT 16, 2019 </t>
  </si>
  <si>
    <t>2017 GRC</t>
  </si>
  <si>
    <t>2019 GRC</t>
  </si>
  <si>
    <t>Oct 2020 FILING</t>
  </si>
  <si>
    <t>For the Period November 2019 - October 2020</t>
  </si>
  <si>
    <t xml:space="preserve">O &amp; M </t>
  </si>
  <si>
    <t>Actual (Nov 2019 - Sept 2020)</t>
  </si>
  <si>
    <t>Forecast Est. (October 2020)</t>
  </si>
  <si>
    <t>Total(Nov 2019 -Oct 2020)</t>
  </si>
  <si>
    <t xml:space="preserve">Total O&amp;M </t>
  </si>
  <si>
    <t xml:space="preserve">Capital </t>
  </si>
  <si>
    <t>Dupont Plastic Replacement</t>
  </si>
  <si>
    <t>Buried Meters Replacements</t>
  </si>
  <si>
    <t>R.99999.03.09.15</t>
  </si>
  <si>
    <t>Total Capital</t>
  </si>
  <si>
    <t>Total O&amp;M + CAPITAL</t>
  </si>
  <si>
    <t>Actual Amount Nov 2019 - Sept 2020</t>
  </si>
  <si>
    <t xml:space="preserve"> October 2020</t>
  </si>
  <si>
    <t>Total Revenue Requirement For Oct 2020 Filing</t>
  </si>
  <si>
    <t>(See detail orders in the Summary All Program Orders Oct 2020 Filing)</t>
  </si>
  <si>
    <t>1.  Buried Meters replacements</t>
  </si>
  <si>
    <t xml:space="preserve">Forecasted Amounts include one unit to complete plus additional charges from previous months. </t>
  </si>
  <si>
    <t>Remove Legasy Cross Bore Estimate</t>
  </si>
  <si>
    <t>A</t>
  </si>
  <si>
    <t>TM Legend</t>
  </si>
  <si>
    <t>B</t>
  </si>
  <si>
    <t>Remove Legacy Cross Bore Estimate</t>
  </si>
  <si>
    <t>PSE included Buried Meters in its initial 2020 CRM filing, but, upon further investigation noted buried meter mitigation expenses were included in its historical test year in its 2019 GRC. These costs were above the amounts incurred between November 2019 through September 2020. Thus, PSE has removed these costs from this filing.</t>
  </si>
  <si>
    <t>Similar to above, Legacy Cross Bore costs were included in the test year of PSE's 2019 GRC. As only approximately 300 inspections were completed in 2018 as compared to over 7,300 in 2020, the costs have significantly increased and PSE is removing the estimated 2018 costs from this filing.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</si>
</sst>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
    <numFmt numFmtId="165" formatCode="_(&quot;$&quot;* #,##0_);_(&quot;$&quot;* \(#,##0\);_(&quot;$&quot;* &quot;-&quot;??_);_(@_)"/>
    <numFmt numFmtId="166" formatCode="0.000000"/>
    <numFmt numFmtId="167" formatCode="&quot;$&quot;#,##0"/>
    <numFmt numFmtId="168" formatCode="0.000%"/>
    <numFmt numFmtId="169" formatCode="_(* #,##0_);_(* \(#,##0\);_(* &quot;-&quot;??_);_(@_)"/>
    <numFmt numFmtId="170" formatCode="#,##0.000"/>
    <numFmt numFmtId="171" formatCode="_(* #,##0.00000_);_(* \(#,##0.00000\);_(* &quot;-&quot;??_);_(@_)"/>
    <numFmt numFmtId="172" formatCode="_(* #,##0.0000_);_(* \(#,##0.0000\);_(* &quot;-&quot;??_);_(@_)"/>
    <numFmt numFmtId="173" formatCode="_(* #,##0.000_);_(* \(#,##0.000\);_(* &quot;-&quot;??_);_(@_)"/>
    <numFmt numFmtId="174" formatCode="#,##0.0"/>
  </numFmts>
  <fonts count="5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11"/>
      <color indexed="8"/>
      <name val="Calibri"/>
      <family val="2"/>
    </font>
    <font>
      <sz val="11"/>
      <color indexed="8"/>
      <name val="Calibri"/>
      <family val="2"/>
      <scheme val="minor"/>
    </font>
    <font>
      <b/>
      <sz val="11"/>
      <color indexed="8"/>
      <name val="Calibri"/>
      <family val="2"/>
    </font>
    <font>
      <b/>
      <sz val="11"/>
      <name val="Arial"/>
      <family val="2"/>
    </font>
    <font>
      <b/>
      <sz val="11"/>
      <name val="Calibri"/>
      <family val="2"/>
    </font>
    <font>
      <sz val="11"/>
      <color indexed="12"/>
      <name val="Calibri"/>
      <family val="2"/>
    </font>
    <font>
      <sz val="11"/>
      <name val="Calibri"/>
      <family val="2"/>
    </font>
    <font>
      <sz val="11"/>
      <name val="Arial"/>
      <family val="2"/>
    </font>
    <font>
      <sz val="10"/>
      <name val="Arial"/>
      <family val="2"/>
    </font>
    <font>
      <b/>
      <sz val="11"/>
      <color theme="1"/>
      <name val="Calibri"/>
      <family val="2"/>
      <scheme val="minor"/>
    </font>
    <font>
      <sz val="8"/>
      <name val="Helv"/>
    </font>
    <font>
      <b/>
      <sz val="10"/>
      <name val="Arial"/>
      <family val="2"/>
    </font>
    <font>
      <sz val="10"/>
      <color theme="1"/>
      <name val="Arial"/>
      <family val="2"/>
    </font>
    <font>
      <b/>
      <sz val="11"/>
      <name val="Calibri"/>
      <family val="2"/>
      <scheme val="minor"/>
    </font>
    <font>
      <b/>
      <sz val="12"/>
      <color theme="1"/>
      <name val="Calibri"/>
      <family val="2"/>
      <scheme val="minor"/>
    </font>
    <font>
      <sz val="12"/>
      <color theme="1"/>
      <name val="Calibri"/>
      <family val="2"/>
      <scheme val="minor"/>
    </font>
    <font>
      <sz val="12"/>
      <color theme="1"/>
      <name val="Arial"/>
      <family val="2"/>
    </font>
    <font>
      <b/>
      <sz val="10"/>
      <name val="Times New Roman"/>
      <family val="1"/>
    </font>
    <font>
      <sz val="10"/>
      <name val="Times New Roman"/>
      <family val="1"/>
    </font>
    <font>
      <b/>
      <sz val="9"/>
      <name val="Arial"/>
      <family val="2"/>
    </font>
    <font>
      <sz val="9"/>
      <name val="Arial"/>
      <family val="2"/>
    </font>
    <font>
      <b/>
      <sz val="11"/>
      <color theme="0"/>
      <name val="Calibri"/>
      <family val="2"/>
    </font>
    <font>
      <sz val="11"/>
      <color rgb="FF000000"/>
      <name val="Calibri"/>
      <family val="2"/>
    </font>
    <font>
      <b/>
      <sz val="11"/>
      <color rgb="FF000000"/>
      <name val="Calibri"/>
      <family val="2"/>
    </font>
    <font>
      <sz val="8"/>
      <color rgb="FF0000FF"/>
      <name val="Arial"/>
      <family val="2"/>
    </font>
    <font>
      <sz val="8"/>
      <color rgb="FF0000FF"/>
      <name val="Calibri"/>
      <family val="2"/>
    </font>
    <font>
      <b/>
      <u/>
      <sz val="9"/>
      <color rgb="FF0000FF"/>
      <name val="Arial"/>
      <family val="2"/>
    </font>
    <font>
      <sz val="11"/>
      <color theme="1"/>
      <name val="Times New Roman"/>
      <family val="1"/>
    </font>
    <font>
      <b/>
      <sz val="11"/>
      <color theme="1"/>
      <name val="Times New Roman"/>
      <family val="1"/>
    </font>
    <font>
      <b/>
      <sz val="10"/>
      <color theme="1"/>
      <name val="Times New Roman"/>
      <family val="1"/>
    </font>
    <font>
      <sz val="10"/>
      <color theme="1"/>
      <name val="Times New Roman"/>
      <family val="1"/>
    </font>
    <font>
      <sz val="11"/>
      <color rgb="FF0000FF"/>
      <name val="Times New Roman"/>
      <family val="1"/>
    </font>
    <font>
      <sz val="11"/>
      <color rgb="FF0000FF"/>
      <name val="Calibri"/>
      <family val="2"/>
    </font>
    <font>
      <b/>
      <sz val="11"/>
      <color rgb="FF0000FF"/>
      <name val="Calibri"/>
      <family val="2"/>
    </font>
    <font>
      <b/>
      <sz val="11"/>
      <color rgb="FFFF0000"/>
      <name val="Calibri"/>
      <family val="2"/>
    </font>
    <font>
      <sz val="10"/>
      <color theme="1"/>
      <name val="Calibri"/>
      <family val="2"/>
      <scheme val="minor"/>
    </font>
    <font>
      <b/>
      <sz val="10"/>
      <color theme="1"/>
      <name val="Calibri"/>
      <family val="2"/>
      <scheme val="minor"/>
    </font>
    <font>
      <sz val="8"/>
      <color rgb="FF0000FF"/>
      <name val="Calibri"/>
      <family val="2"/>
      <scheme val="minor"/>
    </font>
    <font>
      <sz val="9"/>
      <color rgb="FF0000FF"/>
      <name val="Calibri"/>
      <family val="2"/>
      <scheme val="minor"/>
    </font>
    <font>
      <b/>
      <u/>
      <sz val="11"/>
      <color theme="1"/>
      <name val="Calibri"/>
      <family val="2"/>
      <scheme val="minor"/>
    </font>
    <font>
      <b/>
      <sz val="10"/>
      <color rgb="FF0000FF"/>
      <name val="Arial"/>
      <family val="2"/>
    </font>
    <font>
      <b/>
      <sz val="11"/>
      <color rgb="FF0000FF"/>
      <name val="Calibri"/>
      <family val="2"/>
      <scheme val="minor"/>
    </font>
    <font>
      <sz val="11"/>
      <color rgb="FF0000FF"/>
      <name val="Calibri"/>
      <family val="2"/>
      <scheme val="minor"/>
    </font>
  </fonts>
  <fills count="12">
    <fill>
      <patternFill patternType="none"/>
    </fill>
    <fill>
      <patternFill patternType="gray125"/>
    </fill>
    <fill>
      <patternFill patternType="solid">
        <fgColor theme="6" tint="0.59999389629810485"/>
        <bgColor indexed="64"/>
      </patternFill>
    </fill>
    <fill>
      <patternFill patternType="solid">
        <fgColor rgb="FF66FFFF"/>
        <bgColor indexed="64"/>
      </patternFill>
    </fill>
    <fill>
      <patternFill patternType="solid">
        <fgColor theme="1" tint="0.499984740745262"/>
        <bgColor indexed="64"/>
      </patternFill>
    </fill>
    <fill>
      <patternFill patternType="solid">
        <fgColor rgb="FFFFCCCC"/>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E31D93"/>
        <bgColor indexed="64"/>
      </patternFill>
    </fill>
    <fill>
      <patternFill patternType="solid">
        <fgColor theme="1"/>
        <bgColor indexed="64"/>
      </patternFill>
    </fill>
    <fill>
      <patternFill patternType="solid">
        <fgColor theme="8" tint="0.79998168889431442"/>
        <bgColor indexed="64"/>
      </patternFill>
    </fill>
    <fill>
      <patternFill patternType="solid">
        <fgColor theme="2" tint="-9.9978637043366805E-2"/>
        <bgColor indexed="64"/>
      </patternFill>
    </fill>
  </fills>
  <borders count="46">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top style="thin">
        <color indexed="64"/>
      </top>
      <bottom style="double">
        <color indexed="64"/>
      </bottom>
      <diagonal/>
    </border>
    <border>
      <left style="medium">
        <color indexed="64"/>
      </left>
      <right style="medium">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bottom style="double">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s>
  <cellStyleXfs count="13">
    <xf numFmtId="0" fontId="0" fillId="0" borderId="0"/>
    <xf numFmtId="43" fontId="18" fillId="0" borderId="0" applyFont="0" applyFill="0" applyBorder="0" applyAlignment="0" applyProtection="0"/>
    <xf numFmtId="9" fontId="18" fillId="0" borderId="0" applyFont="0" applyFill="0" applyBorder="0" applyAlignment="0" applyProtection="0"/>
    <xf numFmtId="0" fontId="22" fillId="0" borderId="0"/>
    <xf numFmtId="0" fontId="6"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4" fontId="18" fillId="0" borderId="0" applyFont="0" applyFill="0" applyBorder="0" applyAlignment="0" applyProtection="0"/>
    <xf numFmtId="0" fontId="1" fillId="0" borderId="0"/>
    <xf numFmtId="43" fontId="1" fillId="0" borderId="0" applyFont="0" applyFill="0" applyBorder="0" applyAlignment="0" applyProtection="0"/>
    <xf numFmtId="0" fontId="1" fillId="0" borderId="0"/>
  </cellStyleXfs>
  <cellXfs count="410">
    <xf numFmtId="0" fontId="0" fillId="0" borderId="0" xfId="0"/>
    <xf numFmtId="0" fontId="14" fillId="0" borderId="0" xfId="0" applyFont="1" applyFill="1" applyAlignment="1" applyProtection="1">
      <alignment horizontal="left"/>
    </xf>
    <xf numFmtId="0" fontId="14" fillId="0" borderId="0" xfId="0" applyFont="1" applyFill="1" applyAlignment="1">
      <alignment vertical="top"/>
    </xf>
    <xf numFmtId="0" fontId="10" fillId="0" borderId="0" xfId="0" applyFont="1" applyFill="1" applyAlignment="1">
      <alignment vertical="top"/>
    </xf>
    <xf numFmtId="0" fontId="12" fillId="0" borderId="0" xfId="0" applyFont="1" applyFill="1" applyAlignment="1">
      <alignment vertical="top"/>
    </xf>
    <xf numFmtId="3" fontId="10" fillId="0" borderId="0" xfId="0" applyNumberFormat="1" applyFont="1" applyFill="1" applyAlignment="1">
      <alignment vertical="top"/>
    </xf>
    <xf numFmtId="0" fontId="14" fillId="0" borderId="0" xfId="0" applyFont="1" applyFill="1" applyAlignment="1">
      <alignment horizontal="left"/>
    </xf>
    <xf numFmtId="0" fontId="14" fillId="0" borderId="3" xfId="0" quotePrefix="1" applyFont="1" applyFill="1" applyBorder="1" applyAlignment="1">
      <alignment horizontal="left" vertical="top"/>
    </xf>
    <xf numFmtId="0" fontId="14" fillId="0" borderId="4" xfId="0" applyFont="1" applyFill="1" applyBorder="1" applyAlignment="1">
      <alignment vertical="top"/>
    </xf>
    <xf numFmtId="0" fontId="10" fillId="0" borderId="4" xfId="0" applyFont="1" applyFill="1" applyBorder="1" applyAlignment="1">
      <alignment vertical="top"/>
    </xf>
    <xf numFmtId="3" fontId="10" fillId="0" borderId="5" xfId="0" applyNumberFormat="1" applyFont="1" applyFill="1" applyBorder="1" applyAlignment="1">
      <alignment vertical="top"/>
    </xf>
    <xf numFmtId="3" fontId="10" fillId="0" borderId="0" xfId="0" applyNumberFormat="1" applyFont="1" applyFill="1" applyBorder="1" applyAlignment="1">
      <alignment vertical="top"/>
    </xf>
    <xf numFmtId="0" fontId="14" fillId="0" borderId="6" xfId="0" applyFont="1" applyFill="1" applyBorder="1" applyAlignment="1">
      <alignment vertical="top"/>
    </xf>
    <xf numFmtId="0" fontId="14" fillId="0" borderId="0" xfId="0" applyFont="1" applyFill="1" applyBorder="1" applyAlignment="1">
      <alignment vertical="top"/>
    </xf>
    <xf numFmtId="0" fontId="10" fillId="0" borderId="0" xfId="0" applyFont="1" applyFill="1" applyBorder="1" applyAlignment="1">
      <alignment vertical="top"/>
    </xf>
    <xf numFmtId="3" fontId="10" fillId="0" borderId="7" xfId="0" applyNumberFormat="1" applyFont="1" applyFill="1" applyBorder="1" applyAlignment="1">
      <alignment vertical="top"/>
    </xf>
    <xf numFmtId="0" fontId="14" fillId="0" borderId="0" xfId="0" applyFont="1" applyFill="1" applyBorder="1" applyAlignment="1">
      <alignment horizontal="center" vertical="top"/>
    </xf>
    <xf numFmtId="0" fontId="14" fillId="0" borderId="7" xfId="0" applyFont="1" applyFill="1" applyBorder="1" applyAlignment="1">
      <alignment horizontal="center" vertical="top"/>
    </xf>
    <xf numFmtId="0" fontId="13" fillId="0" borderId="0" xfId="0" applyFont="1" applyFill="1" applyBorder="1" applyAlignment="1">
      <alignment horizontal="center" vertical="top"/>
    </xf>
    <xf numFmtId="0" fontId="14" fillId="0" borderId="1" xfId="0" applyFont="1" applyFill="1" applyBorder="1" applyAlignment="1">
      <alignment horizontal="center" vertical="top"/>
    </xf>
    <xf numFmtId="0" fontId="14" fillId="0" borderId="8" xfId="0" applyFont="1" applyFill="1" applyBorder="1" applyAlignment="1">
      <alignment horizontal="center" vertical="top"/>
    </xf>
    <xf numFmtId="0" fontId="10" fillId="0" borderId="7" xfId="0" applyFont="1" applyFill="1" applyBorder="1" applyAlignment="1">
      <alignment vertical="top"/>
    </xf>
    <xf numFmtId="42" fontId="10" fillId="0" borderId="0" xfId="0" applyNumberFormat="1" applyFont="1" applyFill="1" applyAlignment="1">
      <alignment vertical="top"/>
    </xf>
    <xf numFmtId="10" fontId="15" fillId="0" borderId="0" xfId="0" applyNumberFormat="1" applyFont="1" applyFill="1" applyBorder="1" applyAlignment="1">
      <alignment vertical="top"/>
    </xf>
    <xf numFmtId="10" fontId="15" fillId="0" borderId="7" xfId="0" applyNumberFormat="1" applyFont="1" applyFill="1" applyBorder="1" applyAlignment="1">
      <alignment vertical="top"/>
    </xf>
    <xf numFmtId="10" fontId="15" fillId="0" borderId="1" xfId="0" applyNumberFormat="1" applyFont="1" applyFill="1" applyBorder="1" applyAlignment="1">
      <alignment vertical="top"/>
    </xf>
    <xf numFmtId="10" fontId="15" fillId="0" borderId="8" xfId="0" applyNumberFormat="1" applyFont="1" applyFill="1" applyBorder="1" applyAlignment="1">
      <alignment vertical="top"/>
    </xf>
    <xf numFmtId="10" fontId="10" fillId="0" borderId="9" xfId="0" applyNumberFormat="1" applyFont="1" applyFill="1" applyBorder="1" applyAlignment="1">
      <alignment vertical="top"/>
    </xf>
    <xf numFmtId="10" fontId="10" fillId="0" borderId="0" xfId="0" applyNumberFormat="1" applyFont="1" applyFill="1" applyBorder="1" applyAlignment="1">
      <alignment vertical="top"/>
    </xf>
    <xf numFmtId="10" fontId="10" fillId="0" borderId="10" xfId="0" applyNumberFormat="1" applyFont="1" applyFill="1" applyBorder="1" applyAlignment="1">
      <alignment vertical="top"/>
    </xf>
    <xf numFmtId="3" fontId="15" fillId="0" borderId="7" xfId="0" applyNumberFormat="1" applyFont="1" applyFill="1" applyBorder="1" applyAlignment="1">
      <alignment vertical="top"/>
    </xf>
    <xf numFmtId="0" fontId="14" fillId="0" borderId="11" xfId="0" applyFont="1" applyFill="1" applyBorder="1" applyAlignment="1">
      <alignment vertical="top"/>
    </xf>
    <xf numFmtId="0" fontId="14" fillId="0" borderId="2" xfId="0" applyFont="1" applyFill="1" applyBorder="1" applyAlignment="1">
      <alignment vertical="top"/>
    </xf>
    <xf numFmtId="0" fontId="10" fillId="0" borderId="2" xfId="0" applyFont="1" applyFill="1" applyBorder="1" applyAlignment="1">
      <alignment vertical="top"/>
    </xf>
    <xf numFmtId="0" fontId="13" fillId="0" borderId="0" xfId="0" applyFont="1" applyFill="1" applyAlignment="1">
      <alignment vertical="top"/>
    </xf>
    <xf numFmtId="3" fontId="10" fillId="0" borderId="0" xfId="0" applyNumberFormat="1" applyFont="1" applyFill="1" applyAlignment="1" applyProtection="1">
      <alignment vertical="top"/>
      <protection hidden="1"/>
    </xf>
    <xf numFmtId="3" fontId="14" fillId="2" borderId="1" xfId="0" quotePrefix="1" applyNumberFormat="1" applyFont="1" applyFill="1" applyBorder="1" applyAlignment="1">
      <alignment horizontal="center" vertical="top"/>
    </xf>
    <xf numFmtId="3" fontId="14" fillId="0" borderId="1" xfId="0" quotePrefix="1" applyNumberFormat="1" applyFont="1" applyFill="1" applyBorder="1" applyAlignment="1">
      <alignment horizontal="center" vertical="top"/>
    </xf>
    <xf numFmtId="42" fontId="9" fillId="2" borderId="0" xfId="0" applyNumberFormat="1" applyFont="1" applyFill="1" applyAlignment="1">
      <alignment vertical="top"/>
    </xf>
    <xf numFmtId="44" fontId="9" fillId="0" borderId="0" xfId="0" applyNumberFormat="1" applyFont="1" applyFill="1" applyAlignment="1">
      <alignment vertical="top"/>
    </xf>
    <xf numFmtId="42" fontId="9" fillId="2" borderId="1" xfId="0" applyNumberFormat="1" applyFont="1" applyFill="1" applyBorder="1" applyAlignment="1">
      <alignment vertical="top"/>
    </xf>
    <xf numFmtId="42" fontId="9" fillId="2" borderId="0" xfId="0" applyNumberFormat="1" applyFont="1" applyFill="1" applyBorder="1" applyAlignment="1">
      <alignment vertical="top"/>
    </xf>
    <xf numFmtId="3" fontId="9" fillId="0" borderId="0" xfId="0" applyNumberFormat="1" applyFont="1" applyFill="1" applyAlignment="1">
      <alignment vertical="top"/>
    </xf>
    <xf numFmtId="5" fontId="9" fillId="2" borderId="0" xfId="0" applyNumberFormat="1" applyFont="1" applyFill="1" applyAlignment="1">
      <alignment vertical="top"/>
    </xf>
    <xf numFmtId="5" fontId="9" fillId="0" borderId="0" xfId="0" applyNumberFormat="1" applyFont="1" applyFill="1" applyAlignment="1">
      <alignment vertical="top"/>
    </xf>
    <xf numFmtId="10" fontId="9" fillId="2" borderId="0" xfId="0" applyNumberFormat="1" applyFont="1" applyFill="1" applyAlignment="1">
      <alignment vertical="top"/>
    </xf>
    <xf numFmtId="0" fontId="14" fillId="0" borderId="0" xfId="0" quotePrefix="1" applyFont="1" applyFill="1" applyAlignment="1">
      <alignment horizontal="left" vertical="top"/>
    </xf>
    <xf numFmtId="0" fontId="16" fillId="0" borderId="0" xfId="0" applyFont="1" applyFill="1" applyAlignment="1">
      <alignment vertical="top"/>
    </xf>
    <xf numFmtId="10" fontId="9" fillId="0" borderId="0" xfId="0" applyNumberFormat="1" applyFont="1" applyFill="1" applyAlignment="1" applyProtection="1">
      <alignment vertical="top"/>
    </xf>
    <xf numFmtId="10" fontId="15" fillId="0" borderId="0" xfId="0" applyNumberFormat="1" applyFont="1" applyFill="1" applyAlignment="1">
      <alignment vertical="top"/>
    </xf>
    <xf numFmtId="0" fontId="17" fillId="0" borderId="0" xfId="0" applyFont="1" applyFill="1" applyAlignment="1">
      <alignment vertical="top"/>
    </xf>
    <xf numFmtId="10" fontId="16" fillId="0" borderId="0" xfId="0" applyNumberFormat="1" applyFont="1" applyFill="1" applyAlignment="1" applyProtection="1">
      <alignment vertical="top"/>
    </xf>
    <xf numFmtId="10" fontId="9" fillId="0" borderId="0" xfId="0" applyNumberFormat="1" applyFont="1" applyFill="1"/>
    <xf numFmtId="10" fontId="17" fillId="0" borderId="0" xfId="0" applyNumberFormat="1" applyFont="1" applyFill="1" applyAlignment="1">
      <alignment vertical="top"/>
    </xf>
    <xf numFmtId="0" fontId="15" fillId="0" borderId="0" xfId="0" applyFont="1" applyFill="1" applyAlignment="1">
      <alignment vertical="top"/>
    </xf>
    <xf numFmtId="0" fontId="8" fillId="0" borderId="0" xfId="0" applyFont="1" applyFill="1"/>
    <xf numFmtId="0" fontId="11" fillId="0" borderId="0" xfId="0" applyFont="1" applyFill="1" applyAlignment="1">
      <alignment vertical="top"/>
    </xf>
    <xf numFmtId="42" fontId="15" fillId="2" borderId="12" xfId="0" applyNumberFormat="1" applyFont="1" applyFill="1" applyBorder="1" applyAlignment="1">
      <alignment vertical="top"/>
    </xf>
    <xf numFmtId="164" fontId="9" fillId="0" borderId="0" xfId="0" applyNumberFormat="1" applyFont="1" applyFill="1" applyAlignment="1" applyProtection="1">
      <alignment vertical="top"/>
    </xf>
    <xf numFmtId="164" fontId="9" fillId="2" borderId="0" xfId="0" applyNumberFormat="1" applyFont="1" applyFill="1" applyAlignment="1" applyProtection="1">
      <alignment vertical="top"/>
    </xf>
    <xf numFmtId="164" fontId="9" fillId="0" borderId="0" xfId="0" applyNumberFormat="1" applyFont="1" applyFill="1"/>
    <xf numFmtId="164" fontId="15" fillId="0" borderId="0" xfId="0" applyNumberFormat="1" applyFont="1" applyFill="1" applyAlignment="1">
      <alignment vertical="top"/>
    </xf>
    <xf numFmtId="164" fontId="16" fillId="2" borderId="0" xfId="0" applyNumberFormat="1" applyFont="1" applyFill="1" applyAlignment="1" applyProtection="1">
      <alignment vertical="top"/>
    </xf>
    <xf numFmtId="0" fontId="27" fillId="0" borderId="0" xfId="0" applyNumberFormat="1" applyFont="1" applyFill="1" applyAlignment="1"/>
    <xf numFmtId="0" fontId="28" fillId="0" borderId="0" xfId="0" applyNumberFormat="1" applyFont="1" applyFill="1" applyAlignment="1"/>
    <xf numFmtId="0" fontId="18" fillId="0" borderId="0" xfId="0" applyNumberFormat="1" applyFont="1" applyAlignment="1"/>
    <xf numFmtId="0" fontId="27" fillId="0" borderId="20" xfId="0" applyNumberFormat="1" applyFont="1" applyFill="1" applyBorder="1" applyAlignment="1">
      <alignment horizontal="right"/>
    </xf>
    <xf numFmtId="0" fontId="27" fillId="0" borderId="0" xfId="0" applyNumberFormat="1" applyFont="1" applyFill="1" applyAlignment="1">
      <alignment horizontal="centerContinuous"/>
    </xf>
    <xf numFmtId="0" fontId="27" fillId="0" borderId="0" xfId="0" applyNumberFormat="1" applyFont="1" applyFill="1" applyAlignment="1" applyProtection="1">
      <alignment horizontal="centerContinuous"/>
      <protection locked="0"/>
    </xf>
    <xf numFmtId="0" fontId="27" fillId="0" borderId="1" xfId="0" applyNumberFormat="1" applyFont="1" applyFill="1" applyBorder="1" applyAlignment="1">
      <alignment horizontal="center"/>
    </xf>
    <xf numFmtId="0" fontId="27" fillId="0" borderId="1" xfId="0" applyNumberFormat="1" applyFont="1" applyFill="1" applyBorder="1" applyAlignment="1" applyProtection="1">
      <protection locked="0"/>
    </xf>
    <xf numFmtId="0" fontId="27" fillId="0" borderId="1" xfId="0" applyNumberFormat="1" applyFont="1" applyFill="1" applyBorder="1" applyAlignment="1"/>
    <xf numFmtId="0" fontId="27" fillId="0" borderId="1" xfId="0" applyNumberFormat="1" applyFont="1" applyFill="1" applyBorder="1" applyAlignment="1">
      <alignment horizontal="right"/>
    </xf>
    <xf numFmtId="0" fontId="28" fillId="0" borderId="0" xfId="0" applyNumberFormat="1" applyFont="1" applyFill="1" applyAlignment="1">
      <alignment horizontal="center"/>
    </xf>
    <xf numFmtId="0" fontId="28" fillId="0" borderId="0" xfId="0" applyNumberFormat="1" applyFont="1" applyFill="1" applyAlignment="1">
      <alignment horizontal="left"/>
    </xf>
    <xf numFmtId="166" fontId="28" fillId="0" borderId="0" xfId="0" applyNumberFormat="1" applyFont="1" applyFill="1" applyAlignment="1"/>
    <xf numFmtId="168" fontId="28" fillId="0" borderId="0" xfId="0" applyNumberFormat="1" applyFont="1" applyFill="1" applyAlignment="1"/>
    <xf numFmtId="166" fontId="28" fillId="0" borderId="1" xfId="0" applyNumberFormat="1" applyFont="1" applyFill="1" applyBorder="1" applyAlignment="1"/>
    <xf numFmtId="166" fontId="28" fillId="0" borderId="0" xfId="0" applyNumberFormat="1" applyFont="1" applyFill="1" applyBorder="1" applyAlignment="1"/>
    <xf numFmtId="166" fontId="18" fillId="0" borderId="0" xfId="0" applyNumberFormat="1" applyFont="1" applyAlignment="1"/>
    <xf numFmtId="9" fontId="28" fillId="0" borderId="0" xfId="0" applyNumberFormat="1" applyFont="1" applyFill="1" applyAlignment="1"/>
    <xf numFmtId="166" fontId="28" fillId="0" borderId="14" xfId="0" applyNumberFormat="1" applyFont="1" applyFill="1" applyBorder="1" applyAlignment="1" applyProtection="1">
      <protection locked="0"/>
    </xf>
    <xf numFmtId="0" fontId="14" fillId="2" borderId="1" xfId="0" quotePrefix="1" applyNumberFormat="1" applyFont="1" applyFill="1" applyBorder="1" applyAlignment="1">
      <alignment horizontal="center" vertical="top"/>
    </xf>
    <xf numFmtId="170" fontId="9" fillId="2" borderId="0" xfId="0" applyNumberFormat="1" applyFont="1" applyFill="1" applyAlignment="1">
      <alignment vertical="top"/>
    </xf>
    <xf numFmtId="3" fontId="8" fillId="2" borderId="0" xfId="0" applyNumberFormat="1" applyFont="1" applyFill="1" applyAlignment="1">
      <alignment vertical="top"/>
    </xf>
    <xf numFmtId="0" fontId="21" fillId="0" borderId="0" xfId="0" applyFont="1" applyAlignment="1">
      <alignment horizontal="centerContinuous"/>
    </xf>
    <xf numFmtId="0" fontId="18" fillId="0" borderId="14" xfId="0" applyFont="1" applyBorder="1" applyAlignment="1">
      <alignment horizontal="center"/>
    </xf>
    <xf numFmtId="0" fontId="18" fillId="0" borderId="14" xfId="0" applyFont="1" applyFill="1" applyBorder="1"/>
    <xf numFmtId="0" fontId="21" fillId="0" borderId="21" xfId="0" applyFont="1" applyFill="1" applyBorder="1"/>
    <xf numFmtId="0" fontId="18" fillId="0" borderId="0" xfId="0" applyFont="1" applyFill="1"/>
    <xf numFmtId="41" fontId="18" fillId="0" borderId="0" xfId="0" applyNumberFormat="1" applyFont="1" applyFill="1"/>
    <xf numFmtId="0" fontId="24" fillId="0" borderId="0" xfId="0" applyFont="1" applyAlignment="1">
      <alignment horizontal="centerContinuous"/>
    </xf>
    <xf numFmtId="0" fontId="24" fillId="0" borderId="0" xfId="0" applyFont="1" applyFill="1" applyAlignment="1">
      <alignment horizontal="centerContinuous"/>
    </xf>
    <xf numFmtId="0" fontId="24" fillId="0" borderId="0" xfId="0" applyFont="1" applyFill="1" applyAlignment="1">
      <alignment horizontal="center"/>
    </xf>
    <xf numFmtId="0" fontId="14" fillId="0" borderId="1" xfId="0" applyFont="1" applyBorder="1" applyAlignment="1">
      <alignment vertical="top"/>
    </xf>
    <xf numFmtId="3" fontId="14" fillId="0" borderId="1" xfId="0" applyNumberFormat="1" applyFont="1" applyFill="1" applyBorder="1" applyAlignment="1">
      <alignment horizontal="center" vertical="top"/>
    </xf>
    <xf numFmtId="0" fontId="14" fillId="0" borderId="0" xfId="0" applyFont="1" applyAlignment="1">
      <alignment vertical="top"/>
    </xf>
    <xf numFmtId="3" fontId="0" fillId="0" borderId="0" xfId="0" applyNumberFormat="1" applyFont="1" applyFill="1" applyAlignment="1" applyProtection="1">
      <alignment vertical="top"/>
      <protection hidden="1"/>
    </xf>
    <xf numFmtId="0" fontId="14" fillId="0" borderId="0" xfId="0" applyFont="1" applyAlignment="1">
      <alignment horizontal="center" vertical="top"/>
    </xf>
    <xf numFmtId="42" fontId="9" fillId="0" borderId="0" xfId="0" applyNumberFormat="1" applyFont="1" applyFill="1" applyBorder="1" applyAlignment="1">
      <alignment vertical="top"/>
    </xf>
    <xf numFmtId="42" fontId="9" fillId="0" borderId="1" xfId="0" applyNumberFormat="1" applyFont="1" applyFill="1" applyBorder="1" applyAlignment="1">
      <alignment vertical="top"/>
    </xf>
    <xf numFmtId="10" fontId="9" fillId="0" borderId="0" xfId="0" applyNumberFormat="1" applyFont="1" applyFill="1" applyAlignment="1">
      <alignment vertical="top"/>
    </xf>
    <xf numFmtId="42" fontId="9" fillId="0" borderId="0" xfId="0" applyNumberFormat="1" applyFont="1" applyFill="1" applyAlignment="1">
      <alignment vertical="top"/>
    </xf>
    <xf numFmtId="37" fontId="9" fillId="0" borderId="0" xfId="0" applyNumberFormat="1" applyFont="1" applyFill="1" applyAlignment="1">
      <alignment vertical="top"/>
    </xf>
    <xf numFmtId="168" fontId="9" fillId="0" borderId="0" xfId="0" applyNumberFormat="1" applyFont="1" applyFill="1" applyAlignment="1" applyProtection="1">
      <alignment vertical="top"/>
    </xf>
    <xf numFmtId="43" fontId="10" fillId="0" borderId="0" xfId="0" applyNumberFormat="1" applyFont="1" applyFill="1" applyAlignment="1">
      <alignment vertical="top"/>
    </xf>
    <xf numFmtId="10" fontId="10" fillId="0" borderId="0" xfId="0" applyNumberFormat="1" applyFont="1" applyFill="1" applyAlignment="1">
      <alignment vertical="top"/>
    </xf>
    <xf numFmtId="0" fontId="26" fillId="0" borderId="0" xfId="0" applyFont="1"/>
    <xf numFmtId="168" fontId="26" fillId="0" borderId="0" xfId="0" applyNumberFormat="1" applyFont="1"/>
    <xf numFmtId="0" fontId="26" fillId="0" borderId="0" xfId="0" applyFont="1" applyBorder="1" applyAlignment="1">
      <alignment horizontal="center"/>
    </xf>
    <xf numFmtId="0" fontId="26" fillId="0" borderId="0" xfId="0" applyFont="1" applyAlignment="1">
      <alignment horizontal="center"/>
    </xf>
    <xf numFmtId="0" fontId="26" fillId="0" borderId="14" xfId="0" applyFont="1" applyBorder="1" applyAlignment="1">
      <alignment horizontal="left"/>
    </xf>
    <xf numFmtId="164" fontId="26" fillId="0" borderId="14" xfId="0" applyNumberFormat="1" applyFont="1" applyBorder="1" applyAlignment="1">
      <alignment vertical="center" wrapText="1"/>
    </xf>
    <xf numFmtId="0" fontId="18" fillId="0" borderId="0" xfId="0" applyFont="1"/>
    <xf numFmtId="0" fontId="31" fillId="4" borderId="0" xfId="0" applyFont="1" applyFill="1" applyBorder="1" applyAlignment="1">
      <alignment horizontal="centerContinuous" vertical="top"/>
    </xf>
    <xf numFmtId="3" fontId="31" fillId="4" borderId="7" xfId="0" applyNumberFormat="1" applyFont="1" applyFill="1" applyBorder="1" applyAlignment="1">
      <alignment horizontal="centerContinuous" vertical="top"/>
    </xf>
    <xf numFmtId="0" fontId="10" fillId="0" borderId="0" xfId="0" applyFont="1" applyFill="1" applyAlignment="1">
      <alignment horizontal="center" vertical="top"/>
    </xf>
    <xf numFmtId="42" fontId="11" fillId="0" borderId="0" xfId="0" applyNumberFormat="1" applyFont="1" applyFill="1" applyAlignment="1">
      <alignment vertical="top"/>
    </xf>
    <xf numFmtId="165" fontId="9" fillId="0" borderId="0" xfId="0" applyNumberFormat="1" applyFont="1" applyFill="1" applyBorder="1" applyAlignment="1">
      <alignment vertical="top"/>
    </xf>
    <xf numFmtId="165" fontId="9" fillId="0" borderId="14" xfId="0" applyNumberFormat="1" applyFont="1" applyFill="1" applyBorder="1"/>
    <xf numFmtId="10" fontId="9" fillId="0" borderId="14" xfId="0" applyNumberFormat="1" applyFont="1" applyFill="1" applyBorder="1" applyAlignment="1"/>
    <xf numFmtId="0" fontId="27" fillId="0" borderId="0" xfId="0" applyNumberFormat="1" applyFont="1" applyFill="1" applyAlignment="1">
      <alignment horizontal="center"/>
    </xf>
    <xf numFmtId="0" fontId="7" fillId="0" borderId="0" xfId="0" applyFont="1" applyFill="1" applyAlignment="1">
      <alignment vertical="top"/>
    </xf>
    <xf numFmtId="42" fontId="7" fillId="0" borderId="0" xfId="0" applyNumberFormat="1" applyFont="1" applyFill="1" applyAlignment="1">
      <alignment vertical="top"/>
    </xf>
    <xf numFmtId="42" fontId="7" fillId="2" borderId="0" xfId="0" applyNumberFormat="1" applyFont="1" applyFill="1" applyAlignment="1">
      <alignment vertical="top"/>
    </xf>
    <xf numFmtId="0" fontId="7" fillId="0" borderId="0" xfId="0" applyFont="1" applyFill="1"/>
    <xf numFmtId="164" fontId="7" fillId="2" borderId="0" xfId="0" applyNumberFormat="1" applyFont="1" applyFill="1" applyBorder="1" applyAlignment="1">
      <alignment horizontal="center"/>
    </xf>
    <xf numFmtId="164" fontId="7" fillId="0" borderId="0" xfId="0" applyNumberFormat="1" applyFont="1" applyFill="1" applyBorder="1" applyAlignment="1">
      <alignment horizontal="center"/>
    </xf>
    <xf numFmtId="164" fontId="7" fillId="0" borderId="0" xfId="0" applyNumberFormat="1" applyFont="1" applyFill="1" applyAlignment="1">
      <alignment vertical="top"/>
    </xf>
    <xf numFmtId="0" fontId="7" fillId="0" borderId="0" xfId="0" applyFont="1"/>
    <xf numFmtId="42" fontId="7" fillId="0" borderId="0" xfId="0" applyNumberFormat="1" applyFont="1" applyFill="1"/>
    <xf numFmtId="42" fontId="7" fillId="0" borderId="0" xfId="0" applyNumberFormat="1" applyFont="1" applyFill="1" applyBorder="1"/>
    <xf numFmtId="42" fontId="7" fillId="0" borderId="1" xfId="0" applyNumberFormat="1" applyFont="1" applyFill="1" applyBorder="1"/>
    <xf numFmtId="10" fontId="7" fillId="0" borderId="0" xfId="0" applyNumberFormat="1" applyFont="1" applyFill="1"/>
    <xf numFmtId="168" fontId="7" fillId="0" borderId="0" xfId="0" applyNumberFormat="1" applyFont="1" applyFill="1"/>
    <xf numFmtId="43" fontId="7" fillId="0" borderId="0" xfId="0" applyNumberFormat="1" applyFont="1"/>
    <xf numFmtId="0" fontId="14" fillId="0" borderId="0" xfId="0" applyFont="1" applyFill="1" applyAlignment="1">
      <alignment horizontal="center" vertical="top"/>
    </xf>
    <xf numFmtId="0" fontId="9" fillId="0" borderId="0" xfId="0" applyFont="1" applyFill="1" applyAlignment="1">
      <alignment vertical="top"/>
    </xf>
    <xf numFmtId="0" fontId="7" fillId="0" borderId="16" xfId="0" applyFont="1" applyFill="1" applyBorder="1"/>
    <xf numFmtId="17" fontId="19" fillId="0" borderId="13" xfId="0" applyNumberFormat="1" applyFont="1" applyFill="1" applyBorder="1" applyAlignment="1">
      <alignment horizontal="centerContinuous"/>
    </xf>
    <xf numFmtId="0" fontId="7" fillId="0" borderId="13" xfId="0" applyFont="1" applyFill="1" applyBorder="1" applyAlignment="1">
      <alignment horizontal="centerContinuous"/>
    </xf>
    <xf numFmtId="0" fontId="7" fillId="0" borderId="17" xfId="0" applyFont="1" applyFill="1" applyBorder="1" applyAlignment="1">
      <alignment horizontal="centerContinuous"/>
    </xf>
    <xf numFmtId="0" fontId="9" fillId="0" borderId="18" xfId="0" applyFont="1" applyFill="1" applyBorder="1"/>
    <xf numFmtId="0" fontId="19" fillId="0" borderId="14" xfId="0" applyFont="1" applyFill="1" applyBorder="1" applyAlignment="1">
      <alignment horizontal="center" vertical="center" wrapText="1"/>
    </xf>
    <xf numFmtId="0" fontId="9" fillId="0" borderId="18" xfId="0" applyFont="1" applyFill="1" applyBorder="1" applyAlignment="1">
      <alignment horizontal="center" wrapText="1"/>
    </xf>
    <xf numFmtId="0" fontId="25" fillId="0" borderId="19" xfId="0" applyFont="1" applyFill="1" applyBorder="1"/>
    <xf numFmtId="167" fontId="9" fillId="0" borderId="14" xfId="0" applyNumberFormat="1" applyFont="1" applyFill="1" applyBorder="1"/>
    <xf numFmtId="0" fontId="9" fillId="0" borderId="14" xfId="0" applyFont="1" applyFill="1" applyBorder="1"/>
    <xf numFmtId="0" fontId="7" fillId="0" borderId="14" xfId="0" applyFont="1" applyFill="1" applyBorder="1"/>
    <xf numFmtId="0" fontId="20" fillId="0" borderId="0" xfId="0" applyNumberFormat="1" applyFont="1" applyFill="1" applyAlignment="1"/>
    <xf numFmtId="0" fontId="19" fillId="0" borderId="0" xfId="0" applyFont="1" applyFill="1" applyAlignment="1">
      <alignment horizontal="centerContinuous"/>
    </xf>
    <xf numFmtId="0" fontId="7" fillId="0" borderId="14" xfId="0" applyFont="1" applyFill="1" applyBorder="1" applyAlignment="1">
      <alignment horizontal="center"/>
    </xf>
    <xf numFmtId="0" fontId="9" fillId="0" borderId="14" xfId="0" applyFont="1" applyFill="1" applyBorder="1" applyAlignment="1">
      <alignment horizontal="center" wrapText="1"/>
    </xf>
    <xf numFmtId="0" fontId="23" fillId="0" borderId="14" xfId="0" applyFont="1" applyFill="1" applyBorder="1" applyAlignment="1">
      <alignment horizontal="center"/>
    </xf>
    <xf numFmtId="43" fontId="9" fillId="0" borderId="14" xfId="0" applyNumberFormat="1" applyFont="1" applyFill="1" applyBorder="1" applyAlignment="1"/>
    <xf numFmtId="0" fontId="9" fillId="0" borderId="14" xfId="0" applyNumberFormat="1" applyFont="1" applyFill="1" applyBorder="1" applyAlignment="1"/>
    <xf numFmtId="0" fontId="23" fillId="0" borderId="14" xfId="0" applyNumberFormat="1" applyFont="1" applyFill="1" applyBorder="1" applyAlignment="1"/>
    <xf numFmtId="0" fontId="14" fillId="0" borderId="0" xfId="0" applyFont="1" applyFill="1" applyAlignment="1">
      <alignment horizontal="center" vertical="top"/>
    </xf>
    <xf numFmtId="0" fontId="18" fillId="0" borderId="14" xfId="0" applyFont="1" applyBorder="1" applyAlignment="1">
      <alignment horizontal="center" wrapText="1"/>
    </xf>
    <xf numFmtId="42" fontId="18" fillId="0" borderId="14" xfId="0" applyNumberFormat="1" applyFont="1" applyFill="1" applyBorder="1"/>
    <xf numFmtId="41" fontId="18" fillId="0" borderId="23" xfId="0" applyNumberFormat="1" applyFont="1" applyFill="1" applyBorder="1"/>
    <xf numFmtId="42" fontId="21" fillId="0" borderId="22" xfId="0" applyNumberFormat="1" applyFont="1" applyFill="1" applyBorder="1"/>
    <xf numFmtId="0" fontId="9" fillId="0" borderId="0" xfId="0" applyFont="1" applyFill="1" applyBorder="1" applyAlignment="1">
      <alignment vertical="top"/>
    </xf>
    <xf numFmtId="0" fontId="14" fillId="5" borderId="0" xfId="0" applyFont="1" applyFill="1" applyAlignment="1">
      <alignment vertical="top"/>
    </xf>
    <xf numFmtId="0" fontId="7" fillId="5" borderId="0" xfId="0" applyFont="1" applyFill="1" applyAlignment="1">
      <alignment vertical="top"/>
    </xf>
    <xf numFmtId="42" fontId="9" fillId="5" borderId="0" xfId="0" applyNumberFormat="1" applyFont="1" applyFill="1" applyAlignment="1">
      <alignment vertical="top"/>
    </xf>
    <xf numFmtId="42" fontId="9" fillId="5" borderId="1" xfId="0" applyNumberFormat="1" applyFont="1" applyFill="1" applyBorder="1" applyAlignment="1">
      <alignment vertical="top"/>
    </xf>
    <xf numFmtId="0" fontId="5" fillId="0" borderId="14" xfId="6" applyBorder="1"/>
    <xf numFmtId="0" fontId="5" fillId="0" borderId="0" xfId="6"/>
    <xf numFmtId="0" fontId="32" fillId="0" borderId="14" xfId="6" applyFont="1" applyBorder="1" applyAlignment="1">
      <alignment vertical="center"/>
    </xf>
    <xf numFmtId="0" fontId="32" fillId="0" borderId="19" xfId="6" applyFont="1" applyBorder="1" applyAlignment="1">
      <alignment vertical="center"/>
    </xf>
    <xf numFmtId="0" fontId="33" fillId="0" borderId="26" xfId="6" applyFont="1" applyBorder="1" applyAlignment="1">
      <alignment vertical="center"/>
    </xf>
    <xf numFmtId="0" fontId="33" fillId="0" borderId="21" xfId="6" applyFont="1" applyBorder="1" applyAlignment="1">
      <alignment vertical="center"/>
    </xf>
    <xf numFmtId="0" fontId="33" fillId="0" borderId="14" xfId="6" applyFont="1" applyFill="1" applyBorder="1" applyAlignment="1">
      <alignment vertical="center"/>
    </xf>
    <xf numFmtId="0" fontId="19" fillId="0" borderId="19" xfId="6" applyFont="1" applyBorder="1"/>
    <xf numFmtId="0" fontId="5" fillId="6" borderId="28" xfId="6" applyFill="1" applyBorder="1" applyAlignment="1">
      <alignment wrapText="1"/>
    </xf>
    <xf numFmtId="0" fontId="5" fillId="6" borderId="28" xfId="6" applyFill="1" applyBorder="1"/>
    <xf numFmtId="0" fontId="14" fillId="0" borderId="9" xfId="0" applyFont="1" applyFill="1" applyBorder="1" applyAlignment="1">
      <alignment vertical="top"/>
    </xf>
    <xf numFmtId="3" fontId="9" fillId="0" borderId="9" xfId="0" applyNumberFormat="1" applyFont="1" applyFill="1" applyBorder="1" applyAlignment="1">
      <alignment vertical="top"/>
    </xf>
    <xf numFmtId="42" fontId="7" fillId="0" borderId="9" xfId="0" applyNumberFormat="1" applyFont="1" applyFill="1" applyBorder="1"/>
    <xf numFmtId="0" fontId="24" fillId="0" borderId="29" xfId="0" applyFont="1" applyBorder="1" applyAlignment="1">
      <alignment horizontal="left"/>
    </xf>
    <xf numFmtId="0" fontId="24" fillId="0" borderId="29" xfId="0" applyFont="1" applyBorder="1" applyAlignment="1">
      <alignment horizontal="centerContinuous"/>
    </xf>
    <xf numFmtId="42" fontId="24" fillId="0" borderId="29" xfId="0" applyNumberFormat="1" applyFont="1" applyFill="1" applyBorder="1" applyAlignment="1">
      <alignment horizontal="left"/>
    </xf>
    <xf numFmtId="0" fontId="14" fillId="0" borderId="0" xfId="0" applyFont="1" applyFill="1" applyAlignment="1">
      <alignment horizontal="center" vertical="top"/>
    </xf>
    <xf numFmtId="0" fontId="4" fillId="0" borderId="0" xfId="0" applyFont="1" applyFill="1" applyAlignment="1">
      <alignment vertical="top"/>
    </xf>
    <xf numFmtId="0" fontId="10" fillId="0" borderId="3" xfId="0" applyFont="1" applyFill="1" applyBorder="1" applyAlignment="1">
      <alignment vertical="top"/>
    </xf>
    <xf numFmtId="0" fontId="31" fillId="4" borderId="6" xfId="0" applyFont="1" applyFill="1" applyBorder="1" applyAlignment="1">
      <alignment horizontal="centerContinuous" vertical="top"/>
    </xf>
    <xf numFmtId="0" fontId="14" fillId="0" borderId="6" xfId="0" applyFont="1" applyFill="1" applyBorder="1" applyAlignment="1">
      <alignment horizontal="center" vertical="top"/>
    </xf>
    <xf numFmtId="0" fontId="14" fillId="0" borderId="30" xfId="0" applyFont="1" applyFill="1" applyBorder="1" applyAlignment="1">
      <alignment horizontal="center" vertical="top"/>
    </xf>
    <xf numFmtId="41" fontId="10" fillId="0" borderId="0" xfId="0" applyNumberFormat="1" applyFont="1" applyFill="1" applyAlignment="1">
      <alignment vertical="top"/>
    </xf>
    <xf numFmtId="0" fontId="10" fillId="0" borderId="6" xfId="0" applyFont="1" applyFill="1" applyBorder="1" applyAlignment="1">
      <alignment vertical="top"/>
    </xf>
    <xf numFmtId="10" fontId="15" fillId="0" borderId="6" xfId="0" applyNumberFormat="1" applyFont="1" applyFill="1" applyBorder="1" applyAlignment="1">
      <alignment vertical="top"/>
    </xf>
    <xf numFmtId="10" fontId="15" fillId="0" borderId="30" xfId="0" applyNumberFormat="1" applyFont="1" applyFill="1" applyBorder="1" applyAlignment="1">
      <alignment vertical="top"/>
    </xf>
    <xf numFmtId="10" fontId="10" fillId="0" borderId="31" xfId="0" applyNumberFormat="1" applyFont="1" applyFill="1" applyBorder="1" applyAlignment="1">
      <alignment vertical="top"/>
    </xf>
    <xf numFmtId="171" fontId="10" fillId="0" borderId="0" xfId="0" applyNumberFormat="1" applyFont="1" applyFill="1" applyAlignment="1">
      <alignment vertical="top"/>
    </xf>
    <xf numFmtId="7" fontId="10" fillId="0" borderId="6" xfId="0" applyNumberFormat="1" applyFont="1" applyFill="1" applyBorder="1" applyAlignment="1">
      <alignment vertical="top"/>
    </xf>
    <xf numFmtId="44" fontId="11" fillId="0" borderId="0" xfId="0" applyNumberFormat="1" applyFont="1" applyFill="1" applyAlignment="1">
      <alignment vertical="top"/>
    </xf>
    <xf numFmtId="8" fontId="10" fillId="0" borderId="11" xfId="0" applyNumberFormat="1" applyFont="1" applyFill="1" applyBorder="1" applyAlignment="1">
      <alignment vertical="top"/>
    </xf>
    <xf numFmtId="174" fontId="10" fillId="0" borderId="12" xfId="0" applyNumberFormat="1" applyFont="1" applyFill="1" applyBorder="1" applyAlignment="1">
      <alignment horizontal="center" vertical="top"/>
    </xf>
    <xf numFmtId="43" fontId="10" fillId="0" borderId="0" xfId="0" applyNumberFormat="1" applyFont="1" applyFill="1" applyAlignment="1" applyProtection="1">
      <alignment vertical="top"/>
      <protection hidden="1"/>
    </xf>
    <xf numFmtId="0" fontId="4" fillId="7" borderId="0" xfId="0" applyFont="1" applyFill="1" applyAlignment="1">
      <alignment horizontal="center" vertical="top"/>
    </xf>
    <xf numFmtId="0" fontId="0" fillId="2" borderId="0" xfId="0" applyNumberFormat="1" applyFont="1" applyFill="1" applyAlignment="1" applyProtection="1">
      <alignment horizontal="center" vertical="top"/>
      <protection hidden="1"/>
    </xf>
    <xf numFmtId="43" fontId="4" fillId="7" borderId="0" xfId="0" applyNumberFormat="1" applyFont="1" applyFill="1" applyAlignment="1">
      <alignment horizontal="center" vertical="top"/>
    </xf>
    <xf numFmtId="10" fontId="4" fillId="0" borderId="0" xfId="0" applyNumberFormat="1" applyFont="1" applyFill="1" applyAlignment="1">
      <alignment vertical="top"/>
    </xf>
    <xf numFmtId="42" fontId="4" fillId="0" borderId="0" xfId="0" applyNumberFormat="1" applyFont="1" applyFill="1" applyAlignment="1">
      <alignment vertical="top"/>
    </xf>
    <xf numFmtId="42" fontId="9" fillId="2" borderId="15" xfId="0" applyNumberFormat="1" applyFont="1" applyFill="1" applyBorder="1" applyAlignment="1">
      <alignment vertical="top"/>
    </xf>
    <xf numFmtId="42" fontId="0" fillId="0" borderId="0" xfId="0" applyNumberFormat="1" applyFont="1" applyFill="1" applyBorder="1" applyAlignment="1">
      <alignment vertical="top"/>
    </xf>
    <xf numFmtId="37" fontId="4" fillId="7" borderId="0" xfId="0" applyNumberFormat="1" applyFont="1" applyFill="1" applyAlignment="1">
      <alignment horizontal="right" vertical="top"/>
    </xf>
    <xf numFmtId="3" fontId="9" fillId="2" borderId="0" xfId="0" applyNumberFormat="1" applyFont="1" applyFill="1" applyAlignment="1">
      <alignment vertical="top"/>
    </xf>
    <xf numFmtId="165" fontId="9" fillId="8" borderId="0" xfId="0" applyNumberFormat="1" applyFont="1" applyFill="1" applyBorder="1" applyAlignment="1">
      <alignment vertical="top"/>
    </xf>
    <xf numFmtId="3" fontId="8" fillId="0" borderId="0" xfId="0" applyNumberFormat="1" applyFont="1" applyFill="1" applyAlignment="1">
      <alignment vertical="top"/>
    </xf>
    <xf numFmtId="42" fontId="4" fillId="2" borderId="0" xfId="0" applyNumberFormat="1" applyFont="1" applyFill="1" applyAlignment="1">
      <alignment vertical="top"/>
    </xf>
    <xf numFmtId="42" fontId="9" fillId="3" borderId="0" xfId="0" applyNumberFormat="1" applyFont="1" applyFill="1" applyAlignment="1">
      <alignment vertical="top"/>
    </xf>
    <xf numFmtId="0" fontId="4" fillId="0" borderId="0" xfId="0" applyFont="1" applyFill="1"/>
    <xf numFmtId="164" fontId="4" fillId="2" borderId="0" xfId="0" applyNumberFormat="1" applyFont="1" applyFill="1" applyBorder="1" applyAlignment="1">
      <alignment horizontal="center"/>
    </xf>
    <xf numFmtId="164" fontId="4" fillId="0" borderId="0" xfId="0" applyNumberFormat="1" applyFont="1" applyFill="1" applyBorder="1" applyAlignment="1">
      <alignment horizontal="center"/>
    </xf>
    <xf numFmtId="164" fontId="4" fillId="0" borderId="0" xfId="0" applyNumberFormat="1" applyFont="1" applyFill="1" applyAlignment="1">
      <alignment vertical="top"/>
    </xf>
    <xf numFmtId="41" fontId="11" fillId="0" borderId="0" xfId="0" applyNumberFormat="1" applyFont="1" applyFill="1" applyAlignment="1">
      <alignment vertical="top"/>
    </xf>
    <xf numFmtId="14" fontId="10" fillId="0" borderId="0" xfId="0" applyNumberFormat="1" applyFont="1" applyFill="1" applyAlignment="1">
      <alignment vertical="top"/>
    </xf>
    <xf numFmtId="0" fontId="31" fillId="9" borderId="27" xfId="6" applyFont="1" applyFill="1" applyBorder="1" applyAlignment="1">
      <alignment horizontal="center" vertical="center"/>
    </xf>
    <xf numFmtId="0" fontId="31" fillId="9" borderId="14" xfId="6" applyFont="1" applyFill="1" applyBorder="1" applyAlignment="1">
      <alignment horizontal="center" vertical="center"/>
    </xf>
    <xf numFmtId="0" fontId="19" fillId="0" borderId="14" xfId="6" applyFont="1" applyBorder="1"/>
    <xf numFmtId="0" fontId="19" fillId="0" borderId="19" xfId="6" applyFont="1" applyBorder="1" applyAlignment="1">
      <alignment horizontal="center"/>
    </xf>
    <xf numFmtId="0" fontId="0" fillId="0" borderId="0" xfId="0" applyBorder="1"/>
    <xf numFmtId="0" fontId="34" fillId="0" borderId="0" xfId="0" applyFont="1"/>
    <xf numFmtId="0" fontId="35" fillId="0" borderId="0" xfId="6" applyFont="1" applyBorder="1" applyAlignment="1">
      <alignment vertical="center"/>
    </xf>
    <xf numFmtId="0" fontId="36" fillId="0" borderId="0" xfId="0" applyFont="1"/>
    <xf numFmtId="0" fontId="3" fillId="0" borderId="0" xfId="0" applyFont="1" applyFill="1"/>
    <xf numFmtId="167" fontId="3" fillId="0" borderId="14" xfId="0" applyNumberFormat="1" applyFont="1" applyFill="1" applyBorder="1"/>
    <xf numFmtId="10" fontId="3" fillId="0" borderId="0" xfId="0" applyNumberFormat="1" applyFont="1" applyFill="1"/>
    <xf numFmtId="0" fontId="23" fillId="0" borderId="0" xfId="0" applyNumberFormat="1" applyFont="1" applyFill="1" applyBorder="1" applyAlignment="1"/>
    <xf numFmtId="0" fontId="14" fillId="0" borderId="0" xfId="0" applyFont="1" applyFill="1" applyAlignment="1">
      <alignment horizontal="center" vertical="top"/>
    </xf>
    <xf numFmtId="10" fontId="9" fillId="0" borderId="1" xfId="0" applyNumberFormat="1" applyFont="1" applyFill="1" applyBorder="1" applyAlignment="1">
      <alignment vertical="top"/>
    </xf>
    <xf numFmtId="0" fontId="37" fillId="0" borderId="0" xfId="0" applyFont="1" applyFill="1"/>
    <xf numFmtId="0" fontId="38" fillId="0" borderId="19" xfId="0" applyFont="1" applyFill="1" applyBorder="1" applyAlignment="1">
      <alignment horizontal="centerContinuous"/>
    </xf>
    <xf numFmtId="0" fontId="38" fillId="0" borderId="32" xfId="0" applyFont="1" applyFill="1" applyBorder="1" applyAlignment="1">
      <alignment horizontal="centerContinuous"/>
    </xf>
    <xf numFmtId="0" fontId="38" fillId="0" borderId="0" xfId="0" applyFont="1" applyFill="1" applyAlignment="1">
      <alignment horizontal="centerContinuous"/>
    </xf>
    <xf numFmtId="0" fontId="37" fillId="0" borderId="0" xfId="0" applyFont="1" applyFill="1" applyAlignment="1">
      <alignment horizontal="centerContinuous"/>
    </xf>
    <xf numFmtId="0" fontId="39" fillId="0" borderId="0" xfId="0" applyNumberFormat="1" applyFont="1" applyFill="1" applyAlignment="1">
      <alignment horizontal="center"/>
    </xf>
    <xf numFmtId="0" fontId="39" fillId="0" borderId="0" xfId="0" applyFont="1" applyFill="1" applyAlignment="1">
      <alignment horizontal="center"/>
    </xf>
    <xf numFmtId="0" fontId="40" fillId="0" borderId="0" xfId="0" applyFont="1" applyFill="1"/>
    <xf numFmtId="0" fontId="39" fillId="0" borderId="1" xfId="0" applyNumberFormat="1" applyFont="1" applyFill="1" applyBorder="1" applyAlignment="1">
      <alignment horizontal="center"/>
    </xf>
    <xf numFmtId="0" fontId="39" fillId="0" borderId="1" xfId="0" applyFont="1" applyFill="1" applyBorder="1" applyAlignment="1">
      <alignment horizontal="center"/>
    </xf>
    <xf numFmtId="0" fontId="40" fillId="0" borderId="1" xfId="0" applyFont="1" applyFill="1" applyBorder="1"/>
    <xf numFmtId="0" fontId="37" fillId="0" borderId="0" xfId="0" applyNumberFormat="1" applyFont="1" applyFill="1" applyAlignment="1">
      <alignment horizontal="center"/>
    </xf>
    <xf numFmtId="0" fontId="37" fillId="0" borderId="0" xfId="0" applyNumberFormat="1" applyFont="1" applyFill="1" applyAlignment="1"/>
    <xf numFmtId="10" fontId="37" fillId="0" borderId="0" xfId="0" applyNumberFormat="1" applyFont="1" applyFill="1"/>
    <xf numFmtId="0" fontId="37" fillId="0" borderId="0" xfId="0" applyNumberFormat="1" applyFont="1" applyFill="1" applyAlignment="1">
      <alignment horizontal="left"/>
    </xf>
    <xf numFmtId="166" fontId="37" fillId="0" borderId="0" xfId="0" applyNumberFormat="1" applyFont="1" applyFill="1" applyAlignment="1"/>
    <xf numFmtId="10" fontId="37" fillId="0" borderId="15" xfId="0" applyNumberFormat="1" applyFont="1" applyFill="1" applyBorder="1"/>
    <xf numFmtId="0" fontId="37" fillId="0" borderId="15" xfId="0" applyFont="1" applyFill="1" applyBorder="1"/>
    <xf numFmtId="164" fontId="37" fillId="0" borderId="0" xfId="0" applyNumberFormat="1" applyFont="1" applyFill="1" applyAlignment="1"/>
    <xf numFmtId="166" fontId="37" fillId="0" borderId="1" xfId="0" applyNumberFormat="1" applyFont="1" applyFill="1" applyBorder="1" applyAlignment="1"/>
    <xf numFmtId="166" fontId="37" fillId="0" borderId="0" xfId="0" applyNumberFormat="1" applyFont="1" applyFill="1" applyBorder="1" applyAlignment="1"/>
    <xf numFmtId="9" fontId="37" fillId="0" borderId="0" xfId="0" applyNumberFormat="1" applyFont="1" applyFill="1" applyAlignment="1"/>
    <xf numFmtId="166" fontId="38" fillId="0" borderId="24" xfId="0" applyNumberFormat="1" applyFont="1" applyFill="1" applyBorder="1" applyAlignment="1" applyProtection="1">
      <protection locked="0"/>
    </xf>
    <xf numFmtId="169" fontId="37" fillId="0" borderId="0" xfId="0" applyNumberFormat="1" applyFont="1" applyFill="1"/>
    <xf numFmtId="0" fontId="0" fillId="0" borderId="0" xfId="0" applyFont="1" applyFill="1"/>
    <xf numFmtId="0" fontId="41" fillId="0" borderId="0" xfId="0" applyFont="1" applyFill="1"/>
    <xf numFmtId="166" fontId="37" fillId="10" borderId="0" xfId="0" applyNumberFormat="1" applyFont="1" applyFill="1" applyAlignment="1"/>
    <xf numFmtId="10" fontId="37" fillId="10" borderId="15" xfId="0" applyNumberFormat="1" applyFont="1" applyFill="1" applyBorder="1"/>
    <xf numFmtId="0" fontId="43" fillId="0" borderId="4" xfId="0" applyFont="1" applyFill="1" applyBorder="1" applyAlignment="1">
      <alignment vertical="top"/>
    </xf>
    <xf numFmtId="10" fontId="42" fillId="0" borderId="10" xfId="0" applyNumberFormat="1" applyFont="1" applyFill="1" applyBorder="1" applyAlignment="1">
      <alignment vertical="top"/>
    </xf>
    <xf numFmtId="0" fontId="2" fillId="0" borderId="0" xfId="0" applyFont="1" applyFill="1" applyAlignment="1">
      <alignment vertical="top"/>
    </xf>
    <xf numFmtId="42" fontId="2" fillId="0" borderId="0" xfId="0" applyNumberFormat="1" applyFont="1" applyFill="1" applyAlignment="1">
      <alignment vertical="top"/>
    </xf>
    <xf numFmtId="42" fontId="2" fillId="2" borderId="0" xfId="0" applyNumberFormat="1" applyFont="1" applyFill="1" applyAlignment="1">
      <alignment vertical="top"/>
    </xf>
    <xf numFmtId="0" fontId="2" fillId="0" borderId="0" xfId="0" applyFont="1" applyFill="1"/>
    <xf numFmtId="164" fontId="2" fillId="2" borderId="0" xfId="0" applyNumberFormat="1" applyFont="1" applyFill="1" applyBorder="1" applyAlignment="1">
      <alignment horizontal="center"/>
    </xf>
    <xf numFmtId="164" fontId="2" fillId="0" borderId="0" xfId="0" applyNumberFormat="1" applyFont="1" applyFill="1" applyBorder="1" applyAlignment="1">
      <alignment horizontal="center"/>
    </xf>
    <xf numFmtId="164" fontId="2" fillId="0" borderId="0" xfId="0" applyNumberFormat="1" applyFont="1" applyFill="1" applyAlignment="1">
      <alignment vertical="top"/>
    </xf>
    <xf numFmtId="3" fontId="44" fillId="0" borderId="0" xfId="0" applyNumberFormat="1" applyFont="1" applyFill="1" applyAlignment="1">
      <alignment vertical="top"/>
    </xf>
    <xf numFmtId="10" fontId="7" fillId="0" borderId="0" xfId="2" applyNumberFormat="1" applyFont="1"/>
    <xf numFmtId="0" fontId="31" fillId="4" borderId="0" xfId="0" applyFont="1" applyFill="1" applyBorder="1" applyAlignment="1">
      <alignment horizontal="left" vertical="top"/>
    </xf>
    <xf numFmtId="3" fontId="15" fillId="0" borderId="0" xfId="0" applyNumberFormat="1" applyFont="1" applyFill="1" applyBorder="1" applyAlignment="1">
      <alignment vertical="top"/>
    </xf>
    <xf numFmtId="42" fontId="15" fillId="0" borderId="0" xfId="0" applyNumberFormat="1" applyFont="1" applyFill="1" applyBorder="1" applyAlignment="1">
      <alignment vertical="top"/>
    </xf>
    <xf numFmtId="3" fontId="10" fillId="0" borderId="33" xfId="0" applyNumberFormat="1" applyFont="1" applyFill="1" applyBorder="1" applyAlignment="1">
      <alignment vertical="top"/>
    </xf>
    <xf numFmtId="3" fontId="31" fillId="4" borderId="25" xfId="0" applyNumberFormat="1" applyFont="1" applyFill="1" applyBorder="1" applyAlignment="1">
      <alignment horizontal="centerContinuous" vertical="top"/>
    </xf>
    <xf numFmtId="0" fontId="14" fillId="0" borderId="25" xfId="0" applyFont="1" applyFill="1" applyBorder="1" applyAlignment="1">
      <alignment horizontal="center" vertical="top"/>
    </xf>
    <xf numFmtId="0" fontId="14" fillId="0" borderId="34" xfId="0" applyFont="1" applyFill="1" applyBorder="1" applyAlignment="1">
      <alignment horizontal="center" vertical="top"/>
    </xf>
    <xf numFmtId="0" fontId="10" fillId="0" borderId="25" xfId="0" applyFont="1" applyFill="1" applyBorder="1" applyAlignment="1">
      <alignment vertical="top"/>
    </xf>
    <xf numFmtId="10" fontId="15" fillId="0" borderId="25" xfId="0" applyNumberFormat="1" applyFont="1" applyFill="1" applyBorder="1" applyAlignment="1">
      <alignment vertical="top"/>
    </xf>
    <xf numFmtId="10" fontId="15" fillId="0" borderId="34" xfId="0" applyNumberFormat="1" applyFont="1" applyFill="1" applyBorder="1" applyAlignment="1">
      <alignment vertical="top"/>
    </xf>
    <xf numFmtId="10" fontId="42" fillId="0" borderId="35" xfId="0" applyNumberFormat="1" applyFont="1" applyFill="1" applyBorder="1" applyAlignment="1">
      <alignment vertical="top"/>
    </xf>
    <xf numFmtId="10" fontId="15" fillId="0" borderId="36" xfId="0" applyNumberFormat="1" applyFont="1" applyFill="1" applyBorder="1" applyAlignment="1">
      <alignment vertical="top"/>
    </xf>
    <xf numFmtId="44" fontId="10" fillId="0" borderId="0" xfId="0" applyNumberFormat="1" applyFont="1" applyFill="1" applyAlignment="1">
      <alignment vertical="top"/>
    </xf>
    <xf numFmtId="0" fontId="7" fillId="0" borderId="0" xfId="0" applyFont="1" applyBorder="1"/>
    <xf numFmtId="0" fontId="19" fillId="0" borderId="0" xfId="0" applyFont="1" applyFill="1" applyBorder="1"/>
    <xf numFmtId="0" fontId="19" fillId="0" borderId="0" xfId="0" applyFont="1" applyFill="1" applyBorder="1" applyAlignment="1">
      <alignment horizontal="center" vertical="center" wrapText="1"/>
    </xf>
    <xf numFmtId="165" fontId="9" fillId="0" borderId="0" xfId="0" applyNumberFormat="1" applyFont="1" applyFill="1" applyBorder="1"/>
    <xf numFmtId="167" fontId="9" fillId="0" borderId="0" xfId="0" applyNumberFormat="1" applyFont="1" applyFill="1" applyBorder="1"/>
    <xf numFmtId="0" fontId="7" fillId="0" borderId="0" xfId="0" applyFont="1" applyFill="1" applyBorder="1"/>
    <xf numFmtId="43" fontId="7" fillId="0" borderId="0" xfId="0" applyNumberFormat="1" applyFont="1" applyFill="1" applyBorder="1"/>
    <xf numFmtId="44" fontId="7" fillId="0" borderId="0" xfId="0" applyNumberFormat="1" applyFont="1" applyFill="1" applyBorder="1"/>
    <xf numFmtId="0" fontId="5" fillId="0" borderId="0" xfId="6" applyFill="1"/>
    <xf numFmtId="0" fontId="19" fillId="0" borderId="14" xfId="6" applyFont="1" applyFill="1" applyBorder="1" applyAlignment="1">
      <alignment wrapText="1"/>
    </xf>
    <xf numFmtId="0" fontId="19" fillId="0" borderId="14" xfId="6" applyFont="1" applyFill="1" applyBorder="1"/>
    <xf numFmtId="165" fontId="18" fillId="0" borderId="14" xfId="7" applyNumberFormat="1" applyFont="1" applyFill="1" applyBorder="1"/>
    <xf numFmtId="10" fontId="45" fillId="0" borderId="14" xfId="6" applyNumberFormat="1" applyFont="1" applyFill="1" applyBorder="1"/>
    <xf numFmtId="44" fontId="45" fillId="0" borderId="14" xfId="6" applyNumberFormat="1" applyFont="1" applyFill="1" applyBorder="1"/>
    <xf numFmtId="41" fontId="45" fillId="0" borderId="14" xfId="6" applyNumberFormat="1" applyFont="1" applyFill="1" applyBorder="1"/>
    <xf numFmtId="43" fontId="45" fillId="0" borderId="14" xfId="6" applyNumberFormat="1" applyFont="1" applyFill="1" applyBorder="1"/>
    <xf numFmtId="165" fontId="46" fillId="0" borderId="26" xfId="7" applyNumberFormat="1" applyFont="1" applyFill="1" applyBorder="1"/>
    <xf numFmtId="0" fontId="45" fillId="0" borderId="14" xfId="6" applyFont="1" applyFill="1" applyBorder="1"/>
    <xf numFmtId="0" fontId="45" fillId="0" borderId="0" xfId="6" applyFont="1" applyFill="1"/>
    <xf numFmtId="10" fontId="45" fillId="0" borderId="0" xfId="6" applyNumberFormat="1" applyFont="1" applyFill="1" applyBorder="1"/>
    <xf numFmtId="0" fontId="46" fillId="0" borderId="14" xfId="6" applyFont="1" applyFill="1" applyBorder="1"/>
    <xf numFmtId="0" fontId="45" fillId="0" borderId="14" xfId="6" applyFont="1" applyFill="1" applyBorder="1" applyAlignment="1">
      <alignment horizontal="center"/>
    </xf>
    <xf numFmtId="3" fontId="45" fillId="0" borderId="14" xfId="6" applyNumberFormat="1" applyFont="1" applyFill="1" applyBorder="1"/>
    <xf numFmtId="41" fontId="18" fillId="0" borderId="14" xfId="7" applyNumberFormat="1" applyFont="1" applyFill="1" applyBorder="1"/>
    <xf numFmtId="0" fontId="45" fillId="0" borderId="14" xfId="6" applyFont="1" applyFill="1" applyBorder="1" applyAlignment="1">
      <alignment horizontal="center" wrapText="1"/>
    </xf>
    <xf numFmtId="165" fontId="46" fillId="0" borderId="14" xfId="7" applyNumberFormat="1" applyFont="1" applyFill="1" applyBorder="1"/>
    <xf numFmtId="10" fontId="18" fillId="0" borderId="14" xfId="8" applyNumberFormat="1" applyFont="1" applyFill="1" applyBorder="1"/>
    <xf numFmtId="44" fontId="45" fillId="0" borderId="0" xfId="6" applyNumberFormat="1" applyFont="1" applyFill="1"/>
    <xf numFmtId="42" fontId="45" fillId="0" borderId="14" xfId="6" applyNumberFormat="1" applyFont="1" applyFill="1" applyBorder="1"/>
    <xf numFmtId="0" fontId="45" fillId="0" borderId="28" xfId="6" applyFont="1" applyFill="1" applyBorder="1"/>
    <xf numFmtId="165" fontId="45" fillId="0" borderId="28" xfId="9" applyNumberFormat="1" applyFont="1" applyFill="1" applyBorder="1"/>
    <xf numFmtId="0" fontId="5" fillId="0" borderId="14" xfId="6" applyFill="1" applyBorder="1"/>
    <xf numFmtId="0" fontId="0" fillId="0" borderId="0" xfId="0" applyFill="1"/>
    <xf numFmtId="0" fontId="7" fillId="0" borderId="0" xfId="0" applyFont="1" applyFill="1" applyAlignment="1">
      <alignment horizontal="centerContinuous"/>
    </xf>
    <xf numFmtId="43" fontId="7" fillId="0" borderId="0" xfId="0" applyNumberFormat="1" applyFont="1" applyFill="1"/>
    <xf numFmtId="171" fontId="7" fillId="0" borderId="0" xfId="0" applyNumberFormat="1" applyFont="1" applyFill="1"/>
    <xf numFmtId="43" fontId="7" fillId="0" borderId="0" xfId="0" applyNumberFormat="1" applyFont="1" applyFill="1" applyAlignment="1">
      <alignment wrapText="1"/>
    </xf>
    <xf numFmtId="0" fontId="23" fillId="0" borderId="3" xfId="0" applyFont="1" applyFill="1" applyBorder="1" applyAlignment="1">
      <alignment horizontal="centerContinuous"/>
    </xf>
    <xf numFmtId="0" fontId="13" fillId="0" borderId="4" xfId="0" applyFont="1" applyFill="1" applyBorder="1" applyAlignment="1">
      <alignment horizontal="centerContinuous"/>
    </xf>
    <xf numFmtId="0" fontId="13" fillId="0" borderId="5" xfId="0" applyFont="1" applyFill="1" applyBorder="1" applyAlignment="1">
      <alignment horizontal="centerContinuous"/>
    </xf>
    <xf numFmtId="0" fontId="29" fillId="0" borderId="6" xfId="0" applyFont="1" applyFill="1" applyBorder="1" applyAlignment="1">
      <alignment horizontal="center"/>
    </xf>
    <xf numFmtId="0" fontId="29" fillId="0" borderId="0" xfId="0" applyFont="1" applyFill="1" applyBorder="1" applyAlignment="1">
      <alignment horizontal="center"/>
    </xf>
    <xf numFmtId="43" fontId="29" fillId="0" borderId="0" xfId="0" applyNumberFormat="1" applyFont="1" applyFill="1" applyBorder="1" applyAlignment="1">
      <alignment horizontal="center" wrapText="1"/>
    </xf>
    <xf numFmtId="0" fontId="29" fillId="0" borderId="7" xfId="0" applyFont="1" applyFill="1" applyBorder="1" applyAlignment="1">
      <alignment horizontal="center" wrapText="1"/>
    </xf>
    <xf numFmtId="172" fontId="7" fillId="0" borderId="0" xfId="0" applyNumberFormat="1" applyFont="1" applyFill="1"/>
    <xf numFmtId="43" fontId="29" fillId="0" borderId="0" xfId="0" applyNumberFormat="1" applyFont="1" applyFill="1" applyBorder="1" applyAlignment="1">
      <alignment horizontal="center"/>
    </xf>
    <xf numFmtId="0" fontId="29" fillId="0" borderId="7" xfId="0" applyFont="1" applyFill="1" applyBorder="1" applyAlignment="1">
      <alignment horizontal="center"/>
    </xf>
    <xf numFmtId="173" fontId="7" fillId="0" borderId="0" xfId="0" applyNumberFormat="1" applyFont="1" applyFill="1"/>
    <xf numFmtId="0" fontId="30" fillId="0" borderId="6" xfId="0" applyFont="1" applyFill="1" applyBorder="1"/>
    <xf numFmtId="0" fontId="30" fillId="0" borderId="0" xfId="0" applyFont="1" applyFill="1" applyBorder="1"/>
    <xf numFmtId="0" fontId="30" fillId="0" borderId="7" xfId="0" applyFont="1" applyFill="1" applyBorder="1"/>
    <xf numFmtId="0" fontId="30" fillId="0" borderId="6" xfId="0" applyFont="1" applyFill="1" applyBorder="1" applyAlignment="1">
      <alignment horizontal="left"/>
    </xf>
    <xf numFmtId="10" fontId="30" fillId="0" borderId="0" xfId="0" applyNumberFormat="1" applyFont="1" applyFill="1" applyBorder="1"/>
    <xf numFmtId="10" fontId="30" fillId="0" borderId="7" xfId="0" applyNumberFormat="1" applyFont="1" applyFill="1" applyBorder="1"/>
    <xf numFmtId="0" fontId="30" fillId="0" borderId="11" xfId="0" applyFont="1" applyFill="1" applyBorder="1" applyAlignment="1">
      <alignment horizontal="left"/>
    </xf>
    <xf numFmtId="0" fontId="30" fillId="0" borderId="2" xfId="0" applyFont="1" applyFill="1" applyBorder="1"/>
    <xf numFmtId="10" fontId="30" fillId="0" borderId="2" xfId="0" applyNumberFormat="1" applyFont="1" applyFill="1" applyBorder="1"/>
    <xf numFmtId="10" fontId="30" fillId="0" borderId="12" xfId="0" applyNumberFormat="1" applyFont="1" applyFill="1" applyBorder="1"/>
    <xf numFmtId="0" fontId="19" fillId="0" borderId="13" xfId="0" applyFont="1" applyFill="1" applyBorder="1" applyAlignment="1">
      <alignment horizontal="centerContinuous"/>
    </xf>
    <xf numFmtId="169" fontId="7" fillId="0" borderId="0" xfId="1" applyNumberFormat="1" applyFont="1" applyFill="1"/>
    <xf numFmtId="167" fontId="7" fillId="0" borderId="14" xfId="0" applyNumberFormat="1" applyFont="1" applyFill="1" applyBorder="1"/>
    <xf numFmtId="44" fontId="7" fillId="0" borderId="0" xfId="0" applyNumberFormat="1" applyFont="1" applyFill="1"/>
    <xf numFmtId="0" fontId="24" fillId="0" borderId="0" xfId="10" applyFont="1"/>
    <xf numFmtId="0" fontId="1" fillId="0" borderId="0" xfId="10"/>
    <xf numFmtId="0" fontId="43" fillId="0" borderId="16" xfId="10" applyFont="1" applyFill="1" applyBorder="1" applyAlignment="1">
      <alignment horizontal="centerContinuous" vertical="center"/>
    </xf>
    <xf numFmtId="0" fontId="1" fillId="0" borderId="13" xfId="10" applyFill="1" applyBorder="1" applyAlignment="1">
      <alignment horizontal="centerContinuous"/>
    </xf>
    <xf numFmtId="0" fontId="1" fillId="0" borderId="17" xfId="10" applyFill="1" applyBorder="1" applyAlignment="1">
      <alignment horizontal="centerContinuous"/>
    </xf>
    <xf numFmtId="0" fontId="33" fillId="0" borderId="37" xfId="10" applyFont="1" applyFill="1" applyBorder="1" applyAlignment="1">
      <alignment horizontal="center" vertical="center"/>
    </xf>
    <xf numFmtId="0" fontId="33" fillId="0" borderId="14" xfId="10" applyFont="1" applyFill="1" applyBorder="1" applyAlignment="1">
      <alignment horizontal="center" vertical="center"/>
    </xf>
    <xf numFmtId="0" fontId="19" fillId="0" borderId="14" xfId="10" applyFont="1" applyFill="1" applyBorder="1" applyAlignment="1">
      <alignment horizontal="center" wrapText="1"/>
    </xf>
    <xf numFmtId="0" fontId="19" fillId="0" borderId="14" xfId="10" applyFont="1" applyFill="1" applyBorder="1" applyAlignment="1">
      <alignment wrapText="1"/>
    </xf>
    <xf numFmtId="0" fontId="19" fillId="0" borderId="38" xfId="10" applyFont="1" applyFill="1" applyBorder="1" applyAlignment="1">
      <alignment wrapText="1"/>
    </xf>
    <xf numFmtId="0" fontId="1" fillId="0" borderId="0" xfId="10" applyAlignment="1">
      <alignment wrapText="1"/>
    </xf>
    <xf numFmtId="0" fontId="32" fillId="0" borderId="37" xfId="10" applyFont="1" applyFill="1" applyBorder="1" applyAlignment="1">
      <alignment vertical="center"/>
    </xf>
    <xf numFmtId="0" fontId="32" fillId="0" borderId="14" xfId="10" applyFont="1" applyFill="1" applyBorder="1" applyAlignment="1">
      <alignment vertical="center"/>
    </xf>
    <xf numFmtId="169" fontId="0" fillId="0" borderId="14" xfId="11" applyNumberFormat="1" applyFont="1" applyFill="1" applyBorder="1"/>
    <xf numFmtId="169" fontId="1" fillId="0" borderId="14" xfId="10" applyNumberFormat="1" applyFill="1" applyBorder="1"/>
    <xf numFmtId="169" fontId="0" fillId="0" borderId="39" xfId="11" applyNumberFormat="1" applyFont="1" applyFill="1" applyBorder="1"/>
    <xf numFmtId="0" fontId="1" fillId="0" borderId="0" xfId="10" applyFill="1"/>
    <xf numFmtId="43" fontId="1" fillId="0" borderId="0" xfId="10" applyNumberFormat="1"/>
    <xf numFmtId="44" fontId="1" fillId="0" borderId="0" xfId="10" applyNumberFormat="1"/>
    <xf numFmtId="0" fontId="32" fillId="0" borderId="40" xfId="10" applyFont="1" applyFill="1" applyBorder="1" applyAlignment="1">
      <alignment vertical="center"/>
    </xf>
    <xf numFmtId="169" fontId="0" fillId="0" borderId="28" xfId="11" applyNumberFormat="1" applyFont="1" applyFill="1" applyBorder="1"/>
    <xf numFmtId="169" fontId="1" fillId="0" borderId="28" xfId="10" applyNumberFormat="1" applyFill="1" applyBorder="1"/>
    <xf numFmtId="169" fontId="0" fillId="0" borderId="41" xfId="11" applyNumberFormat="1" applyFont="1" applyFill="1" applyBorder="1"/>
    <xf numFmtId="0" fontId="33" fillId="0" borderId="42" xfId="10" applyFont="1" applyFill="1" applyBorder="1" applyAlignment="1">
      <alignment vertical="center"/>
    </xf>
    <xf numFmtId="0" fontId="33" fillId="0" borderId="18" xfId="10" applyFont="1" applyFill="1" applyBorder="1" applyAlignment="1">
      <alignment vertical="center"/>
    </xf>
    <xf numFmtId="169" fontId="19" fillId="0" borderId="18" xfId="11" applyNumberFormat="1" applyFont="1" applyFill="1" applyBorder="1"/>
    <xf numFmtId="43" fontId="19" fillId="0" borderId="18" xfId="10" applyNumberFormat="1" applyFont="1" applyFill="1" applyBorder="1"/>
    <xf numFmtId="169" fontId="19" fillId="0" borderId="39" xfId="11" applyNumberFormat="1" applyFont="1" applyFill="1" applyBorder="1"/>
    <xf numFmtId="0" fontId="1" fillId="0" borderId="6" xfId="10" applyFill="1" applyBorder="1"/>
    <xf numFmtId="0" fontId="1" fillId="0" borderId="0" xfId="10" applyFill="1" applyBorder="1"/>
    <xf numFmtId="0" fontId="1" fillId="0" borderId="7" xfId="10" applyFill="1" applyBorder="1"/>
    <xf numFmtId="0" fontId="33" fillId="0" borderId="43" xfId="10" applyFont="1" applyFill="1" applyBorder="1" applyAlignment="1">
      <alignment horizontal="center" vertical="center"/>
    </xf>
    <xf numFmtId="0" fontId="33" fillId="0" borderId="44" xfId="10" applyFont="1" applyFill="1" applyBorder="1" applyAlignment="1">
      <alignment horizontal="center" vertical="center"/>
    </xf>
    <xf numFmtId="0" fontId="1" fillId="0" borderId="42" xfId="10" applyFill="1" applyBorder="1"/>
    <xf numFmtId="0" fontId="32" fillId="0" borderId="19" xfId="12" applyFont="1" applyBorder="1" applyAlignment="1">
      <alignment vertical="center"/>
    </xf>
    <xf numFmtId="169" fontId="0" fillId="0" borderId="14" xfId="11" applyNumberFormat="1" applyFont="1" applyBorder="1"/>
    <xf numFmtId="169" fontId="0" fillId="0" borderId="18" xfId="11" applyNumberFormat="1" applyFont="1" applyFill="1" applyBorder="1"/>
    <xf numFmtId="169" fontId="0" fillId="0" borderId="39" xfId="11" applyNumberFormat="1" applyFont="1" applyBorder="1"/>
    <xf numFmtId="0" fontId="47" fillId="0" borderId="0" xfId="10" applyFont="1"/>
    <xf numFmtId="0" fontId="32" fillId="0" borderId="28" xfId="10" applyFont="1" applyBorder="1" applyAlignment="1">
      <alignment vertical="center"/>
    </xf>
    <xf numFmtId="169" fontId="0" fillId="0" borderId="28" xfId="11" applyNumberFormat="1" applyFont="1" applyBorder="1"/>
    <xf numFmtId="0" fontId="33" fillId="0" borderId="45" xfId="10" applyFont="1" applyBorder="1" applyAlignment="1">
      <alignment vertical="center"/>
    </xf>
    <xf numFmtId="169" fontId="19" fillId="0" borderId="18" xfId="11" applyNumberFormat="1" applyFont="1" applyBorder="1"/>
    <xf numFmtId="169" fontId="19" fillId="0" borderId="39" xfId="11" applyNumberFormat="1" applyFont="1" applyBorder="1"/>
    <xf numFmtId="0" fontId="1" fillId="0" borderId="0" xfId="10" applyBorder="1"/>
    <xf numFmtId="0" fontId="1" fillId="0" borderId="7" xfId="10" applyBorder="1"/>
    <xf numFmtId="0" fontId="33" fillId="11" borderId="40" xfId="10" applyFont="1" applyFill="1" applyBorder="1" applyAlignment="1">
      <alignment vertical="center"/>
    </xf>
    <xf numFmtId="0" fontId="33" fillId="11" borderId="28" xfId="10" applyFont="1" applyFill="1" applyBorder="1" applyAlignment="1">
      <alignment vertical="center"/>
    </xf>
    <xf numFmtId="169" fontId="19" fillId="11" borderId="28" xfId="11" applyNumberFormat="1" applyFont="1" applyFill="1" applyBorder="1"/>
    <xf numFmtId="169" fontId="19" fillId="11" borderId="41" xfId="11" applyNumberFormat="1" applyFont="1" applyFill="1" applyBorder="1"/>
    <xf numFmtId="0" fontId="48" fillId="0" borderId="0" xfId="10" applyFont="1"/>
    <xf numFmtId="0" fontId="32" fillId="0" borderId="19" xfId="6" applyFont="1" applyFill="1" applyBorder="1" applyAlignment="1">
      <alignment vertical="center"/>
    </xf>
    <xf numFmtId="0" fontId="32" fillId="0" borderId="14" xfId="6" applyFont="1" applyFill="1" applyBorder="1" applyAlignment="1">
      <alignment vertical="center"/>
    </xf>
    <xf numFmtId="44" fontId="18" fillId="0" borderId="14" xfId="7" applyFont="1" applyFill="1" applyBorder="1"/>
    <xf numFmtId="0" fontId="49" fillId="0" borderId="0" xfId="6" applyFont="1"/>
    <xf numFmtId="0" fontId="14" fillId="0" borderId="0" xfId="0" applyFont="1" applyFill="1" applyAlignment="1">
      <alignment horizontal="center" vertical="top"/>
    </xf>
    <xf numFmtId="0" fontId="5" fillId="0" borderId="0" xfId="6" applyAlignment="1">
      <alignment horizontal="left" wrapText="1"/>
    </xf>
    <xf numFmtId="0" fontId="27" fillId="0" borderId="0" xfId="0" applyNumberFormat="1" applyFont="1" applyFill="1" applyAlignment="1" applyProtection="1">
      <alignment horizontal="center"/>
      <protection locked="0"/>
    </xf>
    <xf numFmtId="0" fontId="27" fillId="0" borderId="0" xfId="0" applyNumberFormat="1" applyFont="1" applyAlignment="1">
      <alignment horizontal="center"/>
    </xf>
    <xf numFmtId="0" fontId="27" fillId="0" borderId="0" xfId="0" applyNumberFormat="1" applyFont="1" applyFill="1" applyAlignment="1">
      <alignment horizontal="center"/>
    </xf>
    <xf numFmtId="0" fontId="50" fillId="0" borderId="0" xfId="0" applyFont="1" applyFill="1"/>
    <xf numFmtId="0" fontId="51" fillId="0" borderId="0" xfId="6" applyFont="1"/>
    <xf numFmtId="0" fontId="52" fillId="0" borderId="0" xfId="6" applyFont="1"/>
  </cellXfs>
  <cellStyles count="13">
    <cellStyle name="Comma" xfId="1" builtinId="3"/>
    <cellStyle name="Comma 2" xfId="11"/>
    <cellStyle name="Currency" xfId="9" builtinId="4"/>
    <cellStyle name="Currency 2" xfId="5"/>
    <cellStyle name="Currency 3" xfId="7"/>
    <cellStyle name="Normal" xfId="0" builtinId="0"/>
    <cellStyle name="Normal 162" xfId="3"/>
    <cellStyle name="Normal 2" xfId="4"/>
    <cellStyle name="Normal 3" xfId="6"/>
    <cellStyle name="Normal 3 2" xfId="12"/>
    <cellStyle name="Normal 4" xfId="10"/>
    <cellStyle name="Percent" xfId="2" builtinId="5"/>
    <cellStyle name="Percent 2" xfId="8"/>
  </cellStyles>
  <dxfs count="0"/>
  <tableStyles count="0" defaultTableStyle="TableStyleMedium2" defaultPivotStyle="PivotStyleLight16"/>
  <colors>
    <mruColors>
      <color rgb="FF0000FF"/>
      <color rgb="FFFFCCCC"/>
      <color rgb="FFCCFFCC"/>
      <color rgb="FFE31D93"/>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ummary%20All%20Program%20Orders%20Oct%202020%20CRM%20Filing%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amp;M Orders=&gt;"/>
      <sheetName val="Legacy Insprections"/>
      <sheetName val="Legacy Repairs"/>
      <sheetName val="Capital Orders=&gt;"/>
      <sheetName val="Dupont "/>
      <sheetName val="Buried Meters "/>
    </sheetNames>
    <sheetDataSet>
      <sheetData sheetId="0">
        <row r="6">
          <cell r="D6">
            <v>3207980.4099998274</v>
          </cell>
          <cell r="E6">
            <v>79500</v>
          </cell>
        </row>
        <row r="7">
          <cell r="D7">
            <v>27107.89</v>
          </cell>
          <cell r="E7">
            <v>50000</v>
          </cell>
        </row>
        <row r="8">
          <cell r="E8">
            <v>-82000</v>
          </cell>
        </row>
      </sheetData>
      <sheetData sheetId="1"/>
      <sheetData sheetId="2"/>
      <sheetData sheetId="3"/>
      <sheetData sheetId="4"/>
      <sheetData sheetId="5">
        <row r="5044">
          <cell r="O5044">
            <v>46594045.240000039</v>
          </cell>
        </row>
      </sheetData>
      <sheetData sheetId="6">
        <row r="4705">
          <cell r="O4705">
            <v>3145687.3699999936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24"/>
  <sheetViews>
    <sheetView tabSelected="1" zoomScale="112" zoomScaleNormal="112" workbookViewId="0">
      <selection activeCell="B13" sqref="B13"/>
    </sheetView>
  </sheetViews>
  <sheetFormatPr defaultColWidth="9.140625" defaultRowHeight="12.75" x14ac:dyDescent="0.2"/>
  <cols>
    <col min="1" max="1" width="55.28515625" style="113" customWidth="1"/>
    <col min="2" max="2" width="19.42578125" style="113" bestFit="1" customWidth="1"/>
    <col min="3" max="4" width="9.140625" style="113"/>
    <col min="5" max="5" width="48.28515625" style="113" bestFit="1" customWidth="1"/>
    <col min="6" max="6" width="12.85546875" style="113" bestFit="1" customWidth="1"/>
    <col min="7" max="16384" width="9.140625" style="113"/>
  </cols>
  <sheetData>
    <row r="3" spans="1:7" x14ac:dyDescent="0.2">
      <c r="A3" s="85" t="s">
        <v>76</v>
      </c>
      <c r="B3" s="85"/>
    </row>
    <row r="4" spans="1:7" x14ac:dyDescent="0.2">
      <c r="A4" s="85" t="s">
        <v>77</v>
      </c>
      <c r="B4" s="85"/>
    </row>
    <row r="5" spans="1:7" x14ac:dyDescent="0.2">
      <c r="A5" s="85" t="s">
        <v>181</v>
      </c>
      <c r="B5" s="85"/>
      <c r="D5"/>
      <c r="E5"/>
      <c r="F5"/>
      <c r="G5"/>
    </row>
    <row r="6" spans="1:7" x14ac:dyDescent="0.2">
      <c r="A6" s="85" t="s">
        <v>222</v>
      </c>
      <c r="B6" s="85"/>
      <c r="D6"/>
      <c r="E6"/>
      <c r="F6"/>
      <c r="G6"/>
    </row>
    <row r="7" spans="1:7" x14ac:dyDescent="0.2">
      <c r="A7" s="85"/>
      <c r="B7" s="85"/>
      <c r="D7"/>
      <c r="E7"/>
      <c r="F7"/>
      <c r="G7"/>
    </row>
    <row r="8" spans="1:7" x14ac:dyDescent="0.2">
      <c r="D8"/>
      <c r="E8"/>
      <c r="F8"/>
      <c r="G8"/>
    </row>
    <row r="9" spans="1:7" ht="65.25" customHeight="1" x14ac:dyDescent="0.2">
      <c r="A9" s="86" t="s">
        <v>101</v>
      </c>
      <c r="B9" s="158" t="s">
        <v>120</v>
      </c>
      <c r="D9"/>
      <c r="E9"/>
      <c r="F9"/>
      <c r="G9"/>
    </row>
    <row r="10" spans="1:7" ht="27.75" customHeight="1" x14ac:dyDescent="0.2">
      <c r="A10" s="87"/>
      <c r="B10" s="159"/>
      <c r="D10"/>
      <c r="E10"/>
      <c r="F10"/>
      <c r="G10"/>
    </row>
    <row r="11" spans="1:7" x14ac:dyDescent="0.2">
      <c r="A11" s="87" t="s">
        <v>183</v>
      </c>
      <c r="B11" s="160">
        <f>'2019 CRM+True Up '!F42</f>
        <v>6774758.768335294</v>
      </c>
      <c r="D11"/>
      <c r="E11"/>
      <c r="F11"/>
      <c r="G11"/>
    </row>
    <row r="12" spans="1:7" x14ac:dyDescent="0.2">
      <c r="A12" s="87" t="s">
        <v>155</v>
      </c>
      <c r="B12" s="160">
        <f>'2019TrueUp'!E24</f>
        <v>610829.53836313449</v>
      </c>
      <c r="D12"/>
      <c r="E12"/>
      <c r="F12"/>
      <c r="G12"/>
    </row>
    <row r="13" spans="1:7" x14ac:dyDescent="0.2">
      <c r="A13" s="87" t="s">
        <v>154</v>
      </c>
      <c r="B13" s="160">
        <f>'2020 C&amp;OM'!F27</f>
        <v>9617119.1748390868</v>
      </c>
      <c r="D13"/>
      <c r="E13"/>
      <c r="F13"/>
      <c r="G13"/>
    </row>
    <row r="14" spans="1:7" ht="13.5" thickBot="1" x14ac:dyDescent="0.25">
      <c r="A14" s="88" t="s">
        <v>237</v>
      </c>
      <c r="B14" s="161">
        <f>SUM(B11:B13)</f>
        <v>17002707.481537513</v>
      </c>
      <c r="D14"/>
      <c r="E14"/>
      <c r="F14"/>
      <c r="G14"/>
    </row>
    <row r="15" spans="1:7" ht="13.5" thickTop="1" x14ac:dyDescent="0.2">
      <c r="A15" s="89"/>
      <c r="B15" s="90"/>
      <c r="D15"/>
      <c r="E15"/>
      <c r="F15"/>
      <c r="G15"/>
    </row>
    <row r="16" spans="1:7" x14ac:dyDescent="0.2">
      <c r="A16"/>
      <c r="B16"/>
      <c r="D16"/>
      <c r="E16"/>
      <c r="F16"/>
      <c r="G16"/>
    </row>
    <row r="17" spans="1:7" x14ac:dyDescent="0.2">
      <c r="A17"/>
      <c r="B17"/>
      <c r="D17"/>
      <c r="E17"/>
      <c r="F17"/>
      <c r="G17"/>
    </row>
    <row r="18" spans="1:7" x14ac:dyDescent="0.2">
      <c r="A18" s="226" t="s">
        <v>190</v>
      </c>
      <c r="B18"/>
      <c r="D18"/>
      <c r="E18"/>
      <c r="F18"/>
      <c r="G18"/>
    </row>
    <row r="19" spans="1:7" x14ac:dyDescent="0.2">
      <c r="A19" s="224" t="s">
        <v>192</v>
      </c>
      <c r="B19"/>
      <c r="D19"/>
      <c r="E19"/>
      <c r="F19"/>
      <c r="G19"/>
    </row>
    <row r="20" spans="1:7" x14ac:dyDescent="0.2">
      <c r="A20" s="225" t="s">
        <v>239</v>
      </c>
      <c r="B20"/>
    </row>
    <row r="21" spans="1:7" x14ac:dyDescent="0.2">
      <c r="A21" s="225" t="s">
        <v>191</v>
      </c>
      <c r="B21"/>
    </row>
    <row r="22" spans="1:7" x14ac:dyDescent="0.2">
      <c r="A22" s="223"/>
      <c r="B22"/>
    </row>
    <row r="23" spans="1:7" x14ac:dyDescent="0.2">
      <c r="A23"/>
      <c r="B23"/>
    </row>
    <row r="24" spans="1:7" x14ac:dyDescent="0.2">
      <c r="A24"/>
      <c r="B24"/>
    </row>
  </sheetData>
  <printOptions horizontalCentered="1"/>
  <pageMargins left="0.7" right="0.7" top="0.75" bottom="0.75" header="0.3" footer="0.3"/>
  <pageSetup orientation="portrait" r:id="rId1"/>
  <headerFooter>
    <oddFooter>&amp;L&amp;F
&amp;A&amp;C&amp;P&amp;R&amp;D</oddFoot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9"/>
  <sheetViews>
    <sheetView topLeftCell="A34" workbookViewId="0">
      <selection activeCell="J17" sqref="J17"/>
    </sheetView>
  </sheetViews>
  <sheetFormatPr defaultColWidth="10.28515625" defaultRowHeight="15" outlineLevelRow="1" outlineLevelCol="1" x14ac:dyDescent="0.2"/>
  <cols>
    <col min="1" max="1" width="5.7109375" style="34" customWidth="1"/>
    <col min="2" max="2" width="7.42578125" style="34" customWidth="1"/>
    <col min="3" max="3" width="26.42578125" style="34" customWidth="1"/>
    <col min="4" max="4" width="15.5703125" style="3" customWidth="1"/>
    <col min="5" max="5" width="12.5703125" style="56" bestFit="1" customWidth="1"/>
    <col min="6" max="6" width="13.42578125" style="56" customWidth="1"/>
    <col min="7" max="7" width="15.28515625" style="56" bestFit="1" customWidth="1"/>
    <col min="8" max="8" width="12.5703125" style="56" customWidth="1"/>
    <col min="9" max="9" width="12.85546875" style="56" bestFit="1" customWidth="1"/>
    <col min="10" max="10" width="16.28515625" style="56" customWidth="1"/>
    <col min="11" max="11" width="12.85546875" style="56" bestFit="1" customWidth="1"/>
    <col min="12" max="12" width="14.28515625" style="56" bestFit="1" customWidth="1"/>
    <col min="13" max="15" width="12.85546875" style="56" bestFit="1" customWidth="1"/>
    <col min="16" max="16" width="14.28515625" style="56" bestFit="1" customWidth="1"/>
    <col min="17" max="25" width="12.85546875" style="56" bestFit="1" customWidth="1"/>
    <col min="26" max="38" width="12.28515625" style="56" bestFit="1" customWidth="1"/>
    <col min="39" max="39" width="17" style="56" customWidth="1" outlineLevel="1"/>
    <col min="40" max="40" width="13" style="56" customWidth="1" outlineLevel="1"/>
    <col min="41" max="41" width="11" style="56" customWidth="1" outlineLevel="1"/>
    <col min="42" max="42" width="12.7109375" style="3" bestFit="1" customWidth="1"/>
    <col min="43" max="16384" width="10.28515625" style="3"/>
  </cols>
  <sheetData>
    <row r="1" spans="1:22" s="3" customFormat="1" ht="17.25" customHeight="1" outlineLevel="1" x14ac:dyDescent="0.25">
      <c r="A1" s="1" t="s">
        <v>0</v>
      </c>
      <c r="B1" s="2"/>
      <c r="C1" s="2"/>
      <c r="E1" s="402"/>
      <c r="F1" s="402"/>
      <c r="H1" s="4"/>
      <c r="I1" s="5"/>
    </row>
    <row r="2" spans="1:22" s="3" customFormat="1" ht="12.75" customHeight="1" outlineLevel="1" x14ac:dyDescent="0.25">
      <c r="A2" s="6" t="s">
        <v>1</v>
      </c>
      <c r="B2" s="2"/>
      <c r="C2" s="2"/>
      <c r="F2" s="5"/>
      <c r="G2" s="5"/>
    </row>
    <row r="3" spans="1:22" s="3" customFormat="1" ht="12.75" customHeight="1" outlineLevel="1" x14ac:dyDescent="0.25">
      <c r="A3" s="6" t="s">
        <v>2</v>
      </c>
      <c r="B3" s="2"/>
      <c r="C3" s="183">
        <v>2017</v>
      </c>
      <c r="D3" s="184" t="s">
        <v>3</v>
      </c>
      <c r="F3" s="5"/>
      <c r="G3" s="5"/>
    </row>
    <row r="4" spans="1:22" s="3" customFormat="1" ht="7.5" customHeight="1" outlineLevel="1" thickBot="1" x14ac:dyDescent="0.25">
      <c r="A4" s="2"/>
      <c r="B4" s="2"/>
      <c r="C4" s="2"/>
      <c r="F4" s="5"/>
      <c r="G4" s="5"/>
    </row>
    <row r="5" spans="1:22" s="3" customFormat="1" outlineLevel="1" x14ac:dyDescent="0.2">
      <c r="A5" s="7" t="s">
        <v>4</v>
      </c>
      <c r="B5" s="8"/>
      <c r="C5" s="8"/>
      <c r="D5" s="9"/>
      <c r="E5" s="9"/>
      <c r="F5" s="10"/>
      <c r="G5" s="11"/>
      <c r="H5" s="185"/>
      <c r="I5" s="9"/>
      <c r="J5" s="10"/>
    </row>
    <row r="6" spans="1:22" s="3" customFormat="1" outlineLevel="1" x14ac:dyDescent="0.2">
      <c r="A6" s="12"/>
      <c r="B6" s="13"/>
      <c r="C6" s="13"/>
      <c r="D6" s="114" t="s">
        <v>185</v>
      </c>
      <c r="E6" s="114"/>
      <c r="F6" s="115"/>
      <c r="G6" s="11"/>
      <c r="H6" s="186" t="s">
        <v>186</v>
      </c>
      <c r="I6" s="114"/>
      <c r="J6" s="115"/>
      <c r="L6" s="22">
        <f>E49*$J12/12*1+E49*F12/12*11</f>
        <v>1891107.2891529668</v>
      </c>
    </row>
    <row r="7" spans="1:22" s="3" customFormat="1" x14ac:dyDescent="0.2">
      <c r="A7" s="12"/>
      <c r="B7" s="13"/>
      <c r="C7" s="13"/>
      <c r="D7" s="16"/>
      <c r="E7" s="16"/>
      <c r="F7" s="17" t="s">
        <v>5</v>
      </c>
      <c r="G7" s="18"/>
      <c r="H7" s="187"/>
      <c r="I7" s="16"/>
      <c r="J7" s="17" t="s">
        <v>5</v>
      </c>
      <c r="L7" s="22"/>
    </row>
    <row r="8" spans="1:22" s="3" customFormat="1" x14ac:dyDescent="0.2">
      <c r="A8" s="12" t="s">
        <v>6</v>
      </c>
      <c r="B8" s="13"/>
      <c r="C8" s="13"/>
      <c r="D8" s="19" t="s">
        <v>7</v>
      </c>
      <c r="E8" s="19" t="s">
        <v>8</v>
      </c>
      <c r="F8" s="20" t="s">
        <v>8</v>
      </c>
      <c r="G8" s="18"/>
      <c r="H8" s="188" t="s">
        <v>7</v>
      </c>
      <c r="I8" s="19" t="s">
        <v>8</v>
      </c>
      <c r="J8" s="20" t="s">
        <v>8</v>
      </c>
      <c r="L8" s="106"/>
      <c r="N8" s="189"/>
      <c r="O8" s="189"/>
      <c r="P8" s="189"/>
      <c r="Q8" s="189">
        <f>O8-P8</f>
        <v>0</v>
      </c>
      <c r="R8" s="105"/>
      <c r="S8" s="105"/>
      <c r="T8" s="105"/>
      <c r="U8" s="105"/>
      <c r="V8" s="105"/>
    </row>
    <row r="9" spans="1:22" s="3" customFormat="1" x14ac:dyDescent="0.2">
      <c r="A9" s="12"/>
      <c r="B9" s="13"/>
      <c r="C9" s="13"/>
      <c r="D9" s="14"/>
      <c r="E9" s="14"/>
      <c r="F9" s="21"/>
      <c r="G9" s="14"/>
      <c r="H9" s="190"/>
      <c r="I9" s="14"/>
      <c r="J9" s="21"/>
      <c r="K9" s="105"/>
      <c r="L9" s="189"/>
      <c r="N9" s="189"/>
      <c r="O9" s="189"/>
      <c r="P9" s="189"/>
      <c r="Q9" s="189">
        <f t="shared" ref="Q9:Q13" si="0">O9-P9</f>
        <v>0</v>
      </c>
      <c r="R9" s="105"/>
      <c r="S9" s="105"/>
      <c r="T9" s="105"/>
      <c r="U9" s="105"/>
      <c r="V9" s="105"/>
    </row>
    <row r="10" spans="1:22" s="3" customFormat="1" x14ac:dyDescent="0.2">
      <c r="A10" s="12"/>
      <c r="B10" s="13"/>
      <c r="C10" s="13"/>
      <c r="D10" s="23"/>
      <c r="E10" s="23"/>
      <c r="F10" s="24"/>
      <c r="G10" s="22"/>
      <c r="H10" s="191"/>
      <c r="I10" s="23"/>
      <c r="J10" s="24"/>
      <c r="K10" s="105"/>
      <c r="L10" s="189"/>
      <c r="N10" s="189"/>
      <c r="O10" s="189"/>
      <c r="P10" s="189"/>
      <c r="Q10" s="189">
        <f t="shared" si="0"/>
        <v>0</v>
      </c>
      <c r="R10" s="105"/>
      <c r="S10" s="105"/>
      <c r="T10" s="105"/>
      <c r="U10" s="105"/>
      <c r="V10" s="105"/>
    </row>
    <row r="11" spans="1:22" s="3" customFormat="1" x14ac:dyDescent="0.2">
      <c r="A11" s="12" t="s">
        <v>121</v>
      </c>
      <c r="B11" s="13"/>
      <c r="C11" s="13"/>
      <c r="D11" s="23">
        <v>0.51500000000000001</v>
      </c>
      <c r="E11" s="23">
        <v>5.8058252427184473E-2</v>
      </c>
      <c r="F11" s="24">
        <v>2.9899999999999999E-2</v>
      </c>
      <c r="G11" s="22"/>
      <c r="H11" s="191">
        <v>0.52</v>
      </c>
      <c r="I11" s="23">
        <v>8.8400000000000006E-2</v>
      </c>
      <c r="J11" s="24">
        <v>3.0700000000000002E-2</v>
      </c>
      <c r="K11" s="105"/>
      <c r="L11" s="106"/>
      <c r="N11" s="189"/>
      <c r="O11" s="189"/>
      <c r="P11" s="189"/>
      <c r="Q11" s="189">
        <f t="shared" si="0"/>
        <v>0</v>
      </c>
      <c r="R11" s="105"/>
      <c r="S11" s="105"/>
      <c r="T11" s="105"/>
      <c r="U11" s="105"/>
      <c r="V11" s="105"/>
    </row>
    <row r="12" spans="1:22" s="3" customFormat="1" x14ac:dyDescent="0.2">
      <c r="A12" s="12" t="s">
        <v>9</v>
      </c>
      <c r="B12" s="13"/>
      <c r="C12" s="13"/>
      <c r="D12" s="25">
        <v>0.48499999999999999</v>
      </c>
      <c r="E12" s="23">
        <v>9.5000000000000001E-2</v>
      </c>
      <c r="F12" s="26">
        <v>4.6100000000000002E-2</v>
      </c>
      <c r="G12" s="22"/>
      <c r="H12" s="192">
        <v>0.48</v>
      </c>
      <c r="I12" s="25">
        <v>9.8000000000000004E-2</v>
      </c>
      <c r="J12" s="26">
        <v>4.7E-2</v>
      </c>
      <c r="K12" s="105"/>
      <c r="L12" s="189"/>
      <c r="N12" s="189"/>
      <c r="O12" s="189"/>
      <c r="P12" s="189"/>
      <c r="Q12" s="189">
        <f t="shared" si="0"/>
        <v>0</v>
      </c>
      <c r="R12" s="105"/>
      <c r="S12" s="105"/>
      <c r="T12" s="105"/>
      <c r="U12" s="105"/>
      <c r="V12" s="105"/>
    </row>
    <row r="13" spans="1:22" s="3" customFormat="1" ht="15.75" thickBot="1" x14ac:dyDescent="0.25">
      <c r="A13" s="12" t="s">
        <v>10</v>
      </c>
      <c r="B13" s="13"/>
      <c r="C13" s="13"/>
      <c r="D13" s="27">
        <f>D10+D11+D12</f>
        <v>1</v>
      </c>
      <c r="E13" s="28"/>
      <c r="F13" s="29">
        <f>F10+F11+F12</f>
        <v>7.5999999999999998E-2</v>
      </c>
      <c r="G13" s="28"/>
      <c r="H13" s="193">
        <f>H10+H11+H12</f>
        <v>1</v>
      </c>
      <c r="I13" s="28"/>
      <c r="J13" s="29">
        <f>J10+J11+J12</f>
        <v>7.7700000000000005E-2</v>
      </c>
      <c r="K13" s="105"/>
      <c r="L13" s="189"/>
      <c r="N13" s="189"/>
      <c r="O13" s="189"/>
      <c r="P13" s="189"/>
      <c r="Q13" s="189">
        <f t="shared" si="0"/>
        <v>0</v>
      </c>
      <c r="R13" s="105"/>
      <c r="S13" s="105"/>
      <c r="T13" s="105"/>
      <c r="U13" s="105"/>
      <c r="V13" s="105"/>
    </row>
    <row r="14" spans="1:22" s="3" customFormat="1" ht="15.75" thickTop="1" x14ac:dyDescent="0.2">
      <c r="A14" s="12"/>
      <c r="B14" s="13"/>
      <c r="C14" s="13"/>
      <c r="D14" s="14"/>
      <c r="E14" s="14"/>
      <c r="F14" s="21"/>
      <c r="G14" s="14"/>
      <c r="H14" s="190"/>
      <c r="I14" s="14"/>
      <c r="J14" s="21"/>
      <c r="L14" s="106"/>
      <c r="M14" s="105"/>
      <c r="N14" s="105"/>
      <c r="O14" s="105"/>
      <c r="P14" s="105"/>
      <c r="Q14" s="105"/>
      <c r="R14" s="105"/>
      <c r="S14" s="105"/>
      <c r="T14" s="105"/>
      <c r="U14" s="105"/>
      <c r="V14" s="105"/>
    </row>
    <row r="15" spans="1:22" s="3" customFormat="1" x14ac:dyDescent="0.2">
      <c r="A15" s="12" t="s">
        <v>11</v>
      </c>
      <c r="B15" s="13"/>
      <c r="C15" s="13"/>
      <c r="D15" s="14"/>
      <c r="E15" s="14"/>
      <c r="F15" s="24">
        <v>0.21</v>
      </c>
      <c r="G15" s="28"/>
      <c r="H15" s="190"/>
      <c r="I15" s="14"/>
      <c r="J15" s="24">
        <v>0.35</v>
      </c>
      <c r="L15" s="189"/>
      <c r="M15" s="105"/>
      <c r="N15" s="105"/>
      <c r="O15" s="105"/>
      <c r="P15" s="105"/>
      <c r="Q15" s="105"/>
      <c r="R15" s="105"/>
      <c r="S15" s="105"/>
      <c r="T15" s="105"/>
      <c r="U15" s="105"/>
      <c r="V15" s="105"/>
    </row>
    <row r="16" spans="1:22" s="3" customFormat="1" x14ac:dyDescent="0.2">
      <c r="A16" s="12" t="s">
        <v>12</v>
      </c>
      <c r="B16" s="13"/>
      <c r="C16" s="13"/>
      <c r="D16" s="14"/>
      <c r="E16" s="14"/>
      <c r="F16" s="24">
        <v>4.5462000000000002E-2</v>
      </c>
      <c r="G16" s="28"/>
      <c r="H16" s="190"/>
      <c r="I16" s="14"/>
      <c r="J16" s="24">
        <v>4.5462000000000002E-2</v>
      </c>
      <c r="L16" s="106"/>
      <c r="M16" s="105"/>
      <c r="N16" s="105"/>
      <c r="O16" s="105"/>
      <c r="P16" s="105"/>
      <c r="Q16" s="105"/>
      <c r="R16" s="105"/>
      <c r="S16" s="105"/>
      <c r="T16" s="105"/>
      <c r="U16" s="105"/>
      <c r="V16" s="105"/>
    </row>
    <row r="17" spans="1:42" x14ac:dyDescent="0.2">
      <c r="A17" s="12" t="s">
        <v>13</v>
      </c>
      <c r="B17" s="13"/>
      <c r="C17" s="13"/>
      <c r="D17" s="14"/>
      <c r="E17" s="14"/>
      <c r="F17" s="24">
        <v>2.5007867478263991E-2</v>
      </c>
      <c r="H17" s="190"/>
      <c r="I17" s="14"/>
      <c r="J17" s="24">
        <v>2.9089603215373776E-2</v>
      </c>
      <c r="K17" s="3"/>
      <c r="L17" s="189"/>
      <c r="M17" s="105"/>
      <c r="N17" s="105"/>
      <c r="O17" s="105"/>
      <c r="P17" s="105"/>
      <c r="Q17" s="105"/>
      <c r="R17" s="105"/>
      <c r="S17" s="105"/>
      <c r="T17" s="105"/>
      <c r="U17" s="105"/>
      <c r="V17" s="105"/>
      <c r="W17" s="3"/>
      <c r="X17" s="3"/>
      <c r="Y17" s="3"/>
      <c r="Z17" s="3"/>
      <c r="AA17" s="3"/>
      <c r="AB17" s="3"/>
      <c r="AC17" s="3"/>
      <c r="AD17" s="3"/>
      <c r="AE17" s="3"/>
      <c r="AF17" s="3"/>
      <c r="AG17" s="3"/>
      <c r="AH17" s="3"/>
      <c r="AI17" s="3"/>
      <c r="AJ17" s="3"/>
      <c r="AK17" s="3"/>
      <c r="AL17" s="3"/>
      <c r="AM17" s="3"/>
      <c r="AN17" s="3"/>
      <c r="AO17" s="3"/>
    </row>
    <row r="18" spans="1:42" x14ac:dyDescent="0.2">
      <c r="A18" s="12" t="s">
        <v>14</v>
      </c>
      <c r="B18" s="13"/>
      <c r="C18" s="13"/>
      <c r="D18" s="14"/>
      <c r="E18" s="14"/>
      <c r="F18" s="30">
        <v>1</v>
      </c>
      <c r="G18" s="5"/>
      <c r="H18" s="190"/>
      <c r="I18" s="14"/>
      <c r="J18" s="30">
        <v>1</v>
      </c>
      <c r="K18" s="3"/>
      <c r="L18" s="189"/>
      <c r="M18" s="194"/>
      <c r="N18" s="105"/>
      <c r="O18" s="105"/>
      <c r="P18" s="105"/>
      <c r="Q18" s="105"/>
      <c r="R18" s="105"/>
      <c r="S18" s="105"/>
      <c r="T18" s="105"/>
      <c r="U18" s="105"/>
      <c r="V18" s="105"/>
      <c r="W18" s="3"/>
      <c r="X18" s="3"/>
      <c r="Y18" s="3"/>
      <c r="Z18" s="3"/>
      <c r="AA18" s="3"/>
      <c r="AB18" s="3"/>
      <c r="AC18" s="3"/>
      <c r="AD18" s="3"/>
      <c r="AE18" s="3"/>
      <c r="AF18" s="3"/>
      <c r="AG18" s="3"/>
      <c r="AH18" s="3"/>
      <c r="AI18" s="3"/>
      <c r="AJ18" s="3"/>
      <c r="AK18" s="3"/>
      <c r="AL18" s="3"/>
      <c r="AM18" s="3"/>
      <c r="AN18" s="3"/>
      <c r="AO18" s="3"/>
    </row>
    <row r="19" spans="1:42" x14ac:dyDescent="0.2">
      <c r="A19" s="12"/>
      <c r="B19" s="13"/>
      <c r="C19" s="13"/>
      <c r="D19" s="14"/>
      <c r="E19" s="14"/>
      <c r="F19" s="15"/>
      <c r="G19" s="5"/>
      <c r="H19" s="195"/>
      <c r="I19" s="14"/>
      <c r="J19" s="21"/>
      <c r="K19" s="3"/>
      <c r="L19" s="106"/>
      <c r="M19" s="105"/>
      <c r="N19" s="105"/>
      <c r="O19" s="105"/>
      <c r="P19" s="105"/>
      <c r="Q19" s="105"/>
      <c r="R19" s="105"/>
      <c r="S19" s="105"/>
      <c r="T19" s="105"/>
      <c r="U19" s="105"/>
      <c r="V19" s="105"/>
      <c r="W19" s="3"/>
      <c r="X19" s="3"/>
      <c r="Y19" s="3"/>
      <c r="Z19" s="3"/>
      <c r="AA19" s="3"/>
      <c r="AB19" s="3"/>
      <c r="AC19" s="3"/>
      <c r="AD19" s="3"/>
      <c r="AE19" s="3"/>
      <c r="AF19" s="3"/>
      <c r="AG19" s="3"/>
      <c r="AH19" s="3"/>
      <c r="AI19" s="3"/>
      <c r="AJ19" s="3"/>
      <c r="AK19" s="3"/>
      <c r="AL19" s="3"/>
      <c r="AM19" s="3"/>
      <c r="AN19" s="3"/>
      <c r="AO19" s="3"/>
    </row>
    <row r="20" spans="1:42" x14ac:dyDescent="0.2">
      <c r="A20" s="12" t="s">
        <v>15</v>
      </c>
      <c r="B20" s="13"/>
      <c r="C20" s="13"/>
      <c r="D20" s="14"/>
      <c r="E20" s="14"/>
      <c r="F20" s="15"/>
      <c r="G20" s="5"/>
      <c r="H20" s="195"/>
      <c r="I20" s="14"/>
      <c r="J20" s="21"/>
      <c r="K20" s="3"/>
      <c r="L20" s="189"/>
      <c r="M20" s="105"/>
      <c r="N20" s="105"/>
      <c r="O20" s="105"/>
      <c r="P20" s="105"/>
      <c r="Q20" s="105"/>
      <c r="R20" s="105"/>
      <c r="S20" s="105"/>
      <c r="T20" s="105"/>
      <c r="U20" s="105"/>
      <c r="V20" s="105"/>
      <c r="W20" s="3"/>
      <c r="X20" s="3"/>
      <c r="Y20" s="3"/>
      <c r="Z20" s="3"/>
      <c r="AA20" s="3"/>
      <c r="AB20" s="3"/>
      <c r="AC20" s="3"/>
      <c r="AD20" s="3"/>
      <c r="AE20" s="3"/>
      <c r="AF20" s="3"/>
      <c r="AG20" s="3"/>
      <c r="AH20" s="3"/>
      <c r="AI20" s="3"/>
      <c r="AJ20" s="3"/>
      <c r="AK20" s="3"/>
      <c r="AL20" s="3"/>
      <c r="AM20" s="3"/>
      <c r="AN20" s="3"/>
      <c r="AO20" s="3"/>
    </row>
    <row r="21" spans="1:42" x14ac:dyDescent="0.2">
      <c r="A21" s="12" t="s">
        <v>16</v>
      </c>
      <c r="B21" s="13"/>
      <c r="C21" s="13"/>
      <c r="D21" s="14"/>
      <c r="E21" s="14"/>
      <c r="F21" s="15"/>
      <c r="H21" s="195"/>
      <c r="I21" s="14"/>
      <c r="J21" s="21"/>
      <c r="K21" s="3"/>
      <c r="L21" s="106"/>
      <c r="M21" s="105"/>
      <c r="N21" s="105"/>
      <c r="O21" s="105"/>
      <c r="P21" s="105"/>
      <c r="Q21" s="105"/>
      <c r="R21" s="105"/>
      <c r="S21" s="105"/>
      <c r="T21" s="105"/>
      <c r="U21" s="105"/>
      <c r="V21" s="105"/>
      <c r="W21" s="3"/>
      <c r="X21" s="3"/>
      <c r="Y21" s="3"/>
      <c r="Z21" s="3"/>
      <c r="AA21" s="3"/>
      <c r="AB21" s="3"/>
      <c r="AC21" s="3"/>
      <c r="AD21" s="3"/>
      <c r="AE21" s="3"/>
      <c r="AF21" s="3"/>
      <c r="AG21" s="3"/>
      <c r="AH21" s="3"/>
      <c r="AI21" s="3"/>
      <c r="AJ21" s="3"/>
      <c r="AK21" s="3"/>
      <c r="AL21" s="3"/>
      <c r="AM21" s="3"/>
      <c r="AN21" s="3"/>
      <c r="AO21" s="3"/>
    </row>
    <row r="22" spans="1:42" ht="15.75" thickBot="1" x14ac:dyDescent="0.25">
      <c r="A22" s="31" t="s">
        <v>17</v>
      </c>
      <c r="B22" s="32"/>
      <c r="C22" s="32"/>
      <c r="D22" s="32"/>
      <c r="E22" s="33"/>
      <c r="F22" s="57">
        <v>45517704.079999976</v>
      </c>
      <c r="G22" s="196"/>
      <c r="H22" s="197"/>
      <c r="I22" s="33"/>
      <c r="J22" s="198"/>
      <c r="K22" s="3"/>
      <c r="L22" s="189"/>
      <c r="M22" s="105"/>
      <c r="N22" s="105"/>
      <c r="O22" s="105"/>
      <c r="P22" s="105"/>
      <c r="Q22" s="105"/>
      <c r="R22" s="105"/>
      <c r="S22" s="105"/>
      <c r="T22" s="105"/>
      <c r="U22" s="105"/>
      <c r="V22" s="105"/>
      <c r="W22" s="3"/>
      <c r="X22" s="3"/>
      <c r="Y22" s="3"/>
      <c r="Z22" s="3"/>
      <c r="AA22" s="3"/>
      <c r="AB22" s="3"/>
      <c r="AC22" s="3"/>
      <c r="AD22" s="3"/>
      <c r="AE22" s="3"/>
      <c r="AF22" s="3"/>
      <c r="AG22" s="3"/>
      <c r="AH22" s="3"/>
      <c r="AI22" s="3"/>
      <c r="AJ22" s="3"/>
      <c r="AK22" s="3"/>
      <c r="AL22" s="3"/>
      <c r="AM22" s="3"/>
      <c r="AN22" s="3"/>
      <c r="AO22" s="3"/>
    </row>
    <row r="23" spans="1:42" x14ac:dyDescent="0.2">
      <c r="E23" s="3"/>
      <c r="F23" s="3"/>
      <c r="G23" s="3"/>
      <c r="H23" s="3"/>
      <c r="I23" s="3"/>
      <c r="J23" s="3"/>
      <c r="K23" s="3"/>
      <c r="L23" s="189"/>
      <c r="M23" s="105"/>
      <c r="N23" s="105"/>
      <c r="O23" s="105"/>
      <c r="P23" s="105"/>
      <c r="Q23" s="105"/>
      <c r="R23" s="105"/>
      <c r="S23" s="105"/>
      <c r="T23" s="105"/>
      <c r="U23" s="105"/>
      <c r="V23" s="105"/>
      <c r="W23" s="3"/>
      <c r="X23" s="3"/>
      <c r="Y23" s="3"/>
      <c r="Z23" s="3"/>
      <c r="AA23" s="3"/>
      <c r="AB23" s="3"/>
      <c r="AC23" s="3"/>
      <c r="AD23" s="3"/>
      <c r="AE23" s="3"/>
      <c r="AF23" s="3"/>
      <c r="AG23" s="3"/>
      <c r="AH23" s="3"/>
      <c r="AI23" s="3"/>
      <c r="AJ23" s="3"/>
      <c r="AK23" s="3"/>
      <c r="AL23" s="3"/>
      <c r="AM23" s="3"/>
      <c r="AN23" s="3"/>
      <c r="AO23" s="3"/>
    </row>
    <row r="24" spans="1:42" ht="6" customHeight="1" x14ac:dyDescent="0.2">
      <c r="B24" s="3"/>
      <c r="C24" s="3"/>
      <c r="D24" s="106"/>
      <c r="E24" s="35"/>
      <c r="F24" s="35"/>
      <c r="G24" s="35"/>
      <c r="H24" s="35"/>
      <c r="I24" s="35"/>
      <c r="J24" s="35"/>
      <c r="K24" s="35"/>
      <c r="L24" s="199"/>
      <c r="M24" s="199"/>
      <c r="N24" s="199"/>
      <c r="O24" s="199"/>
      <c r="P24" s="199"/>
      <c r="Q24" s="199"/>
      <c r="R24" s="199"/>
      <c r="S24" s="199"/>
      <c r="T24" s="199"/>
      <c r="U24" s="199"/>
      <c r="V24" s="199"/>
      <c r="W24" s="35"/>
      <c r="X24" s="35"/>
      <c r="Y24" s="35"/>
      <c r="Z24" s="35"/>
      <c r="AA24" s="35"/>
      <c r="AB24" s="35"/>
      <c r="AC24" s="35"/>
      <c r="AD24" s="35"/>
      <c r="AE24" s="35"/>
      <c r="AF24" s="35"/>
      <c r="AG24" s="35"/>
      <c r="AH24" s="35"/>
      <c r="AI24" s="35"/>
      <c r="AJ24" s="35"/>
      <c r="AK24" s="35"/>
      <c r="AL24" s="35"/>
      <c r="AM24" s="35"/>
      <c r="AN24" s="35"/>
      <c r="AO24" s="35"/>
    </row>
    <row r="25" spans="1:42" x14ac:dyDescent="0.2">
      <c r="A25" s="2"/>
      <c r="B25" s="2"/>
      <c r="C25" s="2"/>
      <c r="D25" s="184"/>
      <c r="E25" s="36" t="s">
        <v>18</v>
      </c>
      <c r="F25" s="95" t="s">
        <v>19</v>
      </c>
      <c r="G25" s="37" t="s">
        <v>20</v>
      </c>
      <c r="H25" s="37" t="s">
        <v>21</v>
      </c>
      <c r="I25" s="37" t="s">
        <v>22</v>
      </c>
      <c r="J25" s="37" t="s">
        <v>23</v>
      </c>
      <c r="K25" s="37" t="s">
        <v>24</v>
      </c>
      <c r="L25" s="37" t="s">
        <v>25</v>
      </c>
      <c r="M25" s="37" t="s">
        <v>26</v>
      </c>
      <c r="N25" s="37" t="s">
        <v>27</v>
      </c>
      <c r="O25" s="37" t="s">
        <v>28</v>
      </c>
      <c r="P25" s="37" t="s">
        <v>29</v>
      </c>
      <c r="Q25" s="37" t="s">
        <v>30</v>
      </c>
      <c r="R25" s="37" t="s">
        <v>31</v>
      </c>
      <c r="S25" s="37" t="s">
        <v>32</v>
      </c>
      <c r="T25" s="37" t="s">
        <v>33</v>
      </c>
      <c r="U25" s="37" t="s">
        <v>34</v>
      </c>
      <c r="V25" s="37" t="s">
        <v>35</v>
      </c>
      <c r="W25" s="37" t="s">
        <v>36</v>
      </c>
      <c r="X25" s="37" t="s">
        <v>37</v>
      </c>
      <c r="Y25" s="37" t="s">
        <v>38</v>
      </c>
      <c r="Z25" s="37" t="s">
        <v>39</v>
      </c>
      <c r="AA25" s="37" t="s">
        <v>40</v>
      </c>
      <c r="AB25" s="37" t="s">
        <v>41</v>
      </c>
      <c r="AC25" s="37" t="s">
        <v>42</v>
      </c>
      <c r="AD25" s="37" t="s">
        <v>43</v>
      </c>
      <c r="AE25" s="37" t="s">
        <v>44</v>
      </c>
      <c r="AF25" s="37" t="s">
        <v>45</v>
      </c>
      <c r="AG25" s="37" t="s">
        <v>46</v>
      </c>
      <c r="AH25" s="37" t="s">
        <v>47</v>
      </c>
      <c r="AI25" s="37" t="s">
        <v>48</v>
      </c>
      <c r="AJ25" s="37" t="s">
        <v>49</v>
      </c>
      <c r="AK25" s="37" t="s">
        <v>50</v>
      </c>
      <c r="AL25" s="37" t="s">
        <v>51</v>
      </c>
      <c r="AM25" s="37" t="s">
        <v>52</v>
      </c>
      <c r="AN25" s="37"/>
      <c r="AO25" s="37"/>
      <c r="AP25" s="184"/>
    </row>
    <row r="26" spans="1:42" x14ac:dyDescent="0.2">
      <c r="A26" s="2"/>
      <c r="B26" s="2"/>
      <c r="C26" s="2"/>
      <c r="D26" s="200"/>
      <c r="E26" s="201">
        <v>2017</v>
      </c>
      <c r="F26" s="201">
        <v>2018</v>
      </c>
      <c r="G26" s="201">
        <v>2017</v>
      </c>
      <c r="H26" s="201">
        <v>2017</v>
      </c>
      <c r="I26" s="201">
        <v>2017</v>
      </c>
      <c r="J26" s="201">
        <v>2017</v>
      </c>
      <c r="K26" s="201">
        <v>2017</v>
      </c>
      <c r="L26" s="201">
        <v>2017</v>
      </c>
      <c r="M26" s="201">
        <v>2017</v>
      </c>
      <c r="N26" s="201">
        <v>2017</v>
      </c>
      <c r="O26" s="201">
        <v>2017</v>
      </c>
      <c r="P26" s="201">
        <v>2017</v>
      </c>
      <c r="Q26" s="201">
        <v>2017</v>
      </c>
      <c r="R26" s="201">
        <v>2017</v>
      </c>
      <c r="S26" s="201">
        <v>2017</v>
      </c>
      <c r="T26" s="201">
        <v>2017</v>
      </c>
      <c r="U26" s="201">
        <v>2017</v>
      </c>
      <c r="V26" s="201">
        <v>2017</v>
      </c>
      <c r="W26" s="201">
        <v>2017</v>
      </c>
      <c r="X26" s="201">
        <v>2017</v>
      </c>
      <c r="Y26" s="201">
        <v>2017</v>
      </c>
      <c r="Z26" s="201">
        <v>2017</v>
      </c>
      <c r="AA26" s="201">
        <v>2017</v>
      </c>
      <c r="AB26" s="201">
        <v>2017</v>
      </c>
      <c r="AC26" s="201">
        <v>2017</v>
      </c>
      <c r="AD26" s="201">
        <v>2017</v>
      </c>
      <c r="AE26" s="201">
        <v>2017</v>
      </c>
      <c r="AF26" s="201">
        <v>2017</v>
      </c>
      <c r="AG26" s="201">
        <v>2017</v>
      </c>
      <c r="AH26" s="201">
        <v>2017</v>
      </c>
      <c r="AI26" s="201">
        <v>2017</v>
      </c>
      <c r="AJ26" s="201">
        <v>2017</v>
      </c>
      <c r="AK26" s="201">
        <v>2017</v>
      </c>
      <c r="AL26" s="201">
        <v>2017</v>
      </c>
      <c r="AM26" s="201">
        <v>2017</v>
      </c>
      <c r="AN26" s="97"/>
      <c r="AO26" s="97"/>
      <c r="AP26" s="184"/>
    </row>
    <row r="27" spans="1:42" x14ac:dyDescent="0.2">
      <c r="A27" s="183">
        <v>1</v>
      </c>
      <c r="B27" s="2" t="s">
        <v>53</v>
      </c>
      <c r="C27" s="2"/>
      <c r="D27" s="202"/>
      <c r="E27" s="38">
        <f>F22*J17</f>
        <v>1324091.9509619994</v>
      </c>
      <c r="F27" s="102">
        <f>F22*J17/12*1+F22*F17/12*11</f>
        <v>1153783.3148320192</v>
      </c>
      <c r="G27" s="102">
        <f t="shared" ref="G27:AL27" si="1">$F22*$F17</f>
        <v>1138300.7115474755</v>
      </c>
      <c r="H27" s="102">
        <f t="shared" si="1"/>
        <v>1138300.7115474755</v>
      </c>
      <c r="I27" s="102">
        <f t="shared" si="1"/>
        <v>1138300.7115474755</v>
      </c>
      <c r="J27" s="102">
        <f t="shared" si="1"/>
        <v>1138300.7115474755</v>
      </c>
      <c r="K27" s="102">
        <f t="shared" si="1"/>
        <v>1138300.7115474755</v>
      </c>
      <c r="L27" s="102">
        <f t="shared" si="1"/>
        <v>1138300.7115474755</v>
      </c>
      <c r="M27" s="102">
        <f t="shared" si="1"/>
        <v>1138300.7115474755</v>
      </c>
      <c r="N27" s="102">
        <f t="shared" si="1"/>
        <v>1138300.7115474755</v>
      </c>
      <c r="O27" s="102">
        <f t="shared" si="1"/>
        <v>1138300.7115474755</v>
      </c>
      <c r="P27" s="102">
        <f t="shared" si="1"/>
        <v>1138300.7115474755</v>
      </c>
      <c r="Q27" s="102">
        <f t="shared" si="1"/>
        <v>1138300.7115474755</v>
      </c>
      <c r="R27" s="102">
        <f t="shared" si="1"/>
        <v>1138300.7115474755</v>
      </c>
      <c r="S27" s="102">
        <f t="shared" si="1"/>
        <v>1138300.7115474755</v>
      </c>
      <c r="T27" s="102">
        <f t="shared" si="1"/>
        <v>1138300.7115474755</v>
      </c>
      <c r="U27" s="102">
        <f t="shared" si="1"/>
        <v>1138300.7115474755</v>
      </c>
      <c r="V27" s="102">
        <f t="shared" si="1"/>
        <v>1138300.7115474755</v>
      </c>
      <c r="W27" s="102">
        <f t="shared" si="1"/>
        <v>1138300.7115474755</v>
      </c>
      <c r="X27" s="102">
        <f t="shared" si="1"/>
        <v>1138300.7115474755</v>
      </c>
      <c r="Y27" s="102">
        <f t="shared" si="1"/>
        <v>1138300.7115474755</v>
      </c>
      <c r="Z27" s="102">
        <f t="shared" si="1"/>
        <v>1138300.7115474755</v>
      </c>
      <c r="AA27" s="102">
        <f t="shared" si="1"/>
        <v>1138300.7115474755</v>
      </c>
      <c r="AB27" s="102">
        <f t="shared" si="1"/>
        <v>1138300.7115474755</v>
      </c>
      <c r="AC27" s="102">
        <f t="shared" si="1"/>
        <v>1138300.7115474755</v>
      </c>
      <c r="AD27" s="102">
        <f t="shared" si="1"/>
        <v>1138300.7115474755</v>
      </c>
      <c r="AE27" s="102">
        <f t="shared" si="1"/>
        <v>1138300.7115474755</v>
      </c>
      <c r="AF27" s="102">
        <f t="shared" si="1"/>
        <v>1138300.7115474755</v>
      </c>
      <c r="AG27" s="102">
        <f t="shared" si="1"/>
        <v>1138300.7115474755</v>
      </c>
      <c r="AH27" s="102">
        <f t="shared" si="1"/>
        <v>1138300.7115474755</v>
      </c>
      <c r="AI27" s="102">
        <f t="shared" si="1"/>
        <v>1138300.7115474755</v>
      </c>
      <c r="AJ27" s="102">
        <f t="shared" si="1"/>
        <v>1138300.7115474755</v>
      </c>
      <c r="AK27" s="102">
        <f t="shared" si="1"/>
        <v>1138300.7115474755</v>
      </c>
      <c r="AL27" s="102">
        <f t="shared" si="1"/>
        <v>1138300.7115474755</v>
      </c>
      <c r="AM27" s="39">
        <f>F22-SUM(E27:AL27)</f>
        <v>6614206.0446867272</v>
      </c>
      <c r="AN27" s="102">
        <f>SUM(E27:AM27)</f>
        <v>45517704.079999976</v>
      </c>
      <c r="AO27" s="102"/>
      <c r="AP27" s="203">
        <f>+AM27/AL27</f>
        <v>5.8105964246433368</v>
      </c>
    </row>
    <row r="28" spans="1:42" x14ac:dyDescent="0.2">
      <c r="A28" s="2"/>
      <c r="B28" s="2"/>
      <c r="C28" s="2"/>
      <c r="D28" s="184"/>
      <c r="E28" s="38"/>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39"/>
      <c r="AN28" s="102">
        <f>+AN27-F22</f>
        <v>0</v>
      </c>
      <c r="AO28" s="102"/>
      <c r="AP28" s="204"/>
    </row>
    <row r="29" spans="1:42" x14ac:dyDescent="0.2">
      <c r="A29" s="183">
        <f>A27+1</f>
        <v>2</v>
      </c>
      <c r="B29" s="2" t="s">
        <v>54</v>
      </c>
      <c r="C29" s="2"/>
      <c r="D29" s="184"/>
      <c r="E29" s="38">
        <f>E53</f>
        <v>588630.92836666503</v>
      </c>
      <c r="F29" s="102">
        <f t="shared" ref="F29:AM29" si="2">F53</f>
        <v>438203.40296548838</v>
      </c>
      <c r="G29" s="102">
        <f t="shared" si="2"/>
        <v>422969.30627122481</v>
      </c>
      <c r="H29" s="102">
        <f t="shared" si="2"/>
        <v>408185.23107613128</v>
      </c>
      <c r="I29" s="102">
        <f t="shared" si="2"/>
        <v>393683.45518945251</v>
      </c>
      <c r="J29" s="102">
        <f t="shared" si="2"/>
        <v>379442.89401553944</v>
      </c>
      <c r="K29" s="102">
        <f t="shared" si="2"/>
        <v>365443.92716677394</v>
      </c>
      <c r="L29" s="102">
        <f t="shared" si="2"/>
        <v>351668.39846356917</v>
      </c>
      <c r="M29" s="102">
        <f t="shared" si="2"/>
        <v>338017.62028462242</v>
      </c>
      <c r="N29" s="102">
        <f t="shared" si="2"/>
        <v>324384.70544365619</v>
      </c>
      <c r="O29" s="102">
        <f t="shared" si="2"/>
        <v>310751.79060269013</v>
      </c>
      <c r="P29" s="102">
        <f t="shared" si="2"/>
        <v>297118.87576172402</v>
      </c>
      <c r="Q29" s="102">
        <f t="shared" si="2"/>
        <v>283485.96092075791</v>
      </c>
      <c r="R29" s="102">
        <f t="shared" si="2"/>
        <v>269853.04607979173</v>
      </c>
      <c r="S29" s="102">
        <f t="shared" si="2"/>
        <v>256220.13123882562</v>
      </c>
      <c r="T29" s="102">
        <f t="shared" si="2"/>
        <v>242587.21639785945</v>
      </c>
      <c r="U29" s="102">
        <f t="shared" si="2"/>
        <v>228954.30155689336</v>
      </c>
      <c r="V29" s="102">
        <f t="shared" si="2"/>
        <v>215321.38671592719</v>
      </c>
      <c r="W29" s="102">
        <f t="shared" si="2"/>
        <v>201688.47187496105</v>
      </c>
      <c r="X29" s="102">
        <f t="shared" si="2"/>
        <v>188055.55703399496</v>
      </c>
      <c r="Y29" s="102">
        <f t="shared" si="2"/>
        <v>175075.97181654911</v>
      </c>
      <c r="Z29" s="102">
        <f t="shared" si="2"/>
        <v>163402.75300453769</v>
      </c>
      <c r="AA29" s="102">
        <f t="shared" si="2"/>
        <v>152382.86381604656</v>
      </c>
      <c r="AB29" s="102">
        <f t="shared" si="2"/>
        <v>141362.97462755549</v>
      </c>
      <c r="AC29" s="102">
        <f t="shared" si="2"/>
        <v>130343.08543906438</v>
      </c>
      <c r="AD29" s="102">
        <f t="shared" si="2"/>
        <v>119323.19625057327</v>
      </c>
      <c r="AE29" s="102">
        <f t="shared" si="2"/>
        <v>108303.30706208217</v>
      </c>
      <c r="AF29" s="102">
        <f t="shared" si="2"/>
        <v>97283.417873591039</v>
      </c>
      <c r="AG29" s="102">
        <f t="shared" si="2"/>
        <v>86263.528685099969</v>
      </c>
      <c r="AH29" s="102">
        <f t="shared" si="2"/>
        <v>75243.639496608856</v>
      </c>
      <c r="AI29" s="102">
        <f t="shared" si="2"/>
        <v>64223.750308117706</v>
      </c>
      <c r="AJ29" s="102">
        <f t="shared" si="2"/>
        <v>53203.861119626556</v>
      </c>
      <c r="AK29" s="102">
        <f t="shared" si="2"/>
        <v>42183.971931135398</v>
      </c>
      <c r="AL29" s="102">
        <f t="shared" si="2"/>
        <v>31164.082742644252</v>
      </c>
      <c r="AM29" s="102">
        <f t="shared" si="2"/>
        <v>-6361.9262109074698</v>
      </c>
      <c r="AN29" s="102"/>
      <c r="AO29" s="102"/>
      <c r="AP29" s="204"/>
    </row>
    <row r="30" spans="1:42" x14ac:dyDescent="0.2">
      <c r="A30" s="2"/>
      <c r="B30" s="2"/>
      <c r="C30" s="2"/>
      <c r="D30" s="184"/>
      <c r="E30" s="38"/>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204"/>
    </row>
    <row r="31" spans="1:42" x14ac:dyDescent="0.2">
      <c r="A31" s="2"/>
      <c r="B31" s="2" t="s">
        <v>55</v>
      </c>
      <c r="C31" s="2"/>
      <c r="D31" s="184"/>
      <c r="E31" s="38"/>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204"/>
    </row>
    <row r="32" spans="1:42" x14ac:dyDescent="0.2">
      <c r="A32" s="183">
        <f>A29+1</f>
        <v>3</v>
      </c>
      <c r="B32" s="2"/>
      <c r="C32" s="2"/>
      <c r="D32" s="184"/>
      <c r="E32" s="38"/>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204"/>
    </row>
    <row r="33" spans="1:42" x14ac:dyDescent="0.2">
      <c r="A33" s="183">
        <f>A32+1</f>
        <v>4</v>
      </c>
      <c r="B33" s="2"/>
      <c r="C33" s="12" t="s">
        <v>121</v>
      </c>
      <c r="D33" s="184"/>
      <c r="E33" s="38">
        <f>E49*$J11/12*1+E49*F11/12*11</f>
        <v>1227291.429668664</v>
      </c>
      <c r="F33" s="102">
        <f>F49*$F11</f>
        <v>1069187.3341026548</v>
      </c>
      <c r="G33" s="102">
        <f t="shared" ref="G33:AM33" si="3">G49*$F11</f>
        <v>1032017.1452776162</v>
      </c>
      <c r="H33" s="102">
        <f t="shared" si="3"/>
        <v>995944.97916013817</v>
      </c>
      <c r="I33" s="102">
        <f t="shared" si="3"/>
        <v>960561.604692703</v>
      </c>
      <c r="J33" s="102">
        <f t="shared" si="3"/>
        <v>925815.57685580582</v>
      </c>
      <c r="K33" s="102">
        <f t="shared" si="3"/>
        <v>891659.02320074034</v>
      </c>
      <c r="L33" s="102">
        <f t="shared" si="3"/>
        <v>858047.64384959906</v>
      </c>
      <c r="M33" s="102">
        <f t="shared" si="3"/>
        <v>824740.64753053058</v>
      </c>
      <c r="N33" s="102">
        <f t="shared" si="3"/>
        <v>791477.23657520965</v>
      </c>
      <c r="O33" s="102">
        <f t="shared" si="3"/>
        <v>758213.82561988884</v>
      </c>
      <c r="P33" s="102">
        <f t="shared" si="3"/>
        <v>724950.41466456815</v>
      </c>
      <c r="Q33" s="102">
        <f t="shared" si="3"/>
        <v>691687.00370924722</v>
      </c>
      <c r="R33" s="102">
        <f t="shared" si="3"/>
        <v>658423.59275392629</v>
      </c>
      <c r="S33" s="102">
        <f t="shared" si="3"/>
        <v>625160.1817986056</v>
      </c>
      <c r="T33" s="102">
        <f t="shared" si="3"/>
        <v>591896.77084328455</v>
      </c>
      <c r="U33" s="102">
        <f t="shared" si="3"/>
        <v>558633.35988796386</v>
      </c>
      <c r="V33" s="102">
        <f t="shared" si="3"/>
        <v>525369.94893264293</v>
      </c>
      <c r="W33" s="102">
        <f t="shared" si="3"/>
        <v>492106.53797732206</v>
      </c>
      <c r="X33" s="102">
        <f t="shared" si="3"/>
        <v>458843.12702200131</v>
      </c>
      <c r="Y33" s="102">
        <f t="shared" si="3"/>
        <v>427173.79715718486</v>
      </c>
      <c r="Z33" s="102">
        <f t="shared" si="3"/>
        <v>398691.91495921748</v>
      </c>
      <c r="AA33" s="102">
        <f t="shared" si="3"/>
        <v>371804.11385175458</v>
      </c>
      <c r="AB33" s="102">
        <f t="shared" si="3"/>
        <v>344916.31274429167</v>
      </c>
      <c r="AC33" s="102">
        <f t="shared" si="3"/>
        <v>318028.51163682877</v>
      </c>
      <c r="AD33" s="102">
        <f t="shared" si="3"/>
        <v>291140.71052936587</v>
      </c>
      <c r="AE33" s="102">
        <f t="shared" si="3"/>
        <v>264252.90942190296</v>
      </c>
      <c r="AF33" s="102">
        <f t="shared" si="3"/>
        <v>237365.10831444009</v>
      </c>
      <c r="AG33" s="102">
        <f t="shared" si="3"/>
        <v>210477.30720697719</v>
      </c>
      <c r="AH33" s="102">
        <f t="shared" si="3"/>
        <v>183589.50609951428</v>
      </c>
      <c r="AI33" s="102">
        <f t="shared" si="3"/>
        <v>156701.70499205127</v>
      </c>
      <c r="AJ33" s="102">
        <f t="shared" si="3"/>
        <v>129813.90388458825</v>
      </c>
      <c r="AK33" s="102">
        <f t="shared" si="3"/>
        <v>102926.10277712523</v>
      </c>
      <c r="AL33" s="102">
        <f t="shared" si="3"/>
        <v>76038.301669662222</v>
      </c>
      <c r="AM33" s="102">
        <f t="shared" si="3"/>
        <v>-15522.679374841993</v>
      </c>
      <c r="AN33" s="102"/>
      <c r="AO33" s="102"/>
      <c r="AP33" s="204"/>
    </row>
    <row r="34" spans="1:42" x14ac:dyDescent="0.2">
      <c r="A34" s="183">
        <f>A33+1</f>
        <v>5</v>
      </c>
      <c r="B34" s="2"/>
      <c r="C34" s="2" t="s">
        <v>9</v>
      </c>
      <c r="D34" s="184"/>
      <c r="E34" s="38">
        <f>E49*$J12/12*1+E49*F12/12*11</f>
        <v>1891107.2891529668</v>
      </c>
      <c r="F34" s="100">
        <f>F49*$F12</f>
        <v>1648479.4682987421</v>
      </c>
      <c r="G34" s="100">
        <f t="shared" ref="G34:AM34" si="4">G49*$F12</f>
        <v>1591170.2474012745</v>
      </c>
      <c r="H34" s="100">
        <f t="shared" si="4"/>
        <v>1535553.964524494</v>
      </c>
      <c r="I34" s="100">
        <f t="shared" si="4"/>
        <v>1480999.6647603214</v>
      </c>
      <c r="J34" s="100">
        <f t="shared" si="4"/>
        <v>1427428.0298679818</v>
      </c>
      <c r="K34" s="100">
        <f t="shared" si="4"/>
        <v>1374765.249817864</v>
      </c>
      <c r="L34" s="100">
        <f t="shared" si="4"/>
        <v>1322943.0227915223</v>
      </c>
      <c r="M34" s="100">
        <f t="shared" si="4"/>
        <v>1271590.0953564369</v>
      </c>
      <c r="N34" s="100">
        <f t="shared" si="4"/>
        <v>1220304.368097564</v>
      </c>
      <c r="O34" s="100">
        <f t="shared" si="4"/>
        <v>1169018.6408386915</v>
      </c>
      <c r="P34" s="100">
        <f t="shared" si="4"/>
        <v>1117732.913579819</v>
      </c>
      <c r="Q34" s="100">
        <f t="shared" si="4"/>
        <v>1066447.1863209466</v>
      </c>
      <c r="R34" s="100">
        <f t="shared" si="4"/>
        <v>1015161.4590620737</v>
      </c>
      <c r="S34" s="100">
        <f t="shared" si="4"/>
        <v>963875.73180320126</v>
      </c>
      <c r="T34" s="100">
        <f t="shared" si="4"/>
        <v>912590.00454432843</v>
      </c>
      <c r="U34" s="100">
        <f t="shared" si="4"/>
        <v>861304.27728545596</v>
      </c>
      <c r="V34" s="100">
        <f t="shared" si="4"/>
        <v>810018.55002658325</v>
      </c>
      <c r="W34" s="100">
        <f t="shared" si="4"/>
        <v>758732.82276771066</v>
      </c>
      <c r="X34" s="100">
        <f t="shared" si="4"/>
        <v>707447.09550883819</v>
      </c>
      <c r="Y34" s="100">
        <f t="shared" si="4"/>
        <v>658619.13207178004</v>
      </c>
      <c r="Z34" s="100">
        <f t="shared" si="4"/>
        <v>614705.59463611804</v>
      </c>
      <c r="AA34" s="100">
        <f t="shared" si="4"/>
        <v>573249.82102227048</v>
      </c>
      <c r="AB34" s="100">
        <f t="shared" si="4"/>
        <v>531794.04740842304</v>
      </c>
      <c r="AC34" s="100">
        <f t="shared" si="4"/>
        <v>490338.27379457554</v>
      </c>
      <c r="AD34" s="100">
        <f t="shared" si="4"/>
        <v>448882.50018072804</v>
      </c>
      <c r="AE34" s="100">
        <f t="shared" si="4"/>
        <v>407426.72656688053</v>
      </c>
      <c r="AF34" s="100">
        <f t="shared" si="4"/>
        <v>365970.95295303303</v>
      </c>
      <c r="AG34" s="100">
        <f t="shared" si="4"/>
        <v>324515.17933918559</v>
      </c>
      <c r="AH34" s="100">
        <f t="shared" si="4"/>
        <v>283059.40572533809</v>
      </c>
      <c r="AI34" s="100">
        <f t="shared" si="4"/>
        <v>241603.63211149041</v>
      </c>
      <c r="AJ34" s="100">
        <f t="shared" si="4"/>
        <v>200147.85849764277</v>
      </c>
      <c r="AK34" s="100">
        <f t="shared" si="4"/>
        <v>158692.08488379509</v>
      </c>
      <c r="AL34" s="100">
        <f t="shared" si="4"/>
        <v>117236.31126994743</v>
      </c>
      <c r="AM34" s="100">
        <f t="shared" si="4"/>
        <v>-23932.960507699529</v>
      </c>
      <c r="AN34" s="100"/>
      <c r="AO34" s="100"/>
      <c r="AP34" s="204"/>
    </row>
    <row r="35" spans="1:42" x14ac:dyDescent="0.2">
      <c r="A35" s="183">
        <f>A34+1</f>
        <v>6</v>
      </c>
      <c r="B35" s="2"/>
      <c r="C35" s="2" t="s">
        <v>58</v>
      </c>
      <c r="D35" s="184"/>
      <c r="E35" s="205">
        <f>E32+E33+E34</f>
        <v>3118398.7188216308</v>
      </c>
      <c r="F35" s="102">
        <f>F32+F33+F34</f>
        <v>2717666.8024013969</v>
      </c>
      <c r="G35" s="102">
        <f>G32+G33+G34</f>
        <v>2623187.3926788908</v>
      </c>
      <c r="H35" s="102">
        <f t="shared" ref="H35:AM35" si="5">H32+H33+H34</f>
        <v>2531498.943684632</v>
      </c>
      <c r="I35" s="102">
        <f t="shared" si="5"/>
        <v>2441561.2694530245</v>
      </c>
      <c r="J35" s="102">
        <f t="shared" si="5"/>
        <v>2353243.6067237877</v>
      </c>
      <c r="K35" s="102">
        <f t="shared" si="5"/>
        <v>2266424.2730186041</v>
      </c>
      <c r="L35" s="102">
        <f t="shared" si="5"/>
        <v>2180990.6666411213</v>
      </c>
      <c r="M35" s="102">
        <f t="shared" si="5"/>
        <v>2096330.7428869675</v>
      </c>
      <c r="N35" s="102">
        <f t="shared" si="5"/>
        <v>2011781.6046727737</v>
      </c>
      <c r="O35" s="102">
        <f t="shared" si="5"/>
        <v>1927232.4664585805</v>
      </c>
      <c r="P35" s="102">
        <f t="shared" si="5"/>
        <v>1842683.3282443872</v>
      </c>
      <c r="Q35" s="102">
        <f t="shared" si="5"/>
        <v>1758134.1900301939</v>
      </c>
      <c r="R35" s="102">
        <f t="shared" si="5"/>
        <v>1673585.0518160001</v>
      </c>
      <c r="S35" s="102">
        <f t="shared" si="5"/>
        <v>1589035.9136018069</v>
      </c>
      <c r="T35" s="102">
        <f t="shared" si="5"/>
        <v>1504486.7753876131</v>
      </c>
      <c r="U35" s="102">
        <f t="shared" si="5"/>
        <v>1419937.6371734198</v>
      </c>
      <c r="V35" s="102">
        <f t="shared" si="5"/>
        <v>1335388.4989592261</v>
      </c>
      <c r="W35" s="102">
        <f t="shared" si="5"/>
        <v>1250839.3607450328</v>
      </c>
      <c r="X35" s="102">
        <f t="shared" si="5"/>
        <v>1166290.2225308395</v>
      </c>
      <c r="Y35" s="102">
        <f t="shared" si="5"/>
        <v>1085792.929228965</v>
      </c>
      <c r="Z35" s="102">
        <f t="shared" si="5"/>
        <v>1013397.5095953355</v>
      </c>
      <c r="AA35" s="102">
        <f t="shared" si="5"/>
        <v>945053.93487402506</v>
      </c>
      <c r="AB35" s="102">
        <f t="shared" si="5"/>
        <v>876710.36015271465</v>
      </c>
      <c r="AC35" s="102">
        <f t="shared" si="5"/>
        <v>808366.78543140437</v>
      </c>
      <c r="AD35" s="102">
        <f t="shared" si="5"/>
        <v>740023.21071009384</v>
      </c>
      <c r="AE35" s="102">
        <f t="shared" si="5"/>
        <v>671679.63598878356</v>
      </c>
      <c r="AF35" s="102">
        <f t="shared" si="5"/>
        <v>603336.06126747315</v>
      </c>
      <c r="AG35" s="102">
        <f t="shared" si="5"/>
        <v>534992.48654616275</v>
      </c>
      <c r="AH35" s="102">
        <f t="shared" si="5"/>
        <v>466648.91182485234</v>
      </c>
      <c r="AI35" s="102">
        <f t="shared" si="5"/>
        <v>398305.33710354171</v>
      </c>
      <c r="AJ35" s="102">
        <f t="shared" si="5"/>
        <v>329961.76238223101</v>
      </c>
      <c r="AK35" s="102">
        <f t="shared" si="5"/>
        <v>261618.18766092032</v>
      </c>
      <c r="AL35" s="102">
        <f t="shared" si="5"/>
        <v>193274.61293960965</v>
      </c>
      <c r="AM35" s="102">
        <f t="shared" si="5"/>
        <v>-39455.639882541524</v>
      </c>
      <c r="AN35" s="102"/>
      <c r="AO35" s="102"/>
      <c r="AP35" s="204"/>
    </row>
    <row r="36" spans="1:42" x14ac:dyDescent="0.2">
      <c r="A36" s="2"/>
      <c r="B36" s="2"/>
      <c r="C36" s="2"/>
      <c r="D36" s="184"/>
      <c r="E36" s="38"/>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204"/>
    </row>
    <row r="37" spans="1:42" x14ac:dyDescent="0.2">
      <c r="A37" s="183">
        <f>A35+1</f>
        <v>7</v>
      </c>
      <c r="B37" s="2" t="s">
        <v>59</v>
      </c>
      <c r="C37" s="2"/>
      <c r="D37" s="184"/>
      <c r="E37" s="41">
        <f>E27+E29+E35</f>
        <v>5031121.5981502952</v>
      </c>
      <c r="F37" s="99">
        <f>F27+F29+F35</f>
        <v>4309653.520198904</v>
      </c>
      <c r="G37" s="99">
        <f t="shared" ref="G37:AM37" si="6">G27+G29+G35</f>
        <v>4184457.4104975909</v>
      </c>
      <c r="H37" s="99">
        <f t="shared" si="6"/>
        <v>4077984.8863082388</v>
      </c>
      <c r="I37" s="99">
        <f t="shared" si="6"/>
        <v>3973545.4361899523</v>
      </c>
      <c r="J37" s="99">
        <f t="shared" si="6"/>
        <v>3870987.2122868029</v>
      </c>
      <c r="K37" s="99">
        <f t="shared" si="6"/>
        <v>3770168.9117328534</v>
      </c>
      <c r="L37" s="99">
        <f t="shared" si="6"/>
        <v>3670959.7766521657</v>
      </c>
      <c r="M37" s="99">
        <f t="shared" si="6"/>
        <v>3572649.0747190653</v>
      </c>
      <c r="N37" s="99">
        <f t="shared" si="6"/>
        <v>3474467.0216639056</v>
      </c>
      <c r="O37" s="99">
        <f t="shared" si="6"/>
        <v>3376284.9686087463</v>
      </c>
      <c r="P37" s="99">
        <f t="shared" si="6"/>
        <v>3278102.9155535866</v>
      </c>
      <c r="Q37" s="99">
        <f t="shared" si="6"/>
        <v>3179920.8624984273</v>
      </c>
      <c r="R37" s="99">
        <f t="shared" si="6"/>
        <v>3081738.8094432675</v>
      </c>
      <c r="S37" s="99">
        <f t="shared" si="6"/>
        <v>2983556.7563881082</v>
      </c>
      <c r="T37" s="99">
        <f t="shared" si="6"/>
        <v>2885374.703332948</v>
      </c>
      <c r="U37" s="99">
        <f t="shared" si="6"/>
        <v>2787192.6502777888</v>
      </c>
      <c r="V37" s="99">
        <f t="shared" si="6"/>
        <v>2689010.597222629</v>
      </c>
      <c r="W37" s="99">
        <f t="shared" si="6"/>
        <v>2590828.5441674693</v>
      </c>
      <c r="X37" s="99">
        <f t="shared" si="6"/>
        <v>2492646.49111231</v>
      </c>
      <c r="Y37" s="99">
        <f t="shared" si="6"/>
        <v>2399169.6125929896</v>
      </c>
      <c r="Z37" s="99">
        <f t="shared" si="6"/>
        <v>2315100.9741473487</v>
      </c>
      <c r="AA37" s="99">
        <f t="shared" si="6"/>
        <v>2235737.5102375471</v>
      </c>
      <c r="AB37" s="99">
        <f t="shared" si="6"/>
        <v>2156374.0463277455</v>
      </c>
      <c r="AC37" s="99">
        <f t="shared" si="6"/>
        <v>2077010.5824179442</v>
      </c>
      <c r="AD37" s="99">
        <f t="shared" si="6"/>
        <v>1997647.1185081427</v>
      </c>
      <c r="AE37" s="99">
        <f t="shared" si="6"/>
        <v>1918283.6545983413</v>
      </c>
      <c r="AF37" s="99">
        <f t="shared" si="6"/>
        <v>1838920.1906885398</v>
      </c>
      <c r="AG37" s="99">
        <f t="shared" si="6"/>
        <v>1759556.7267787382</v>
      </c>
      <c r="AH37" s="99">
        <f t="shared" si="6"/>
        <v>1680193.2628689366</v>
      </c>
      <c r="AI37" s="99">
        <f t="shared" si="6"/>
        <v>1600829.7989591348</v>
      </c>
      <c r="AJ37" s="99">
        <f t="shared" si="6"/>
        <v>1521466.3350493331</v>
      </c>
      <c r="AK37" s="99">
        <f t="shared" si="6"/>
        <v>1442102.8711395315</v>
      </c>
      <c r="AL37" s="99">
        <f t="shared" si="6"/>
        <v>1362739.4072297295</v>
      </c>
      <c r="AM37" s="99">
        <f t="shared" si="6"/>
        <v>6568388.4785932787</v>
      </c>
      <c r="AN37" s="99"/>
      <c r="AO37" s="99"/>
      <c r="AP37" s="206"/>
    </row>
    <row r="38" spans="1:42" x14ac:dyDescent="0.2">
      <c r="A38" s="183">
        <f>A37+1</f>
        <v>8</v>
      </c>
      <c r="B38" s="2" t="s">
        <v>60</v>
      </c>
      <c r="C38" s="2"/>
      <c r="D38" s="184"/>
      <c r="E38" s="40">
        <f>E37/(1-$J16)-E37</f>
        <v>239618.38092889823</v>
      </c>
      <c r="F38" s="100">
        <f>F37/(1-$F16)-F37</f>
        <v>205256.85550002474</v>
      </c>
      <c r="G38" s="100">
        <f t="shared" ref="G38:AM38" si="7">G37/(1-$F16)-G37</f>
        <v>199294.11170224939</v>
      </c>
      <c r="H38" s="100">
        <f t="shared" si="7"/>
        <v>194223.12040101644</v>
      </c>
      <c r="I38" s="100">
        <f t="shared" si="7"/>
        <v>189248.95878432039</v>
      </c>
      <c r="J38" s="100">
        <f t="shared" si="7"/>
        <v>184364.39475954091</v>
      </c>
      <c r="K38" s="100">
        <f t="shared" si="7"/>
        <v>179562.69846271072</v>
      </c>
      <c r="L38" s="100">
        <f t="shared" si="7"/>
        <v>174837.64225851744</v>
      </c>
      <c r="M38" s="100">
        <f t="shared" si="7"/>
        <v>170155.37593566533</v>
      </c>
      <c r="N38" s="100">
        <f t="shared" si="7"/>
        <v>165479.23680239497</v>
      </c>
      <c r="O38" s="100">
        <f t="shared" si="7"/>
        <v>160803.0976691246</v>
      </c>
      <c r="P38" s="100">
        <f t="shared" si="7"/>
        <v>156126.95853585424</v>
      </c>
      <c r="Q38" s="100">
        <f t="shared" si="7"/>
        <v>151450.81940258387</v>
      </c>
      <c r="R38" s="100">
        <f t="shared" si="7"/>
        <v>146774.68026931351</v>
      </c>
      <c r="S38" s="100">
        <f t="shared" si="7"/>
        <v>142098.54113604315</v>
      </c>
      <c r="T38" s="100">
        <f t="shared" si="7"/>
        <v>137422.40200277232</v>
      </c>
      <c r="U38" s="100">
        <f t="shared" si="7"/>
        <v>132746.26286950195</v>
      </c>
      <c r="V38" s="100">
        <f t="shared" si="7"/>
        <v>128070.12373623159</v>
      </c>
      <c r="W38" s="100">
        <f t="shared" si="7"/>
        <v>123393.98460296122</v>
      </c>
      <c r="X38" s="100">
        <f t="shared" si="7"/>
        <v>118717.84546969086</v>
      </c>
      <c r="Y38" s="100">
        <f t="shared" si="7"/>
        <v>114265.80076194182</v>
      </c>
      <c r="Z38" s="100">
        <f t="shared" si="7"/>
        <v>110261.84445950482</v>
      </c>
      <c r="AA38" s="100">
        <f t="shared" si="7"/>
        <v>106481.98258258915</v>
      </c>
      <c r="AB38" s="100">
        <f t="shared" si="7"/>
        <v>102702.12070567347</v>
      </c>
      <c r="AC38" s="100">
        <f t="shared" si="7"/>
        <v>98922.258828757564</v>
      </c>
      <c r="AD38" s="100">
        <f t="shared" si="7"/>
        <v>95142.396951841889</v>
      </c>
      <c r="AE38" s="100">
        <f t="shared" si="7"/>
        <v>91362.535074925981</v>
      </c>
      <c r="AF38" s="100">
        <f t="shared" si="7"/>
        <v>87582.673198010307</v>
      </c>
      <c r="AG38" s="100">
        <f t="shared" si="7"/>
        <v>83802.811321094632</v>
      </c>
      <c r="AH38" s="100">
        <f t="shared" si="7"/>
        <v>80022.949444178957</v>
      </c>
      <c r="AI38" s="100">
        <f t="shared" si="7"/>
        <v>76243.08756726305</v>
      </c>
      <c r="AJ38" s="100">
        <f t="shared" si="7"/>
        <v>72463.225690347375</v>
      </c>
      <c r="AK38" s="100">
        <f t="shared" si="7"/>
        <v>68683.363813431701</v>
      </c>
      <c r="AL38" s="100">
        <f t="shared" si="7"/>
        <v>64903.501936515793</v>
      </c>
      <c r="AM38" s="100">
        <f t="shared" si="7"/>
        <v>312834.14281443786</v>
      </c>
      <c r="AN38" s="100"/>
      <c r="AO38" s="100"/>
      <c r="AP38" s="204"/>
    </row>
    <row r="39" spans="1:42" x14ac:dyDescent="0.2">
      <c r="A39" s="183">
        <f>A38+1</f>
        <v>9</v>
      </c>
      <c r="B39" s="2"/>
      <c r="C39" s="2" t="s">
        <v>61</v>
      </c>
      <c r="D39" s="184"/>
      <c r="E39" s="41">
        <f>SUM(E37:E38)</f>
        <v>5270739.9790791934</v>
      </c>
      <c r="F39" s="99">
        <f t="shared" ref="F39:AM39" si="8">SUM(F37:F38)</f>
        <v>4514910.3756989287</v>
      </c>
      <c r="G39" s="99">
        <f t="shared" si="8"/>
        <v>4383751.5221998403</v>
      </c>
      <c r="H39" s="99">
        <f t="shared" si="8"/>
        <v>4272208.0067092553</v>
      </c>
      <c r="I39" s="99">
        <f t="shared" si="8"/>
        <v>4162794.3949742727</v>
      </c>
      <c r="J39" s="99">
        <f t="shared" si="8"/>
        <v>4055351.6070463439</v>
      </c>
      <c r="K39" s="99">
        <f t="shared" si="8"/>
        <v>3949731.6101955641</v>
      </c>
      <c r="L39" s="99">
        <f t="shared" si="8"/>
        <v>3845797.4189106831</v>
      </c>
      <c r="M39" s="99">
        <f t="shared" si="8"/>
        <v>3742804.4506547307</v>
      </c>
      <c r="N39" s="99">
        <f t="shared" si="8"/>
        <v>3639946.2584663006</v>
      </c>
      <c r="O39" s="99">
        <f t="shared" si="8"/>
        <v>3537088.0662778709</v>
      </c>
      <c r="P39" s="99">
        <f t="shared" si="8"/>
        <v>3434229.8740894408</v>
      </c>
      <c r="Q39" s="99">
        <f t="shared" si="8"/>
        <v>3331371.6819010112</v>
      </c>
      <c r="R39" s="99">
        <f t="shared" si="8"/>
        <v>3228513.489712581</v>
      </c>
      <c r="S39" s="99">
        <f t="shared" si="8"/>
        <v>3125655.2975241514</v>
      </c>
      <c r="T39" s="99">
        <f t="shared" si="8"/>
        <v>3022797.1053357203</v>
      </c>
      <c r="U39" s="99">
        <f t="shared" si="8"/>
        <v>2919938.9131472907</v>
      </c>
      <c r="V39" s="99">
        <f t="shared" si="8"/>
        <v>2817080.7209588606</v>
      </c>
      <c r="W39" s="99">
        <f t="shared" si="8"/>
        <v>2714222.5287704305</v>
      </c>
      <c r="X39" s="99">
        <f t="shared" si="8"/>
        <v>2611364.3365820008</v>
      </c>
      <c r="Y39" s="99">
        <f t="shared" si="8"/>
        <v>2513435.4133549314</v>
      </c>
      <c r="Z39" s="99">
        <f t="shared" si="8"/>
        <v>2425362.8186068535</v>
      </c>
      <c r="AA39" s="99">
        <f t="shared" si="8"/>
        <v>2342219.4928201362</v>
      </c>
      <c r="AB39" s="99">
        <f t="shared" si="8"/>
        <v>2259076.167033419</v>
      </c>
      <c r="AC39" s="99">
        <f t="shared" si="8"/>
        <v>2175932.8412467018</v>
      </c>
      <c r="AD39" s="99">
        <f t="shared" si="8"/>
        <v>2092789.5154599845</v>
      </c>
      <c r="AE39" s="99">
        <f t="shared" si="8"/>
        <v>2009646.1896732673</v>
      </c>
      <c r="AF39" s="99">
        <f t="shared" si="8"/>
        <v>1926502.8638865501</v>
      </c>
      <c r="AG39" s="99">
        <f t="shared" si="8"/>
        <v>1843359.5380998328</v>
      </c>
      <c r="AH39" s="99">
        <f t="shared" si="8"/>
        <v>1760216.2123131156</v>
      </c>
      <c r="AI39" s="99">
        <f t="shared" si="8"/>
        <v>1677072.8865263979</v>
      </c>
      <c r="AJ39" s="99">
        <f t="shared" si="8"/>
        <v>1593929.5607396804</v>
      </c>
      <c r="AK39" s="99">
        <f t="shared" si="8"/>
        <v>1510786.2349529632</v>
      </c>
      <c r="AL39" s="99">
        <f t="shared" si="8"/>
        <v>1427642.9091662453</v>
      </c>
      <c r="AM39" s="99">
        <f t="shared" si="8"/>
        <v>6881222.6214077165</v>
      </c>
      <c r="AN39" s="99"/>
      <c r="AO39" s="99"/>
      <c r="AP39" s="204"/>
    </row>
    <row r="40" spans="1:42" x14ac:dyDescent="0.2">
      <c r="A40" s="183">
        <f t="shared" ref="A40:A66" si="9">A39+1</f>
        <v>10</v>
      </c>
      <c r="B40" s="2"/>
      <c r="C40" s="2"/>
      <c r="D40" s="184"/>
      <c r="E40" s="41"/>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204"/>
    </row>
    <row r="41" spans="1:42" x14ac:dyDescent="0.2">
      <c r="A41" s="183">
        <f t="shared" si="9"/>
        <v>11</v>
      </c>
      <c r="B41" s="2"/>
      <c r="C41" s="2"/>
      <c r="D41" s="184"/>
      <c r="E41" s="38"/>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204"/>
    </row>
    <row r="42" spans="1:42" x14ac:dyDescent="0.2">
      <c r="A42" s="183">
        <f t="shared" si="9"/>
        <v>12</v>
      </c>
      <c r="B42" s="2" t="s">
        <v>62</v>
      </c>
      <c r="C42" s="2"/>
      <c r="D42" s="200" t="s">
        <v>187</v>
      </c>
      <c r="E42" s="40">
        <f>E39</f>
        <v>5270739.9790791934</v>
      </c>
      <c r="F42" s="100">
        <f>F39</f>
        <v>4514910.3756989287</v>
      </c>
      <c r="G42" s="100">
        <f t="shared" ref="G42:AM42" si="10">G39</f>
        <v>4383751.5221998403</v>
      </c>
      <c r="H42" s="100">
        <f t="shared" si="10"/>
        <v>4272208.0067092553</v>
      </c>
      <c r="I42" s="100">
        <f t="shared" si="10"/>
        <v>4162794.3949742727</v>
      </c>
      <c r="J42" s="100">
        <f t="shared" si="10"/>
        <v>4055351.6070463439</v>
      </c>
      <c r="K42" s="100">
        <f t="shared" si="10"/>
        <v>3949731.6101955641</v>
      </c>
      <c r="L42" s="100">
        <f t="shared" si="10"/>
        <v>3845797.4189106831</v>
      </c>
      <c r="M42" s="100">
        <f t="shared" si="10"/>
        <v>3742804.4506547307</v>
      </c>
      <c r="N42" s="100">
        <f t="shared" si="10"/>
        <v>3639946.2584663006</v>
      </c>
      <c r="O42" s="100">
        <f t="shared" si="10"/>
        <v>3537088.0662778709</v>
      </c>
      <c r="P42" s="100">
        <f t="shared" si="10"/>
        <v>3434229.8740894408</v>
      </c>
      <c r="Q42" s="100">
        <f t="shared" si="10"/>
        <v>3331371.6819010112</v>
      </c>
      <c r="R42" s="100">
        <f t="shared" si="10"/>
        <v>3228513.489712581</v>
      </c>
      <c r="S42" s="100">
        <f t="shared" si="10"/>
        <v>3125655.2975241514</v>
      </c>
      <c r="T42" s="100">
        <f t="shared" si="10"/>
        <v>3022797.1053357203</v>
      </c>
      <c r="U42" s="100">
        <f t="shared" si="10"/>
        <v>2919938.9131472907</v>
      </c>
      <c r="V42" s="100">
        <f t="shared" si="10"/>
        <v>2817080.7209588606</v>
      </c>
      <c r="W42" s="100">
        <f t="shared" si="10"/>
        <v>2714222.5287704305</v>
      </c>
      <c r="X42" s="100">
        <f t="shared" si="10"/>
        <v>2611364.3365820008</v>
      </c>
      <c r="Y42" s="100">
        <f t="shared" si="10"/>
        <v>2513435.4133549314</v>
      </c>
      <c r="Z42" s="100">
        <f t="shared" si="10"/>
        <v>2425362.8186068535</v>
      </c>
      <c r="AA42" s="100">
        <f t="shared" si="10"/>
        <v>2342219.4928201362</v>
      </c>
      <c r="AB42" s="100">
        <f t="shared" si="10"/>
        <v>2259076.167033419</v>
      </c>
      <c r="AC42" s="100">
        <f t="shared" si="10"/>
        <v>2175932.8412467018</v>
      </c>
      <c r="AD42" s="100">
        <f t="shared" si="10"/>
        <v>2092789.5154599845</v>
      </c>
      <c r="AE42" s="100">
        <f t="shared" si="10"/>
        <v>2009646.1896732673</v>
      </c>
      <c r="AF42" s="100">
        <f t="shared" si="10"/>
        <v>1926502.8638865501</v>
      </c>
      <c r="AG42" s="100">
        <f t="shared" si="10"/>
        <v>1843359.5380998328</v>
      </c>
      <c r="AH42" s="100">
        <f t="shared" si="10"/>
        <v>1760216.2123131156</v>
      </c>
      <c r="AI42" s="100">
        <f t="shared" si="10"/>
        <v>1677072.8865263979</v>
      </c>
      <c r="AJ42" s="100">
        <f t="shared" si="10"/>
        <v>1593929.5607396804</v>
      </c>
      <c r="AK42" s="100">
        <f t="shared" si="10"/>
        <v>1510786.2349529632</v>
      </c>
      <c r="AL42" s="100">
        <f t="shared" si="10"/>
        <v>1427642.9091662453</v>
      </c>
      <c r="AM42" s="100">
        <f t="shared" si="10"/>
        <v>6881222.6214077165</v>
      </c>
      <c r="AN42" s="100"/>
      <c r="AO42" s="100"/>
      <c r="AP42" s="204"/>
    </row>
    <row r="43" spans="1:42" x14ac:dyDescent="0.2">
      <c r="A43" s="183">
        <f t="shared" si="9"/>
        <v>13</v>
      </c>
      <c r="B43" s="2"/>
      <c r="C43" s="2"/>
      <c r="D43" s="207"/>
      <c r="E43" s="208"/>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184"/>
    </row>
    <row r="44" spans="1:42" outlineLevel="1" x14ac:dyDescent="0.2">
      <c r="A44" s="183">
        <f t="shared" si="9"/>
        <v>14</v>
      </c>
      <c r="B44" s="2"/>
      <c r="C44" s="2"/>
      <c r="D44" s="184"/>
      <c r="E44" s="43"/>
      <c r="F44" s="18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184"/>
    </row>
    <row r="45" spans="1:42" outlineLevel="1" x14ac:dyDescent="0.2">
      <c r="A45" s="183">
        <f t="shared" si="9"/>
        <v>15</v>
      </c>
      <c r="B45" s="2" t="s">
        <v>63</v>
      </c>
      <c r="C45" s="184"/>
      <c r="D45" s="184"/>
      <c r="E45" s="45">
        <f>+E42/$F$22</f>
        <v>0.11579538304075192</v>
      </c>
      <c r="F45" s="101">
        <f t="shared" ref="F45:AM45" si="11">+F42/$F$22</f>
        <v>9.919020449194263E-2</v>
      </c>
      <c r="G45" s="101">
        <f t="shared" si="11"/>
        <v>9.6308713517165662E-2</v>
      </c>
      <c r="H45" s="101">
        <f t="shared" si="11"/>
        <v>9.3858161193732539E-2</v>
      </c>
      <c r="I45" s="101">
        <f t="shared" si="11"/>
        <v>9.1454401734716737E-2</v>
      </c>
      <c r="J45" s="101">
        <f t="shared" si="11"/>
        <v>8.9093940237381722E-2</v>
      </c>
      <c r="K45" s="101">
        <f t="shared" si="11"/>
        <v>8.6773524500569812E-2</v>
      </c>
      <c r="L45" s="101">
        <f t="shared" si="11"/>
        <v>8.449014502470234E-2</v>
      </c>
      <c r="M45" s="101">
        <f t="shared" si="11"/>
        <v>8.2227443723359536E-2</v>
      </c>
      <c r="N45" s="101">
        <f t="shared" si="11"/>
        <v>7.9967703381279648E-2</v>
      </c>
      <c r="O45" s="101">
        <f t="shared" si="11"/>
        <v>7.7707963039199773E-2</v>
      </c>
      <c r="P45" s="101">
        <f t="shared" si="11"/>
        <v>7.5448222697119885E-2</v>
      </c>
      <c r="Q45" s="101">
        <f t="shared" si="11"/>
        <v>7.318848235504001E-2</v>
      </c>
      <c r="R45" s="101">
        <f t="shared" si="11"/>
        <v>7.0928742012960136E-2</v>
      </c>
      <c r="S45" s="101">
        <f t="shared" si="11"/>
        <v>6.8669001670880261E-2</v>
      </c>
      <c r="T45" s="101">
        <f t="shared" si="11"/>
        <v>6.6409261328800345E-2</v>
      </c>
      <c r="U45" s="101">
        <f t="shared" si="11"/>
        <v>6.4149520986720471E-2</v>
      </c>
      <c r="V45" s="101">
        <f t="shared" si="11"/>
        <v>6.1889780644640589E-2</v>
      </c>
      <c r="W45" s="101">
        <f t="shared" si="11"/>
        <v>5.9630040302560708E-2</v>
      </c>
      <c r="X45" s="101">
        <f t="shared" si="11"/>
        <v>5.7370299960480833E-2</v>
      </c>
      <c r="Y45" s="101">
        <f t="shared" si="11"/>
        <v>5.5218853062918648E-2</v>
      </c>
      <c r="Z45" s="101">
        <f t="shared" si="11"/>
        <v>5.3283944514076087E-2</v>
      </c>
      <c r="AA45" s="101">
        <f t="shared" si="11"/>
        <v>5.1457329409751229E-2</v>
      </c>
      <c r="AB45" s="101">
        <f t="shared" si="11"/>
        <v>4.9630714305426371E-2</v>
      </c>
      <c r="AC45" s="101">
        <f t="shared" si="11"/>
        <v>4.7804099201101513E-2</v>
      </c>
      <c r="AD45" s="101">
        <f t="shared" si="11"/>
        <v>4.5977484096776648E-2</v>
      </c>
      <c r="AE45" s="101">
        <f t="shared" si="11"/>
        <v>4.415086899245179E-2</v>
      </c>
      <c r="AF45" s="101">
        <f t="shared" si="11"/>
        <v>4.2324253888126932E-2</v>
      </c>
      <c r="AG45" s="101">
        <f t="shared" si="11"/>
        <v>4.0497638783802074E-2</v>
      </c>
      <c r="AH45" s="101">
        <f t="shared" si="11"/>
        <v>3.8671023679477209E-2</v>
      </c>
      <c r="AI45" s="101">
        <f t="shared" si="11"/>
        <v>3.6844408575152345E-2</v>
      </c>
      <c r="AJ45" s="101">
        <f t="shared" si="11"/>
        <v>3.501779347082748E-2</v>
      </c>
      <c r="AK45" s="101">
        <f t="shared" si="11"/>
        <v>3.3191178366502622E-2</v>
      </c>
      <c r="AL45" s="101">
        <f t="shared" si="11"/>
        <v>3.1364563262177743E-2</v>
      </c>
      <c r="AM45" s="101">
        <f t="shared" si="11"/>
        <v>0.15117683900122847</v>
      </c>
      <c r="AN45" s="101"/>
      <c r="AO45" s="101"/>
      <c r="AP45" s="184"/>
    </row>
    <row r="46" spans="1:42" outlineLevel="1" x14ac:dyDescent="0.2">
      <c r="A46" s="183">
        <f t="shared" si="9"/>
        <v>16</v>
      </c>
      <c r="B46" s="2"/>
      <c r="C46" s="2"/>
      <c r="D46" s="184"/>
      <c r="E46" s="43"/>
      <c r="F46" s="18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184"/>
    </row>
    <row r="47" spans="1:42" outlineLevel="1" x14ac:dyDescent="0.2">
      <c r="A47" s="183">
        <f t="shared" si="9"/>
        <v>17</v>
      </c>
      <c r="B47" s="2"/>
      <c r="C47" s="2"/>
      <c r="D47" s="184"/>
      <c r="E47" s="43">
        <f>+E27/2</f>
        <v>662045.97548099968</v>
      </c>
      <c r="F47" s="102">
        <f>E57+F57/2</f>
        <v>1900983.6083780089</v>
      </c>
      <c r="G47" s="102">
        <f>SUM($E$57:F57)+G57/2</f>
        <v>3047025.6215677559</v>
      </c>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184"/>
    </row>
    <row r="48" spans="1:42" outlineLevel="1" x14ac:dyDescent="0.2">
      <c r="A48" s="183">
        <f t="shared" si="9"/>
        <v>18</v>
      </c>
      <c r="B48" s="2"/>
      <c r="C48" s="2"/>
      <c r="D48" s="184"/>
      <c r="E48" s="43">
        <f>+E60/2</f>
        <v>3900437.9820941482</v>
      </c>
      <c r="F48" s="102">
        <f>E60+F60/2</f>
        <v>7857946.7558141137</v>
      </c>
      <c r="G48" s="102">
        <f>SUM($E$60:$F$60)+G60/2</f>
        <v>7955054.8705520807</v>
      </c>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184"/>
    </row>
    <row r="49" spans="1:42" x14ac:dyDescent="0.2">
      <c r="A49" s="183">
        <f t="shared" si="9"/>
        <v>19</v>
      </c>
      <c r="B49" s="46" t="s">
        <v>64</v>
      </c>
      <c r="C49" s="2"/>
      <c r="D49" s="184"/>
      <c r="E49" s="41">
        <f>F22-E27/2-E60/2</f>
        <v>40955220.122424833</v>
      </c>
      <c r="F49" s="209">
        <f>$F$22-(SUM($E$27:E27)+F27/2)-(SUM($E$60:E60)+F60/2)</f>
        <v>35758773.715807855</v>
      </c>
      <c r="G49" s="209">
        <f>$F$22-(SUM($E$27:F27)+G27/2)-(SUM($E$60:F60)+G60/2)</f>
        <v>34515623.587880142</v>
      </c>
      <c r="H49" s="209">
        <f>$F$22-(SUM($E$27:G27)+H27/2)-(SUM($E$60:G60)+H60/2)</f>
        <v>33309196.62742937</v>
      </c>
      <c r="I49" s="209">
        <f>$F$22-(SUM($E$27:H27)+I27/2)-(SUM($E$60:H60)+I60/2)</f>
        <v>32125806.177013479</v>
      </c>
      <c r="J49" s="209">
        <f>$F$22-(SUM($E$27:I27)+J27/2)-(SUM($E$60:I60)+J60/2)</f>
        <v>30963731.667418256</v>
      </c>
      <c r="K49" s="209">
        <f>$F$22-(SUM($E$27:J27)+K27/2)-(SUM($E$60:J60)+K60/2)</f>
        <v>29821372.013402689</v>
      </c>
      <c r="L49" s="209">
        <f>$F$22-(SUM($E$27:K27)+L27/2)-(SUM($E$60:K60)+L60/2)</f>
        <v>28697245.613698967</v>
      </c>
      <c r="M49" s="209">
        <f>$F$22-(SUM($E$27:L27)+M27/2)-(SUM($E$60:L60)+M60/2)</f>
        <v>27583299.24851273</v>
      </c>
      <c r="N49" s="209">
        <f>$F$22-(SUM($E$27:M27)+N27/2)-(SUM($E$60:M60)+N60/2)</f>
        <v>26470810.587799653</v>
      </c>
      <c r="O49" s="209">
        <f>$F$22-(SUM($E$27:N27)+O27/2)-(SUM($E$60:N60)+O60/2)</f>
        <v>25358321.927086584</v>
      </c>
      <c r="P49" s="209">
        <f>$F$22-(SUM($E$27:O27)+P27/2)-(SUM($E$60:O60)+P60/2)</f>
        <v>24245833.266373515</v>
      </c>
      <c r="Q49" s="209">
        <f>$F$22-(SUM($E$27:P27)+Q27/2)-(SUM($E$60:P60)+Q60/2)</f>
        <v>23133344.605660442</v>
      </c>
      <c r="R49" s="209">
        <f>$F$22-(SUM($E$27:Q27)+R27/2)-(SUM($E$60:Q60)+R60/2)</f>
        <v>22020855.944947369</v>
      </c>
      <c r="S49" s="209">
        <f>$F$22-(SUM($E$27:R27)+S27/2)-(SUM($E$60:R60)+S60/2)</f>
        <v>20908367.2842343</v>
      </c>
      <c r="T49" s="209">
        <f>$F$22-(SUM($E$27:S27)+T27/2)-(SUM($E$60:S60)+T60/2)</f>
        <v>19795878.623521224</v>
      </c>
      <c r="U49" s="209">
        <f>$F$22-(SUM($E$27:T27)+U27/2)-(SUM($E$60:T60)+U60/2)</f>
        <v>18683389.962808155</v>
      </c>
      <c r="V49" s="209">
        <f>$F$22-(SUM($E$27:U27)+V27/2)-(SUM($E$60:U60)+V60/2)</f>
        <v>17570901.302095082</v>
      </c>
      <c r="W49" s="209">
        <f>$F$22-(SUM($E$27:V27)+W27/2)-(SUM($E$60:V60)+W60/2)</f>
        <v>16458412.641382009</v>
      </c>
      <c r="X49" s="209">
        <f>$F$22-(SUM($E$27:W27)+X27/2)-(SUM($E$60:W60)+X60/2)</f>
        <v>15345923.98066894</v>
      </c>
      <c r="Y49" s="209">
        <f>$F$22-(SUM($E$27:X27)+Y27/2)-(SUM($E$60:X60)+Y60/2)</f>
        <v>14286749.06880217</v>
      </c>
      <c r="Z49" s="209">
        <f>$F$22-(SUM($E$27:Y27)+Z27/2)-(SUM($E$60:Y60)+Z60/2)</f>
        <v>13334177.757833362</v>
      </c>
      <c r="AA49" s="209">
        <f>$F$22-(SUM($E$27:Z27)+AA27/2)-(SUM($E$60:Z60)+AA60/2)</f>
        <v>12434920.195710856</v>
      </c>
      <c r="AB49" s="209">
        <f>$F$22-(SUM($E$27:AA27)+AB27/2)-(SUM($E$60:AA60)+AB60/2)</f>
        <v>11535662.633588351</v>
      </c>
      <c r="AC49" s="209">
        <f>$F$22-(SUM($E$27:AB27)+AC27/2)-(SUM($E$60:AB60)+AC60/2)</f>
        <v>10636405.071465846</v>
      </c>
      <c r="AD49" s="209">
        <f>$F$22-(SUM($E$27:AC27)+AD27/2)-(SUM($E$60:AC60)+AD60/2)</f>
        <v>9737147.509343341</v>
      </c>
      <c r="AE49" s="209">
        <f>$F$22-(SUM($E$27:AD27)+AE27/2)-(SUM($E$60:AD60)+AE60/2)</f>
        <v>8837889.9472208358</v>
      </c>
      <c r="AF49" s="209">
        <f>$F$22-(SUM($E$27:AE27)+AF27/2)-(SUM($E$60:AE60)+AF60/2)</f>
        <v>7938632.3850983307</v>
      </c>
      <c r="AG49" s="209">
        <f>$F$22-(SUM($E$27:AF27)+AG27/2)-(SUM($E$60:AF60)+AG60/2)</f>
        <v>7039374.8229758255</v>
      </c>
      <c r="AH49" s="209">
        <f>$F$22-(SUM($E$27:AG27)+AH27/2)-(SUM($E$60:AG60)+AH60/2)</f>
        <v>6140117.2608533204</v>
      </c>
      <c r="AI49" s="209">
        <f>$F$22-(SUM($E$27:AH27)+AI27/2)-(SUM($E$60:AH60)+AI60/2)</f>
        <v>5240859.6987308115</v>
      </c>
      <c r="AJ49" s="209">
        <f>$F$22-(SUM($E$27:AI27)+AJ27/2)-(SUM($E$60:AI60)+AJ60/2)</f>
        <v>4341602.1366083026</v>
      </c>
      <c r="AK49" s="209">
        <f>$F$22-(SUM($E$27:AJ27)+AK27/2)-(SUM($E$60:AJ60)+AK60/2)</f>
        <v>3442344.5744857937</v>
      </c>
      <c r="AL49" s="209">
        <f>$F$22-(SUM($E$27:AK27)+AL27/2)-(SUM($E$60:AK60)+AL60/2)</f>
        <v>2543087.0123632848</v>
      </c>
      <c r="AM49" s="209">
        <f>$F$22-(SUM($E$27:AL27)+AM27/2)-(SUM($E$60:AL60)+AM60/2)</f>
        <v>-519153.15634923056</v>
      </c>
      <c r="AN49" s="99"/>
      <c r="AO49" s="99"/>
      <c r="AP49" s="204"/>
    </row>
    <row r="50" spans="1:42" x14ac:dyDescent="0.2">
      <c r="A50" s="183">
        <f t="shared" si="9"/>
        <v>20</v>
      </c>
      <c r="B50" s="2"/>
      <c r="C50" s="2"/>
      <c r="D50" s="184"/>
      <c r="E50" s="84"/>
      <c r="F50" s="210"/>
      <c r="G50" s="210"/>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204"/>
    </row>
    <row r="51" spans="1:42" x14ac:dyDescent="0.2">
      <c r="A51" s="183">
        <f t="shared" si="9"/>
        <v>21</v>
      </c>
      <c r="B51" s="2"/>
      <c r="C51" s="2"/>
      <c r="D51" s="184"/>
      <c r="E51" s="38"/>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204"/>
    </row>
    <row r="52" spans="1:42" x14ac:dyDescent="0.2">
      <c r="A52" s="183">
        <f t="shared" si="9"/>
        <v>22</v>
      </c>
      <c r="B52" s="2" t="s">
        <v>65</v>
      </c>
      <c r="C52" s="2"/>
      <c r="D52" s="184"/>
      <c r="E52" s="38">
        <f>(E34)/(1-$F$15)/12*10+(E34)/(1-$J$15)/12*2</f>
        <v>2479738.2175196316</v>
      </c>
      <c r="F52" s="102">
        <f t="shared" ref="F52:AM52" si="12">(F34)/(1-$F$15)</f>
        <v>2086682.8712642305</v>
      </c>
      <c r="G52" s="102">
        <f t="shared" si="12"/>
        <v>2014139.5536724993</v>
      </c>
      <c r="H52" s="102">
        <f t="shared" si="12"/>
        <v>1943739.1956006254</v>
      </c>
      <c r="I52" s="102">
        <f t="shared" si="12"/>
        <v>1874683.1199497739</v>
      </c>
      <c r="J52" s="102">
        <f t="shared" si="12"/>
        <v>1806870.9238835212</v>
      </c>
      <c r="K52" s="102">
        <f t="shared" si="12"/>
        <v>1740209.176984638</v>
      </c>
      <c r="L52" s="102">
        <f t="shared" si="12"/>
        <v>1674611.4212550914</v>
      </c>
      <c r="M52" s="102">
        <f t="shared" si="12"/>
        <v>1609607.7156410592</v>
      </c>
      <c r="N52" s="102">
        <f t="shared" si="12"/>
        <v>1544689.07354122</v>
      </c>
      <c r="O52" s="102">
        <f t="shared" si="12"/>
        <v>1479770.4314413816</v>
      </c>
      <c r="P52" s="102">
        <f t="shared" si="12"/>
        <v>1414851.7893415431</v>
      </c>
      <c r="Q52" s="102">
        <f t="shared" si="12"/>
        <v>1349933.1472417044</v>
      </c>
      <c r="R52" s="102">
        <f t="shared" si="12"/>
        <v>1285014.5051418655</v>
      </c>
      <c r="S52" s="102">
        <f t="shared" si="12"/>
        <v>1220095.8630420268</v>
      </c>
      <c r="T52" s="102">
        <f t="shared" si="12"/>
        <v>1155177.2209421878</v>
      </c>
      <c r="U52" s="102">
        <f t="shared" si="12"/>
        <v>1090258.5788423494</v>
      </c>
      <c r="V52" s="102">
        <f t="shared" si="12"/>
        <v>1025339.9367425104</v>
      </c>
      <c r="W52" s="102">
        <f t="shared" si="12"/>
        <v>960421.29464267171</v>
      </c>
      <c r="X52" s="102">
        <f t="shared" si="12"/>
        <v>895502.65254283312</v>
      </c>
      <c r="Y52" s="102">
        <f t="shared" si="12"/>
        <v>833695.10388832912</v>
      </c>
      <c r="Z52" s="102">
        <f t="shared" si="12"/>
        <v>778108.3476406557</v>
      </c>
      <c r="AA52" s="102">
        <f t="shared" si="12"/>
        <v>725632.68483831699</v>
      </c>
      <c r="AB52" s="102">
        <f t="shared" si="12"/>
        <v>673157.0220359785</v>
      </c>
      <c r="AC52" s="102">
        <f t="shared" si="12"/>
        <v>620681.3592336399</v>
      </c>
      <c r="AD52" s="102">
        <f t="shared" si="12"/>
        <v>568205.6964313013</v>
      </c>
      <c r="AE52" s="102">
        <f t="shared" si="12"/>
        <v>515730.0336289627</v>
      </c>
      <c r="AF52" s="102">
        <f t="shared" si="12"/>
        <v>463254.37082662404</v>
      </c>
      <c r="AG52" s="102">
        <f t="shared" si="12"/>
        <v>410778.70802428556</v>
      </c>
      <c r="AH52" s="102">
        <f t="shared" si="12"/>
        <v>358303.04522194696</v>
      </c>
      <c r="AI52" s="102">
        <f t="shared" si="12"/>
        <v>305827.38241960813</v>
      </c>
      <c r="AJ52" s="102">
        <f t="shared" si="12"/>
        <v>253351.71961726932</v>
      </c>
      <c r="AK52" s="102">
        <f t="shared" si="12"/>
        <v>200876.05681493049</v>
      </c>
      <c r="AL52" s="102">
        <f t="shared" si="12"/>
        <v>148400.39401259169</v>
      </c>
      <c r="AM52" s="102">
        <f t="shared" si="12"/>
        <v>-30294.886718606998</v>
      </c>
      <c r="AN52" s="102"/>
      <c r="AO52" s="102"/>
      <c r="AP52" s="204"/>
    </row>
    <row r="53" spans="1:42" x14ac:dyDescent="0.2">
      <c r="A53" s="183">
        <f t="shared" si="9"/>
        <v>23</v>
      </c>
      <c r="B53" s="2" t="s">
        <v>66</v>
      </c>
      <c r="C53" s="2"/>
      <c r="D53" s="184"/>
      <c r="E53" s="40">
        <f>(E34)/(1-$F$15)/12*10*F15+(E34)/(1-$J$15)/12*2*J15</f>
        <v>588630.92836666503</v>
      </c>
      <c r="F53" s="100">
        <f t="shared" ref="F53:AM53" si="13">F52*$F15</f>
        <v>438203.40296548838</v>
      </c>
      <c r="G53" s="100">
        <f t="shared" si="13"/>
        <v>422969.30627122481</v>
      </c>
      <c r="H53" s="100">
        <f t="shared" si="13"/>
        <v>408185.23107613128</v>
      </c>
      <c r="I53" s="100">
        <f t="shared" si="13"/>
        <v>393683.45518945251</v>
      </c>
      <c r="J53" s="100">
        <f t="shared" si="13"/>
        <v>379442.89401553944</v>
      </c>
      <c r="K53" s="100">
        <f t="shared" si="13"/>
        <v>365443.92716677394</v>
      </c>
      <c r="L53" s="100">
        <f t="shared" si="13"/>
        <v>351668.39846356917</v>
      </c>
      <c r="M53" s="100">
        <f t="shared" si="13"/>
        <v>338017.62028462242</v>
      </c>
      <c r="N53" s="100">
        <f t="shared" si="13"/>
        <v>324384.70544365619</v>
      </c>
      <c r="O53" s="100">
        <f t="shared" si="13"/>
        <v>310751.79060269013</v>
      </c>
      <c r="P53" s="100">
        <f t="shared" si="13"/>
        <v>297118.87576172402</v>
      </c>
      <c r="Q53" s="100">
        <f t="shared" si="13"/>
        <v>283485.96092075791</v>
      </c>
      <c r="R53" s="100">
        <f t="shared" si="13"/>
        <v>269853.04607979173</v>
      </c>
      <c r="S53" s="100">
        <f t="shared" si="13"/>
        <v>256220.13123882562</v>
      </c>
      <c r="T53" s="100">
        <f t="shared" si="13"/>
        <v>242587.21639785945</v>
      </c>
      <c r="U53" s="100">
        <f t="shared" si="13"/>
        <v>228954.30155689336</v>
      </c>
      <c r="V53" s="100">
        <f t="shared" si="13"/>
        <v>215321.38671592719</v>
      </c>
      <c r="W53" s="100">
        <f t="shared" si="13"/>
        <v>201688.47187496105</v>
      </c>
      <c r="X53" s="100">
        <f t="shared" si="13"/>
        <v>188055.55703399496</v>
      </c>
      <c r="Y53" s="100">
        <f t="shared" si="13"/>
        <v>175075.97181654911</v>
      </c>
      <c r="Z53" s="100">
        <f t="shared" si="13"/>
        <v>163402.75300453769</v>
      </c>
      <c r="AA53" s="100">
        <f t="shared" si="13"/>
        <v>152382.86381604656</v>
      </c>
      <c r="AB53" s="100">
        <f t="shared" si="13"/>
        <v>141362.97462755549</v>
      </c>
      <c r="AC53" s="100">
        <f t="shared" si="13"/>
        <v>130343.08543906438</v>
      </c>
      <c r="AD53" s="100">
        <f t="shared" si="13"/>
        <v>119323.19625057327</v>
      </c>
      <c r="AE53" s="100">
        <f t="shared" si="13"/>
        <v>108303.30706208217</v>
      </c>
      <c r="AF53" s="100">
        <f t="shared" si="13"/>
        <v>97283.417873591039</v>
      </c>
      <c r="AG53" s="100">
        <f t="shared" si="13"/>
        <v>86263.528685099969</v>
      </c>
      <c r="AH53" s="100">
        <f t="shared" si="13"/>
        <v>75243.639496608856</v>
      </c>
      <c r="AI53" s="100">
        <f t="shared" si="13"/>
        <v>64223.750308117706</v>
      </c>
      <c r="AJ53" s="100">
        <f t="shared" si="13"/>
        <v>53203.861119626556</v>
      </c>
      <c r="AK53" s="100">
        <f t="shared" si="13"/>
        <v>42183.971931135398</v>
      </c>
      <c r="AL53" s="100">
        <f t="shared" si="13"/>
        <v>31164.082742644252</v>
      </c>
      <c r="AM53" s="100">
        <f t="shared" si="13"/>
        <v>-6361.9262109074698</v>
      </c>
      <c r="AN53" s="100"/>
      <c r="AO53" s="100"/>
      <c r="AP53" s="204"/>
    </row>
    <row r="54" spans="1:42" x14ac:dyDescent="0.2">
      <c r="A54" s="183">
        <f t="shared" si="9"/>
        <v>24</v>
      </c>
      <c r="B54" s="2" t="s">
        <v>67</v>
      </c>
      <c r="C54" s="2"/>
      <c r="D54" s="184"/>
      <c r="E54" s="38">
        <f>E52-E53</f>
        <v>1891107.2891529666</v>
      </c>
      <c r="F54" s="102">
        <f t="shared" ref="F54:AM54" si="14">F52-F53</f>
        <v>1648479.4682987421</v>
      </c>
      <c r="G54" s="102">
        <f t="shared" si="14"/>
        <v>1591170.2474012745</v>
      </c>
      <c r="H54" s="102">
        <f t="shared" si="14"/>
        <v>1535553.964524494</v>
      </c>
      <c r="I54" s="102">
        <f t="shared" si="14"/>
        <v>1480999.6647603214</v>
      </c>
      <c r="J54" s="102">
        <f t="shared" si="14"/>
        <v>1427428.0298679818</v>
      </c>
      <c r="K54" s="102">
        <f t="shared" si="14"/>
        <v>1374765.249817864</v>
      </c>
      <c r="L54" s="102">
        <f t="shared" si="14"/>
        <v>1322943.0227915223</v>
      </c>
      <c r="M54" s="102">
        <f t="shared" si="14"/>
        <v>1271590.0953564369</v>
      </c>
      <c r="N54" s="102">
        <f t="shared" si="14"/>
        <v>1220304.3680975637</v>
      </c>
      <c r="O54" s="102">
        <f t="shared" si="14"/>
        <v>1169018.6408386915</v>
      </c>
      <c r="P54" s="102">
        <f t="shared" si="14"/>
        <v>1117732.913579819</v>
      </c>
      <c r="Q54" s="102">
        <f t="shared" si="14"/>
        <v>1066447.1863209466</v>
      </c>
      <c r="R54" s="102">
        <f t="shared" si="14"/>
        <v>1015161.4590620737</v>
      </c>
      <c r="S54" s="102">
        <f t="shared" si="14"/>
        <v>963875.73180320114</v>
      </c>
      <c r="T54" s="102">
        <f t="shared" si="14"/>
        <v>912590.00454432843</v>
      </c>
      <c r="U54" s="102">
        <f t="shared" si="14"/>
        <v>861304.27728545596</v>
      </c>
      <c r="V54" s="102">
        <f t="shared" si="14"/>
        <v>810018.55002658325</v>
      </c>
      <c r="W54" s="102">
        <f t="shared" si="14"/>
        <v>758732.82276771066</v>
      </c>
      <c r="X54" s="102">
        <f t="shared" si="14"/>
        <v>707447.09550883819</v>
      </c>
      <c r="Y54" s="102">
        <f t="shared" si="14"/>
        <v>658619.13207178004</v>
      </c>
      <c r="Z54" s="102">
        <f t="shared" si="14"/>
        <v>614705.59463611804</v>
      </c>
      <c r="AA54" s="102">
        <f t="shared" si="14"/>
        <v>573249.82102227048</v>
      </c>
      <c r="AB54" s="102">
        <f t="shared" si="14"/>
        <v>531794.04740842304</v>
      </c>
      <c r="AC54" s="102">
        <f t="shared" si="14"/>
        <v>490338.27379457554</v>
      </c>
      <c r="AD54" s="102">
        <f t="shared" si="14"/>
        <v>448882.50018072804</v>
      </c>
      <c r="AE54" s="102">
        <f t="shared" si="14"/>
        <v>407426.72656688053</v>
      </c>
      <c r="AF54" s="102">
        <f t="shared" si="14"/>
        <v>365970.95295303303</v>
      </c>
      <c r="AG54" s="102">
        <f t="shared" si="14"/>
        <v>324515.17933918559</v>
      </c>
      <c r="AH54" s="102">
        <f t="shared" si="14"/>
        <v>283059.40572533809</v>
      </c>
      <c r="AI54" s="102">
        <f t="shared" si="14"/>
        <v>241603.63211149041</v>
      </c>
      <c r="AJ54" s="102">
        <f t="shared" si="14"/>
        <v>200147.85849764277</v>
      </c>
      <c r="AK54" s="102">
        <f t="shared" si="14"/>
        <v>158692.08488379509</v>
      </c>
      <c r="AL54" s="102">
        <f t="shared" si="14"/>
        <v>117236.31126994743</v>
      </c>
      <c r="AM54" s="102">
        <f t="shared" si="14"/>
        <v>-23932.960507699529</v>
      </c>
      <c r="AN54" s="102"/>
      <c r="AO54" s="102"/>
      <c r="AP54" s="204"/>
    </row>
    <row r="55" spans="1:42" x14ac:dyDescent="0.2">
      <c r="A55" s="183">
        <f t="shared" si="9"/>
        <v>25</v>
      </c>
      <c r="B55" s="2"/>
      <c r="C55" s="2"/>
      <c r="D55" s="184"/>
      <c r="E55" s="211"/>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4"/>
      <c r="AP55" s="204"/>
    </row>
    <row r="56" spans="1:42" x14ac:dyDescent="0.2">
      <c r="A56" s="183">
        <f t="shared" si="9"/>
        <v>26</v>
      </c>
      <c r="B56" s="2"/>
      <c r="C56" s="2"/>
      <c r="D56" s="184"/>
      <c r="E56" s="84"/>
      <c r="F56" s="210"/>
      <c r="G56" s="210"/>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row>
    <row r="57" spans="1:42" x14ac:dyDescent="0.2">
      <c r="A57" s="183">
        <f t="shared" si="9"/>
        <v>27</v>
      </c>
      <c r="B57" s="2" t="s">
        <v>68</v>
      </c>
      <c r="C57" s="2"/>
      <c r="D57" s="184"/>
      <c r="E57" s="38">
        <f>E27</f>
        <v>1324091.9509619994</v>
      </c>
      <c r="F57" s="102">
        <f>F27</f>
        <v>1153783.3148320192</v>
      </c>
      <c r="G57" s="102">
        <f>G27</f>
        <v>1138300.7115474755</v>
      </c>
      <c r="H57" s="102">
        <f t="shared" ref="H57:AM57" si="15">H27</f>
        <v>1138300.7115474755</v>
      </c>
      <c r="I57" s="102">
        <f t="shared" si="15"/>
        <v>1138300.7115474755</v>
      </c>
      <c r="J57" s="102">
        <f t="shared" si="15"/>
        <v>1138300.7115474755</v>
      </c>
      <c r="K57" s="102">
        <f t="shared" si="15"/>
        <v>1138300.7115474755</v>
      </c>
      <c r="L57" s="102">
        <f t="shared" si="15"/>
        <v>1138300.7115474755</v>
      </c>
      <c r="M57" s="102">
        <f t="shared" si="15"/>
        <v>1138300.7115474755</v>
      </c>
      <c r="N57" s="102">
        <f t="shared" si="15"/>
        <v>1138300.7115474755</v>
      </c>
      <c r="O57" s="102">
        <f t="shared" si="15"/>
        <v>1138300.7115474755</v>
      </c>
      <c r="P57" s="102">
        <f t="shared" si="15"/>
        <v>1138300.7115474755</v>
      </c>
      <c r="Q57" s="102">
        <f t="shared" si="15"/>
        <v>1138300.7115474755</v>
      </c>
      <c r="R57" s="102">
        <f t="shared" si="15"/>
        <v>1138300.7115474755</v>
      </c>
      <c r="S57" s="102">
        <f t="shared" si="15"/>
        <v>1138300.7115474755</v>
      </c>
      <c r="T57" s="102">
        <f t="shared" si="15"/>
        <v>1138300.7115474755</v>
      </c>
      <c r="U57" s="102">
        <f t="shared" si="15"/>
        <v>1138300.7115474755</v>
      </c>
      <c r="V57" s="102">
        <f t="shared" si="15"/>
        <v>1138300.7115474755</v>
      </c>
      <c r="W57" s="102">
        <f t="shared" si="15"/>
        <v>1138300.7115474755</v>
      </c>
      <c r="X57" s="102">
        <f t="shared" si="15"/>
        <v>1138300.7115474755</v>
      </c>
      <c r="Y57" s="102">
        <f t="shared" si="15"/>
        <v>1138300.7115474755</v>
      </c>
      <c r="Z57" s="102">
        <f t="shared" si="15"/>
        <v>1138300.7115474755</v>
      </c>
      <c r="AA57" s="102">
        <f t="shared" si="15"/>
        <v>1138300.7115474755</v>
      </c>
      <c r="AB57" s="102">
        <f t="shared" si="15"/>
        <v>1138300.7115474755</v>
      </c>
      <c r="AC57" s="102">
        <f t="shared" si="15"/>
        <v>1138300.7115474755</v>
      </c>
      <c r="AD57" s="102">
        <f t="shared" si="15"/>
        <v>1138300.7115474755</v>
      </c>
      <c r="AE57" s="102">
        <f t="shared" si="15"/>
        <v>1138300.7115474755</v>
      </c>
      <c r="AF57" s="102">
        <f t="shared" si="15"/>
        <v>1138300.7115474755</v>
      </c>
      <c r="AG57" s="102">
        <f t="shared" si="15"/>
        <v>1138300.7115474755</v>
      </c>
      <c r="AH57" s="102">
        <f t="shared" si="15"/>
        <v>1138300.7115474755</v>
      </c>
      <c r="AI57" s="102">
        <f t="shared" si="15"/>
        <v>1138300.7115474755</v>
      </c>
      <c r="AJ57" s="102">
        <f t="shared" si="15"/>
        <v>1138300.7115474755</v>
      </c>
      <c r="AK57" s="102">
        <f t="shared" si="15"/>
        <v>1138300.7115474755</v>
      </c>
      <c r="AL57" s="102">
        <f t="shared" si="15"/>
        <v>1138300.7115474755</v>
      </c>
      <c r="AM57" s="102">
        <f t="shared" si="15"/>
        <v>6614206.0446867272</v>
      </c>
      <c r="AN57" s="102"/>
      <c r="AO57" s="102"/>
      <c r="AP57" s="204"/>
    </row>
    <row r="58" spans="1:42" x14ac:dyDescent="0.2">
      <c r="A58" s="183">
        <f t="shared" si="9"/>
        <v>28</v>
      </c>
      <c r="B58" s="2" t="s">
        <v>69</v>
      </c>
      <c r="C58" s="2"/>
      <c r="D58" s="184"/>
      <c r="E58" s="38">
        <f>$F22*E62</f>
        <v>23612308.99149999</v>
      </c>
      <c r="F58" s="38">
        <f>$F22*F62</f>
        <v>1642961.5287675993</v>
      </c>
      <c r="G58" s="102">
        <f t="shared" ref="G58:AM58" si="16">$F22*G62</f>
        <v>1519608.5507107992</v>
      </c>
      <c r="H58" s="102">
        <f t="shared" si="16"/>
        <v>1405814.2905107993</v>
      </c>
      <c r="I58" s="102">
        <f t="shared" si="16"/>
        <v>1300213.2170451994</v>
      </c>
      <c r="J58" s="102">
        <f t="shared" si="16"/>
        <v>1202805.3303139994</v>
      </c>
      <c r="K58" s="102">
        <f t="shared" si="16"/>
        <v>1112452.6877151993</v>
      </c>
      <c r="L58" s="102">
        <f t="shared" si="16"/>
        <v>1029155.2892487996</v>
      </c>
      <c r="M58" s="102">
        <f t="shared" si="16"/>
        <v>1015499.9780247995</v>
      </c>
      <c r="N58" s="102">
        <f t="shared" si="16"/>
        <v>1015272.3895043995</v>
      </c>
      <c r="O58" s="102">
        <f t="shared" si="16"/>
        <v>1015499.9780247995</v>
      </c>
      <c r="P58" s="102">
        <f t="shared" si="16"/>
        <v>1015272.3895043995</v>
      </c>
      <c r="Q58" s="102">
        <f t="shared" si="16"/>
        <v>1015499.9780247995</v>
      </c>
      <c r="R58" s="102">
        <f t="shared" si="16"/>
        <v>1015272.3895043995</v>
      </c>
      <c r="S58" s="102">
        <f t="shared" si="16"/>
        <v>1015499.9780247995</v>
      </c>
      <c r="T58" s="102">
        <f t="shared" si="16"/>
        <v>1015272.3895043995</v>
      </c>
      <c r="U58" s="102">
        <f t="shared" si="16"/>
        <v>1015499.9780247995</v>
      </c>
      <c r="V58" s="102">
        <f t="shared" si="16"/>
        <v>1015272.3895043995</v>
      </c>
      <c r="W58" s="102">
        <f t="shared" si="16"/>
        <v>1015499.9780247995</v>
      </c>
      <c r="X58" s="102">
        <f t="shared" si="16"/>
        <v>1015272.3895043995</v>
      </c>
      <c r="Y58" s="102">
        <f t="shared" si="16"/>
        <v>507749.98901239975</v>
      </c>
      <c r="Z58" s="102">
        <f t="shared" si="16"/>
        <v>0</v>
      </c>
      <c r="AA58" s="102">
        <f t="shared" si="16"/>
        <v>0</v>
      </c>
      <c r="AB58" s="102">
        <f t="shared" si="16"/>
        <v>0</v>
      </c>
      <c r="AC58" s="102">
        <f t="shared" si="16"/>
        <v>0</v>
      </c>
      <c r="AD58" s="102">
        <f t="shared" si="16"/>
        <v>0</v>
      </c>
      <c r="AE58" s="102">
        <f t="shared" si="16"/>
        <v>0</v>
      </c>
      <c r="AF58" s="102">
        <f t="shared" si="16"/>
        <v>0</v>
      </c>
      <c r="AG58" s="102">
        <f t="shared" si="16"/>
        <v>0</v>
      </c>
      <c r="AH58" s="102">
        <f t="shared" si="16"/>
        <v>0</v>
      </c>
      <c r="AI58" s="102">
        <f t="shared" si="16"/>
        <v>0</v>
      </c>
      <c r="AJ58" s="102">
        <f t="shared" si="16"/>
        <v>0</v>
      </c>
      <c r="AK58" s="102">
        <f t="shared" si="16"/>
        <v>0</v>
      </c>
      <c r="AL58" s="102">
        <f t="shared" si="16"/>
        <v>0</v>
      </c>
      <c r="AM58" s="102">
        <f t="shared" si="16"/>
        <v>0</v>
      </c>
      <c r="AN58" s="102"/>
      <c r="AO58" s="102"/>
      <c r="AP58" s="204"/>
    </row>
    <row r="59" spans="1:42" x14ac:dyDescent="0.2">
      <c r="A59" s="183">
        <f t="shared" si="9"/>
        <v>29</v>
      </c>
      <c r="B59" s="2" t="s">
        <v>70</v>
      </c>
      <c r="C59" s="2"/>
      <c r="D59" s="184"/>
      <c r="E59" s="38">
        <f>E58-E57</f>
        <v>22288217.040537991</v>
      </c>
      <c r="F59" s="102">
        <f>F58-F57</f>
        <v>489178.2139355801</v>
      </c>
      <c r="G59" s="102">
        <f>G58-G57</f>
        <v>381307.83916332363</v>
      </c>
      <c r="H59" s="102">
        <f t="shared" ref="H59:AM59" si="17">H58-H57</f>
        <v>267513.57896332373</v>
      </c>
      <c r="I59" s="102">
        <f t="shared" si="17"/>
        <v>161912.50549772382</v>
      </c>
      <c r="J59" s="102">
        <f t="shared" si="17"/>
        <v>64504.618766523898</v>
      </c>
      <c r="K59" s="102">
        <f t="shared" si="17"/>
        <v>-25848.023832276231</v>
      </c>
      <c r="L59" s="102">
        <f t="shared" si="17"/>
        <v>-109145.42229867599</v>
      </c>
      <c r="M59" s="102">
        <f t="shared" si="17"/>
        <v>-122800.73352267605</v>
      </c>
      <c r="N59" s="102">
        <f t="shared" si="17"/>
        <v>-123028.32204307604</v>
      </c>
      <c r="O59" s="102">
        <f t="shared" si="17"/>
        <v>-122800.73352267605</v>
      </c>
      <c r="P59" s="102">
        <f t="shared" si="17"/>
        <v>-123028.32204307604</v>
      </c>
      <c r="Q59" s="102">
        <f t="shared" si="17"/>
        <v>-122800.73352267605</v>
      </c>
      <c r="R59" s="102">
        <f t="shared" si="17"/>
        <v>-123028.32204307604</v>
      </c>
      <c r="S59" s="102">
        <f t="shared" si="17"/>
        <v>-122800.73352267605</v>
      </c>
      <c r="T59" s="102">
        <f t="shared" si="17"/>
        <v>-123028.32204307604</v>
      </c>
      <c r="U59" s="102">
        <f t="shared" si="17"/>
        <v>-122800.73352267605</v>
      </c>
      <c r="V59" s="102">
        <f t="shared" si="17"/>
        <v>-123028.32204307604</v>
      </c>
      <c r="W59" s="102">
        <f t="shared" si="17"/>
        <v>-122800.73352267605</v>
      </c>
      <c r="X59" s="102">
        <f t="shared" si="17"/>
        <v>-123028.32204307604</v>
      </c>
      <c r="Y59" s="102">
        <f t="shared" si="17"/>
        <v>-630550.72253507585</v>
      </c>
      <c r="Z59" s="102">
        <f t="shared" si="17"/>
        <v>-1138300.7115474755</v>
      </c>
      <c r="AA59" s="102">
        <f t="shared" si="17"/>
        <v>-1138300.7115474755</v>
      </c>
      <c r="AB59" s="102">
        <f t="shared" si="17"/>
        <v>-1138300.7115474755</v>
      </c>
      <c r="AC59" s="102">
        <f t="shared" si="17"/>
        <v>-1138300.7115474755</v>
      </c>
      <c r="AD59" s="102">
        <f t="shared" si="17"/>
        <v>-1138300.7115474755</v>
      </c>
      <c r="AE59" s="102">
        <f t="shared" si="17"/>
        <v>-1138300.7115474755</v>
      </c>
      <c r="AF59" s="102">
        <f t="shared" si="17"/>
        <v>-1138300.7115474755</v>
      </c>
      <c r="AG59" s="102">
        <f t="shared" si="17"/>
        <v>-1138300.7115474755</v>
      </c>
      <c r="AH59" s="102">
        <f t="shared" si="17"/>
        <v>-1138300.7115474755</v>
      </c>
      <c r="AI59" s="102">
        <f t="shared" si="17"/>
        <v>-1138300.7115474755</v>
      </c>
      <c r="AJ59" s="102">
        <f t="shared" si="17"/>
        <v>-1138300.7115474755</v>
      </c>
      <c r="AK59" s="102">
        <f t="shared" si="17"/>
        <v>-1138300.7115474755</v>
      </c>
      <c r="AL59" s="102">
        <f t="shared" si="17"/>
        <v>-1138300.7115474755</v>
      </c>
      <c r="AM59" s="102">
        <f t="shared" si="17"/>
        <v>-6614206.0446867272</v>
      </c>
      <c r="AN59" s="102"/>
      <c r="AO59" s="102"/>
      <c r="AP59" s="204"/>
    </row>
    <row r="60" spans="1:42" x14ac:dyDescent="0.2">
      <c r="A60" s="183">
        <f t="shared" si="9"/>
        <v>30</v>
      </c>
      <c r="B60" s="2" t="s">
        <v>71</v>
      </c>
      <c r="C60" s="2"/>
      <c r="D60" s="184"/>
      <c r="E60" s="38">
        <f>E59*J15</f>
        <v>7800875.9641882963</v>
      </c>
      <c r="F60" s="212">
        <f>$F$59*$F$15/12*10+$F$59*$J$15/12*2</f>
        <v>114141.58325163535</v>
      </c>
      <c r="G60" s="102">
        <f t="shared" ref="G60:AM60" si="18">G59*$F$15</f>
        <v>80074.646224297961</v>
      </c>
      <c r="H60" s="102">
        <f t="shared" si="18"/>
        <v>56177.851582297983</v>
      </c>
      <c r="I60" s="102">
        <f t="shared" si="18"/>
        <v>34001.626154522004</v>
      </c>
      <c r="J60" s="102">
        <f t="shared" si="18"/>
        <v>13545.969940970019</v>
      </c>
      <c r="K60" s="102">
        <f t="shared" si="18"/>
        <v>-5428.0850047780086</v>
      </c>
      <c r="L60" s="102">
        <f t="shared" si="18"/>
        <v>-22920.538682721955</v>
      </c>
      <c r="M60" s="102">
        <f t="shared" si="18"/>
        <v>-25788.154039761968</v>
      </c>
      <c r="N60" s="102">
        <f t="shared" si="18"/>
        <v>-25835.947629045968</v>
      </c>
      <c r="O60" s="102">
        <f t="shared" si="18"/>
        <v>-25788.154039761968</v>
      </c>
      <c r="P60" s="102">
        <f t="shared" si="18"/>
        <v>-25835.947629045968</v>
      </c>
      <c r="Q60" s="102">
        <f t="shared" si="18"/>
        <v>-25788.154039761968</v>
      </c>
      <c r="R60" s="102">
        <f t="shared" si="18"/>
        <v>-25835.947629045968</v>
      </c>
      <c r="S60" s="102">
        <f t="shared" si="18"/>
        <v>-25788.154039761968</v>
      </c>
      <c r="T60" s="102">
        <f t="shared" si="18"/>
        <v>-25835.947629045968</v>
      </c>
      <c r="U60" s="102">
        <f t="shared" si="18"/>
        <v>-25788.154039761968</v>
      </c>
      <c r="V60" s="102">
        <f t="shared" si="18"/>
        <v>-25835.947629045968</v>
      </c>
      <c r="W60" s="102">
        <f t="shared" si="18"/>
        <v>-25788.154039761968</v>
      </c>
      <c r="X60" s="102">
        <f t="shared" si="18"/>
        <v>-25835.947629045968</v>
      </c>
      <c r="Y60" s="102">
        <f t="shared" si="18"/>
        <v>-132415.65173236592</v>
      </c>
      <c r="Z60" s="102">
        <f t="shared" si="18"/>
        <v>-239043.14942496986</v>
      </c>
      <c r="AA60" s="102">
        <f t="shared" si="18"/>
        <v>-239043.14942496986</v>
      </c>
      <c r="AB60" s="102">
        <f t="shared" si="18"/>
        <v>-239043.14942496986</v>
      </c>
      <c r="AC60" s="102">
        <f t="shared" si="18"/>
        <v>-239043.14942496986</v>
      </c>
      <c r="AD60" s="102">
        <f t="shared" si="18"/>
        <v>-239043.14942496986</v>
      </c>
      <c r="AE60" s="102">
        <f t="shared" si="18"/>
        <v>-239043.14942496986</v>
      </c>
      <c r="AF60" s="102">
        <f t="shared" si="18"/>
        <v>-239043.14942496986</v>
      </c>
      <c r="AG60" s="102">
        <f t="shared" si="18"/>
        <v>-239043.14942496986</v>
      </c>
      <c r="AH60" s="102">
        <f t="shared" si="18"/>
        <v>-239043.14942496986</v>
      </c>
      <c r="AI60" s="102">
        <f t="shared" si="18"/>
        <v>-239043.14942496986</v>
      </c>
      <c r="AJ60" s="102">
        <f t="shared" si="18"/>
        <v>-239043.14942496986</v>
      </c>
      <c r="AK60" s="102">
        <f t="shared" si="18"/>
        <v>-239043.14942496986</v>
      </c>
      <c r="AL60" s="102">
        <f t="shared" si="18"/>
        <v>-239043.14942496986</v>
      </c>
      <c r="AM60" s="102">
        <f t="shared" si="18"/>
        <v>-1388983.2693842126</v>
      </c>
      <c r="AN60" s="102"/>
      <c r="AO60" s="102"/>
      <c r="AP60" s="204"/>
    </row>
    <row r="61" spans="1:42" x14ac:dyDescent="0.2">
      <c r="A61" s="183">
        <f t="shared" si="9"/>
        <v>31</v>
      </c>
      <c r="B61" s="2"/>
      <c r="C61" s="2"/>
      <c r="D61" s="184"/>
      <c r="E61" s="84"/>
      <c r="F61" s="210"/>
      <c r="G61" s="210"/>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84"/>
    </row>
    <row r="62" spans="1:42" s="50" customFormat="1" x14ac:dyDescent="0.2">
      <c r="A62" s="183">
        <f t="shared" si="9"/>
        <v>32</v>
      </c>
      <c r="B62" s="2" t="str">
        <f t="shared" ref="B62" si="19">IF($F$18=1,B66,B65)</f>
        <v>MACRS Depreciation - 20 year - Bonus</v>
      </c>
      <c r="C62" s="2"/>
      <c r="D62" s="47"/>
      <c r="E62" s="62">
        <f t="shared" ref="E62:Y62" si="20">IF($F$18=1,E66,E65)</f>
        <v>0.51875000000000004</v>
      </c>
      <c r="F62" s="58">
        <f t="shared" si="20"/>
        <v>3.6095000000000002E-2</v>
      </c>
      <c r="G62" s="58">
        <f t="shared" si="20"/>
        <v>3.3384999999999998E-2</v>
      </c>
      <c r="H62" s="61">
        <f t="shared" si="20"/>
        <v>3.0884999999999999E-2</v>
      </c>
      <c r="I62" s="61">
        <f t="shared" si="20"/>
        <v>2.8565E-2</v>
      </c>
      <c r="J62" s="61">
        <f t="shared" si="20"/>
        <v>2.6425000000000001E-2</v>
      </c>
      <c r="K62" s="61">
        <f t="shared" si="20"/>
        <v>2.444E-2</v>
      </c>
      <c r="L62" s="61">
        <f t="shared" si="20"/>
        <v>2.2610000000000002E-2</v>
      </c>
      <c r="M62" s="61">
        <f t="shared" si="20"/>
        <v>2.231E-2</v>
      </c>
      <c r="N62" s="61">
        <f t="shared" si="20"/>
        <v>2.2305000000000002E-2</v>
      </c>
      <c r="O62" s="61">
        <f t="shared" si="20"/>
        <v>2.231E-2</v>
      </c>
      <c r="P62" s="61">
        <f t="shared" si="20"/>
        <v>2.2305000000000002E-2</v>
      </c>
      <c r="Q62" s="61">
        <f t="shared" si="20"/>
        <v>2.231E-2</v>
      </c>
      <c r="R62" s="61">
        <f t="shared" si="20"/>
        <v>2.2305000000000002E-2</v>
      </c>
      <c r="S62" s="61">
        <f t="shared" si="20"/>
        <v>2.231E-2</v>
      </c>
      <c r="T62" s="61">
        <f t="shared" si="20"/>
        <v>2.2305000000000002E-2</v>
      </c>
      <c r="U62" s="61">
        <f t="shared" si="20"/>
        <v>2.231E-2</v>
      </c>
      <c r="V62" s="61">
        <f t="shared" si="20"/>
        <v>2.2305000000000002E-2</v>
      </c>
      <c r="W62" s="61">
        <f t="shared" si="20"/>
        <v>2.231E-2</v>
      </c>
      <c r="X62" s="61">
        <f t="shared" si="20"/>
        <v>2.2305000000000002E-2</v>
      </c>
      <c r="Y62" s="61">
        <f t="shared" si="20"/>
        <v>1.1155E-2</v>
      </c>
      <c r="Z62" s="48"/>
      <c r="AA62" s="48"/>
      <c r="AB62" s="48"/>
      <c r="AC62" s="48"/>
      <c r="AD62" s="48"/>
      <c r="AE62" s="48"/>
      <c r="AF62" s="48"/>
      <c r="AG62" s="48"/>
      <c r="AH62" s="48"/>
      <c r="AI62" s="48"/>
      <c r="AJ62" s="48"/>
      <c r="AK62" s="48"/>
      <c r="AL62" s="48"/>
      <c r="AM62" s="48"/>
      <c r="AN62" s="48"/>
      <c r="AO62" s="48"/>
      <c r="AP62" s="47"/>
    </row>
    <row r="63" spans="1:42" outlineLevel="1" x14ac:dyDescent="0.25">
      <c r="A63" s="183">
        <f t="shared" si="9"/>
        <v>33</v>
      </c>
      <c r="B63" s="2"/>
      <c r="C63" s="213"/>
      <c r="E63" s="214"/>
      <c r="F63" s="215"/>
      <c r="G63" s="215"/>
      <c r="H63" s="215"/>
      <c r="I63" s="215"/>
      <c r="J63" s="215"/>
      <c r="K63" s="215"/>
      <c r="L63" s="215"/>
      <c r="M63" s="216"/>
      <c r="N63" s="216"/>
      <c r="O63" s="216"/>
      <c r="P63" s="216"/>
      <c r="Q63" s="216"/>
      <c r="R63" s="216"/>
      <c r="S63" s="216"/>
      <c r="T63" s="216"/>
      <c r="U63" s="216"/>
      <c r="V63" s="216"/>
      <c r="W63" s="216"/>
      <c r="X63" s="216"/>
      <c r="Y63" s="216"/>
      <c r="Z63" s="184"/>
      <c r="AA63" s="184"/>
      <c r="AB63" s="184"/>
      <c r="AC63" s="184"/>
      <c r="AD63" s="184"/>
      <c r="AE63" s="184"/>
      <c r="AF63" s="184"/>
      <c r="AG63" s="184"/>
      <c r="AH63" s="184"/>
      <c r="AI63" s="184"/>
      <c r="AJ63" s="184"/>
      <c r="AK63" s="184"/>
      <c r="AL63" s="184"/>
      <c r="AM63" s="184"/>
      <c r="AN63" s="184"/>
      <c r="AO63" s="3"/>
    </row>
    <row r="64" spans="1:42" outlineLevel="1" x14ac:dyDescent="0.25">
      <c r="A64" s="183">
        <f t="shared" si="9"/>
        <v>34</v>
      </c>
      <c r="B64" s="2"/>
      <c r="C64" s="213"/>
      <c r="E64" s="214"/>
      <c r="F64" s="215"/>
      <c r="G64" s="215"/>
      <c r="H64" s="215"/>
      <c r="I64" s="215"/>
      <c r="J64" s="215"/>
      <c r="K64" s="215"/>
      <c r="L64" s="215"/>
      <c r="M64" s="216"/>
      <c r="N64" s="216"/>
      <c r="O64" s="216"/>
      <c r="P64" s="216"/>
      <c r="Q64" s="216"/>
      <c r="R64" s="216"/>
      <c r="S64" s="216"/>
      <c r="T64" s="216"/>
      <c r="U64" s="216"/>
      <c r="V64" s="216"/>
      <c r="W64" s="216"/>
      <c r="X64" s="216"/>
      <c r="Y64" s="216"/>
      <c r="Z64" s="184"/>
      <c r="AA64" s="184"/>
      <c r="AB64" s="184"/>
      <c r="AC64" s="184"/>
      <c r="AD64" s="184"/>
      <c r="AE64" s="184"/>
      <c r="AF64" s="184"/>
      <c r="AG64" s="184"/>
      <c r="AH64" s="184"/>
      <c r="AI64" s="184"/>
      <c r="AJ64" s="184"/>
      <c r="AK64" s="184"/>
      <c r="AL64" s="184"/>
      <c r="AM64" s="184"/>
      <c r="AN64" s="184"/>
      <c r="AO64" s="3"/>
    </row>
    <row r="65" spans="1:42" s="50" customFormat="1" x14ac:dyDescent="0.25">
      <c r="A65" s="183">
        <f t="shared" si="9"/>
        <v>35</v>
      </c>
      <c r="B65" s="2" t="s">
        <v>72</v>
      </c>
      <c r="C65" s="2"/>
      <c r="D65" s="51">
        <v>0</v>
      </c>
      <c r="E65" s="59">
        <v>3.7499999999999999E-2</v>
      </c>
      <c r="F65" s="58">
        <v>7.2190000000000004E-2</v>
      </c>
      <c r="G65" s="58">
        <v>6.6769999999999996E-2</v>
      </c>
      <c r="H65" s="60">
        <v>6.1769999999999999E-2</v>
      </c>
      <c r="I65" s="60">
        <v>5.713E-2</v>
      </c>
      <c r="J65" s="60">
        <v>5.2850000000000001E-2</v>
      </c>
      <c r="K65" s="60">
        <v>4.888E-2</v>
      </c>
      <c r="L65" s="60">
        <v>4.5220000000000003E-2</v>
      </c>
      <c r="M65" s="60">
        <v>4.462E-2</v>
      </c>
      <c r="N65" s="60">
        <v>4.4610000000000004E-2</v>
      </c>
      <c r="O65" s="60">
        <v>4.462E-2</v>
      </c>
      <c r="P65" s="60">
        <v>4.4610000000000004E-2</v>
      </c>
      <c r="Q65" s="60">
        <v>4.462E-2</v>
      </c>
      <c r="R65" s="60">
        <v>4.4610000000000004E-2</v>
      </c>
      <c r="S65" s="60">
        <v>4.462E-2</v>
      </c>
      <c r="T65" s="60">
        <v>4.4610000000000004E-2</v>
      </c>
      <c r="U65" s="60">
        <v>4.462E-2</v>
      </c>
      <c r="V65" s="60">
        <v>4.4610000000000004E-2</v>
      </c>
      <c r="W65" s="60">
        <v>4.462E-2</v>
      </c>
      <c r="X65" s="60">
        <v>4.4610000000000004E-2</v>
      </c>
      <c r="Y65" s="60">
        <v>2.231E-2</v>
      </c>
      <c r="Z65" s="52"/>
      <c r="AA65" s="48"/>
      <c r="AB65" s="48"/>
      <c r="AC65" s="48"/>
      <c r="AD65" s="48"/>
      <c r="AE65" s="48"/>
      <c r="AF65" s="48"/>
      <c r="AG65" s="48"/>
      <c r="AH65" s="48"/>
      <c r="AI65" s="48"/>
      <c r="AJ65" s="48"/>
      <c r="AK65" s="48"/>
      <c r="AL65" s="48"/>
      <c r="AM65" s="48"/>
      <c r="AN65" s="47"/>
      <c r="AP65" s="53"/>
    </row>
    <row r="66" spans="1:42" x14ac:dyDescent="0.2">
      <c r="A66" s="183">
        <f t="shared" si="9"/>
        <v>36</v>
      </c>
      <c r="B66" s="2" t="s">
        <v>73</v>
      </c>
      <c r="C66" s="2"/>
      <c r="D66" s="51">
        <v>0</v>
      </c>
      <c r="E66" s="59">
        <v>0.51875000000000004</v>
      </c>
      <c r="F66" s="58">
        <v>3.6095000000000002E-2</v>
      </c>
      <c r="G66" s="58">
        <v>3.3384999999999998E-2</v>
      </c>
      <c r="H66" s="61">
        <v>3.0884999999999999E-2</v>
      </c>
      <c r="I66" s="61">
        <v>2.8565E-2</v>
      </c>
      <c r="J66" s="61">
        <v>2.6425000000000001E-2</v>
      </c>
      <c r="K66" s="61">
        <v>2.444E-2</v>
      </c>
      <c r="L66" s="61">
        <v>2.2610000000000002E-2</v>
      </c>
      <c r="M66" s="61">
        <v>2.231E-2</v>
      </c>
      <c r="N66" s="61">
        <v>2.2305000000000002E-2</v>
      </c>
      <c r="O66" s="61">
        <v>2.231E-2</v>
      </c>
      <c r="P66" s="61">
        <v>2.2305000000000002E-2</v>
      </c>
      <c r="Q66" s="61">
        <v>2.231E-2</v>
      </c>
      <c r="R66" s="61">
        <v>2.2305000000000002E-2</v>
      </c>
      <c r="S66" s="61">
        <v>2.231E-2</v>
      </c>
      <c r="T66" s="61">
        <v>2.2305000000000002E-2</v>
      </c>
      <c r="U66" s="61">
        <v>2.231E-2</v>
      </c>
      <c r="V66" s="61">
        <v>2.2305000000000002E-2</v>
      </c>
      <c r="W66" s="61">
        <v>2.231E-2</v>
      </c>
      <c r="X66" s="61">
        <v>2.2305000000000002E-2</v>
      </c>
      <c r="Y66" s="61">
        <v>1.1155E-2</v>
      </c>
      <c r="Z66" s="49"/>
      <c r="AA66" s="49"/>
      <c r="AB66" s="54"/>
      <c r="AC66" s="54"/>
      <c r="AD66" s="54"/>
      <c r="AE66" s="54"/>
      <c r="AF66" s="54"/>
      <c r="AG66" s="54"/>
      <c r="AH66" s="54"/>
      <c r="AI66" s="54"/>
      <c r="AJ66" s="54"/>
      <c r="AK66" s="54"/>
      <c r="AL66" s="54"/>
      <c r="AM66" s="54"/>
      <c r="AN66" s="184"/>
      <c r="AO66" s="3"/>
      <c r="AP66" s="53">
        <f>SUM(D66:AO66)</f>
        <v>1.0000000000000004</v>
      </c>
    </row>
    <row r="69" spans="1:42" x14ac:dyDescent="0.25">
      <c r="B69" s="55"/>
    </row>
    <row r="74" spans="1:42" x14ac:dyDescent="0.2">
      <c r="F74" s="217"/>
    </row>
    <row r="75" spans="1:42" x14ac:dyDescent="0.2">
      <c r="F75" s="217"/>
    </row>
    <row r="76" spans="1:42" x14ac:dyDescent="0.2">
      <c r="F76" s="217"/>
    </row>
    <row r="77" spans="1:42" x14ac:dyDescent="0.2">
      <c r="F77" s="217"/>
    </row>
    <row r="78" spans="1:42" x14ac:dyDescent="0.2">
      <c r="F78" s="217"/>
    </row>
    <row r="79" spans="1:42" x14ac:dyDescent="0.2">
      <c r="F79" s="217"/>
    </row>
    <row r="80" spans="1:42" x14ac:dyDescent="0.2">
      <c r="F80" s="217"/>
    </row>
    <row r="81" spans="6:6" x14ac:dyDescent="0.2">
      <c r="F81" s="217"/>
    </row>
    <row r="82" spans="6:6" x14ac:dyDescent="0.2">
      <c r="F82" s="217"/>
    </row>
    <row r="83" spans="6:6" x14ac:dyDescent="0.2">
      <c r="F83" s="217"/>
    </row>
    <row r="84" spans="6:6" x14ac:dyDescent="0.2">
      <c r="F84" s="217"/>
    </row>
    <row r="85" spans="6:6" x14ac:dyDescent="0.2">
      <c r="F85" s="217"/>
    </row>
    <row r="86" spans="6:6" x14ac:dyDescent="0.2">
      <c r="F86" s="217"/>
    </row>
    <row r="87" spans="6:6" x14ac:dyDescent="0.2">
      <c r="F87" s="217"/>
    </row>
    <row r="88" spans="6:6" x14ac:dyDescent="0.2">
      <c r="F88" s="217"/>
    </row>
    <row r="89" spans="6:6" x14ac:dyDescent="0.2">
      <c r="F89" s="217"/>
    </row>
    <row r="90" spans="6:6" x14ac:dyDescent="0.2">
      <c r="F90" s="217"/>
    </row>
    <row r="91" spans="6:6" x14ac:dyDescent="0.2">
      <c r="F91" s="217"/>
    </row>
    <row r="92" spans="6:6" x14ac:dyDescent="0.2">
      <c r="F92" s="217"/>
    </row>
    <row r="93" spans="6:6" x14ac:dyDescent="0.2">
      <c r="F93" s="217"/>
    </row>
    <row r="94" spans="6:6" x14ac:dyDescent="0.2">
      <c r="F94" s="217"/>
    </row>
    <row r="95" spans="6:6" x14ac:dyDescent="0.2">
      <c r="F95" s="217"/>
    </row>
    <row r="96" spans="6:6" x14ac:dyDescent="0.2">
      <c r="F96" s="217"/>
    </row>
    <row r="97" spans="6:6" x14ac:dyDescent="0.2">
      <c r="F97" s="217"/>
    </row>
    <row r="98" spans="6:6" x14ac:dyDescent="0.2">
      <c r="F98" s="217"/>
    </row>
    <row r="99" spans="6:6" x14ac:dyDescent="0.2">
      <c r="F99" s="217"/>
    </row>
    <row r="100" spans="6:6" x14ac:dyDescent="0.2">
      <c r="F100" s="217"/>
    </row>
    <row r="101" spans="6:6" x14ac:dyDescent="0.2">
      <c r="F101" s="217"/>
    </row>
    <row r="102" spans="6:6" x14ac:dyDescent="0.2">
      <c r="F102" s="217"/>
    </row>
    <row r="103" spans="6:6" x14ac:dyDescent="0.2">
      <c r="F103" s="217"/>
    </row>
    <row r="104" spans="6:6" x14ac:dyDescent="0.2">
      <c r="F104" s="217"/>
    </row>
    <row r="105" spans="6:6" x14ac:dyDescent="0.2">
      <c r="F105" s="217"/>
    </row>
    <row r="106" spans="6:6" x14ac:dyDescent="0.2">
      <c r="F106" s="217"/>
    </row>
    <row r="107" spans="6:6" x14ac:dyDescent="0.2">
      <c r="F107" s="217"/>
    </row>
    <row r="108" spans="6:6" x14ac:dyDescent="0.2">
      <c r="F108" s="217"/>
    </row>
    <row r="109" spans="6:6" x14ac:dyDescent="0.2">
      <c r="F109" s="217"/>
    </row>
  </sheetData>
  <mergeCells count="1">
    <mergeCell ref="E1:F1"/>
  </mergeCells>
  <printOptions horizontalCentered="1"/>
  <pageMargins left="0.75" right="0.5" top="0.5" bottom="0.5" header="0.5" footer="0.25"/>
  <pageSetup scale="17" orientation="portrait" blackAndWhite="1" r:id="rId1"/>
  <headerFooter alignWithMargins="0"/>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9"/>
  <sheetViews>
    <sheetView zoomScale="85" zoomScaleNormal="85" workbookViewId="0">
      <pane xSplit="4" ySplit="26" topLeftCell="E39" activePane="bottomRight" state="frozen"/>
      <selection activeCell="H42" sqref="H42"/>
      <selection pane="topRight" activeCell="H42" sqref="H42"/>
      <selection pane="bottomLeft" activeCell="H42" sqref="H42"/>
      <selection pane="bottomRight" activeCell="H10" sqref="H10:J14"/>
    </sheetView>
  </sheetViews>
  <sheetFormatPr defaultColWidth="10.28515625" defaultRowHeight="15" outlineLevelRow="1" outlineLevelCol="1" x14ac:dyDescent="0.2"/>
  <cols>
    <col min="1" max="1" width="5.7109375" style="34" customWidth="1"/>
    <col min="2" max="2" width="7.42578125" style="34" customWidth="1"/>
    <col min="3" max="3" width="26.42578125" style="34" customWidth="1"/>
    <col min="4" max="4" width="15.5703125" style="3" customWidth="1"/>
    <col min="5" max="5" width="13.5703125" style="56" customWidth="1"/>
    <col min="6" max="6" width="13.42578125" style="56" customWidth="1"/>
    <col min="7" max="7" width="14.5703125" style="56" bestFit="1" customWidth="1"/>
    <col min="8" max="8" width="12.5703125" style="56" customWidth="1"/>
    <col min="9" max="25" width="12.85546875" style="56" bestFit="1" customWidth="1"/>
    <col min="26" max="38" width="12.28515625" style="56" bestFit="1" customWidth="1"/>
    <col min="39" max="39" width="17" style="56" customWidth="1" outlineLevel="1"/>
    <col min="40" max="40" width="13" style="56" customWidth="1" outlineLevel="1"/>
    <col min="41" max="41" width="14.28515625" style="56" customWidth="1" outlineLevel="1"/>
    <col min="42" max="42" width="12.7109375" style="3" bestFit="1" customWidth="1"/>
    <col min="43" max="43" width="12.28515625" style="3" customWidth="1"/>
    <col min="44" max="44" width="14" style="3" customWidth="1"/>
    <col min="45" max="45" width="14.28515625" style="3" bestFit="1" customWidth="1"/>
    <col min="46" max="46" width="16.5703125" style="3" customWidth="1"/>
    <col min="47" max="16384" width="10.28515625" style="3"/>
  </cols>
  <sheetData>
    <row r="1" spans="1:14" s="3" customFormat="1" ht="17.25" customHeight="1" x14ac:dyDescent="0.25">
      <c r="A1" s="1" t="s">
        <v>0</v>
      </c>
      <c r="B1" s="2"/>
      <c r="C1" s="2"/>
      <c r="E1" s="402"/>
      <c r="F1" s="402"/>
      <c r="H1" s="4"/>
      <c r="I1" s="5"/>
    </row>
    <row r="2" spans="1:14" s="3" customFormat="1" ht="12.75" customHeight="1" x14ac:dyDescent="0.25">
      <c r="A2" s="6" t="s">
        <v>1</v>
      </c>
      <c r="B2" s="2"/>
      <c r="C2" s="2"/>
      <c r="F2" s="5"/>
      <c r="G2" s="5"/>
    </row>
    <row r="3" spans="1:14" s="3" customFormat="1" ht="12.75" customHeight="1" x14ac:dyDescent="0.25">
      <c r="A3" s="6" t="s">
        <v>2</v>
      </c>
      <c r="B3" s="2"/>
      <c r="C3" s="183">
        <v>2018</v>
      </c>
      <c r="D3" s="184" t="s">
        <v>3</v>
      </c>
      <c r="F3" s="5"/>
      <c r="G3" s="5"/>
    </row>
    <row r="4" spans="1:14" s="3" customFormat="1" ht="7.5" customHeight="1" thickBot="1" x14ac:dyDescent="0.25">
      <c r="A4" s="2"/>
      <c r="B4" s="2"/>
      <c r="C4" s="2"/>
      <c r="F4" s="5"/>
      <c r="G4" s="5"/>
    </row>
    <row r="5" spans="1:14" s="3" customFormat="1" x14ac:dyDescent="0.2">
      <c r="A5" s="7" t="s">
        <v>4</v>
      </c>
      <c r="B5" s="8"/>
      <c r="C5" s="8"/>
      <c r="D5" s="9"/>
      <c r="E5" s="9"/>
      <c r="F5" s="10"/>
      <c r="G5" s="11"/>
      <c r="H5" s="185"/>
      <c r="I5" s="9"/>
      <c r="J5" s="10"/>
      <c r="L5" s="3" t="s">
        <v>188</v>
      </c>
      <c r="N5" s="22">
        <f>F22</f>
        <v>60284764.079999998</v>
      </c>
    </row>
    <row r="6" spans="1:14" s="3" customFormat="1" x14ac:dyDescent="0.2">
      <c r="A6" s="12"/>
      <c r="B6" s="13"/>
      <c r="C6" s="13"/>
      <c r="D6" s="114" t="s">
        <v>185</v>
      </c>
      <c r="E6" s="114"/>
      <c r="F6" s="115"/>
      <c r="G6" s="11"/>
      <c r="H6" s="186" t="s">
        <v>186</v>
      </c>
      <c r="I6" s="114"/>
      <c r="J6" s="115"/>
    </row>
    <row r="7" spans="1:14" s="3" customFormat="1" x14ac:dyDescent="0.2">
      <c r="A7" s="12"/>
      <c r="B7" s="13"/>
      <c r="C7" s="13"/>
      <c r="D7" s="16"/>
      <c r="E7" s="16"/>
      <c r="F7" s="17" t="s">
        <v>5</v>
      </c>
      <c r="G7" s="18"/>
      <c r="H7" s="187"/>
      <c r="I7" s="16"/>
      <c r="J7" s="17" t="s">
        <v>5</v>
      </c>
      <c r="M7" s="116" t="s">
        <v>189</v>
      </c>
      <c r="N7" s="3" t="s">
        <v>53</v>
      </c>
    </row>
    <row r="8" spans="1:14" s="3" customFormat="1" x14ac:dyDescent="0.2">
      <c r="A8" s="12" t="s">
        <v>6</v>
      </c>
      <c r="B8" s="13"/>
      <c r="C8" s="13"/>
      <c r="D8" s="19" t="s">
        <v>7</v>
      </c>
      <c r="E8" s="19" t="s">
        <v>8</v>
      </c>
      <c r="F8" s="20" t="s">
        <v>8</v>
      </c>
      <c r="G8" s="18"/>
      <c r="H8" s="188" t="s">
        <v>7</v>
      </c>
      <c r="I8" s="19" t="s">
        <v>8</v>
      </c>
      <c r="J8" s="20" t="s">
        <v>8</v>
      </c>
      <c r="L8" s="218">
        <v>43069</v>
      </c>
      <c r="M8" s="106">
        <f>J17</f>
        <v>2.790316331356538E-2</v>
      </c>
      <c r="N8" s="22">
        <f>$N$5*M8/12</f>
        <v>140177.96812033333</v>
      </c>
    </row>
    <row r="9" spans="1:14" s="3" customFormat="1" x14ac:dyDescent="0.2">
      <c r="A9" s="12"/>
      <c r="B9" s="13"/>
      <c r="C9" s="13"/>
      <c r="D9" s="14"/>
      <c r="E9" s="14"/>
      <c r="F9" s="21"/>
      <c r="G9" s="14"/>
      <c r="H9" s="190"/>
      <c r="I9" s="14"/>
      <c r="J9" s="21"/>
      <c r="L9" s="218">
        <v>43100</v>
      </c>
      <c r="M9" s="106">
        <f>F17</f>
        <v>2.451496550967695E-2</v>
      </c>
      <c r="N9" s="22">
        <f>$N$5*M9/12</f>
        <v>123156.57601501765</v>
      </c>
    </row>
    <row r="10" spans="1:14" s="3" customFormat="1" x14ac:dyDescent="0.2">
      <c r="A10" s="12"/>
      <c r="B10" s="13"/>
      <c r="C10" s="13"/>
      <c r="D10" s="23"/>
      <c r="E10" s="23"/>
      <c r="F10" s="24"/>
      <c r="G10" s="22"/>
      <c r="H10" s="191"/>
      <c r="I10" s="23"/>
      <c r="J10" s="24"/>
      <c r="L10" s="218">
        <v>43131</v>
      </c>
      <c r="M10" s="106">
        <f>M9</f>
        <v>2.451496550967695E-2</v>
      </c>
      <c r="N10" s="22">
        <f>$N$5*M10/12</f>
        <v>123156.57601501765</v>
      </c>
    </row>
    <row r="11" spans="1:14" s="3" customFormat="1" x14ac:dyDescent="0.2">
      <c r="A11" s="12" t="s">
        <v>121</v>
      </c>
      <c r="B11" s="13"/>
      <c r="C11" s="13"/>
      <c r="D11" s="23">
        <v>0.51500000000000001</v>
      </c>
      <c r="E11" s="23">
        <v>5.8058252427184473E-2</v>
      </c>
      <c r="F11" s="24">
        <v>2.9899999999999999E-2</v>
      </c>
      <c r="G11" s="22"/>
      <c r="H11" s="191">
        <v>0.52</v>
      </c>
      <c r="I11" s="23">
        <v>8.8400000000000006E-2</v>
      </c>
      <c r="J11" s="24">
        <v>3.0700000000000002E-2</v>
      </c>
      <c r="K11" s="22"/>
      <c r="L11" s="218">
        <v>43159</v>
      </c>
      <c r="M11" s="106">
        <f t="shared" ref="M11:M19" si="0">M10</f>
        <v>2.451496550967695E-2</v>
      </c>
      <c r="N11" s="22">
        <f t="shared" ref="N11:N19" si="1">$N$5*M11/12</f>
        <v>123156.57601501765</v>
      </c>
    </row>
    <row r="12" spans="1:14" s="3" customFormat="1" x14ac:dyDescent="0.2">
      <c r="A12" s="12" t="s">
        <v>9</v>
      </c>
      <c r="B12" s="13"/>
      <c r="C12" s="13"/>
      <c r="D12" s="25">
        <v>0.48499999999999999</v>
      </c>
      <c r="E12" s="23">
        <v>9.5000000000000001E-2</v>
      </c>
      <c r="F12" s="26">
        <v>4.6100000000000002E-2</v>
      </c>
      <c r="G12" s="22"/>
      <c r="H12" s="192">
        <v>0.48</v>
      </c>
      <c r="I12" s="25">
        <v>9.8000000000000004E-2</v>
      </c>
      <c r="J12" s="26">
        <v>4.7E-2</v>
      </c>
      <c r="K12" s="22"/>
      <c r="L12" s="218">
        <v>43190</v>
      </c>
      <c r="M12" s="106">
        <f t="shared" si="0"/>
        <v>2.451496550967695E-2</v>
      </c>
      <c r="N12" s="22">
        <f t="shared" si="1"/>
        <v>123156.57601501765</v>
      </c>
    </row>
    <row r="13" spans="1:14" s="3" customFormat="1" ht="15.75" thickBot="1" x14ac:dyDescent="0.25">
      <c r="A13" s="12" t="s">
        <v>10</v>
      </c>
      <c r="B13" s="13"/>
      <c r="C13" s="13"/>
      <c r="D13" s="27">
        <f>D10+D11+D12</f>
        <v>1</v>
      </c>
      <c r="E13" s="28"/>
      <c r="F13" s="29">
        <f>F10+F11+F12</f>
        <v>7.5999999999999998E-2</v>
      </c>
      <c r="G13" s="28"/>
      <c r="H13" s="193">
        <f>H10+H11+H12</f>
        <v>1</v>
      </c>
      <c r="I13" s="28"/>
      <c r="J13" s="29">
        <f>J10+J11+J12</f>
        <v>7.7700000000000005E-2</v>
      </c>
      <c r="K13" s="22"/>
      <c r="L13" s="218">
        <v>43220</v>
      </c>
      <c r="M13" s="106">
        <f t="shared" si="0"/>
        <v>2.451496550967695E-2</v>
      </c>
      <c r="N13" s="22">
        <f t="shared" si="1"/>
        <v>123156.57601501765</v>
      </c>
    </row>
    <row r="14" spans="1:14" s="3" customFormat="1" ht="15.75" thickTop="1" x14ac:dyDescent="0.2">
      <c r="A14" s="12"/>
      <c r="B14" s="13"/>
      <c r="C14" s="13"/>
      <c r="D14" s="14"/>
      <c r="E14" s="14"/>
      <c r="F14" s="21"/>
      <c r="G14" s="14"/>
      <c r="H14" s="190"/>
      <c r="I14" s="14"/>
      <c r="J14" s="21"/>
      <c r="L14" s="218">
        <v>43251</v>
      </c>
      <c r="M14" s="106">
        <f t="shared" si="0"/>
        <v>2.451496550967695E-2</v>
      </c>
      <c r="N14" s="22">
        <f t="shared" si="1"/>
        <v>123156.57601501765</v>
      </c>
    </row>
    <row r="15" spans="1:14" s="3" customFormat="1" x14ac:dyDescent="0.2">
      <c r="A15" s="12" t="s">
        <v>11</v>
      </c>
      <c r="B15" s="13"/>
      <c r="C15" s="13"/>
      <c r="D15" s="14"/>
      <c r="E15" s="14"/>
      <c r="F15" s="24">
        <v>0.21</v>
      </c>
      <c r="G15" s="28"/>
      <c r="H15" s="190"/>
      <c r="I15" s="14"/>
      <c r="J15" s="24">
        <v>0.35</v>
      </c>
      <c r="L15" s="218">
        <v>43281</v>
      </c>
      <c r="M15" s="106">
        <f t="shared" si="0"/>
        <v>2.451496550967695E-2</v>
      </c>
      <c r="N15" s="22">
        <f t="shared" si="1"/>
        <v>123156.57601501765</v>
      </c>
    </row>
    <row r="16" spans="1:14" s="3" customFormat="1" x14ac:dyDescent="0.2">
      <c r="A16" s="12" t="s">
        <v>12</v>
      </c>
      <c r="B16" s="13"/>
      <c r="C16" s="13"/>
      <c r="D16" s="14"/>
      <c r="E16" s="14"/>
      <c r="F16" s="24">
        <v>4.5462000000000002E-2</v>
      </c>
      <c r="G16" s="28"/>
      <c r="H16" s="190"/>
      <c r="I16" s="14"/>
      <c r="J16" s="24">
        <v>4.5462000000000002E-2</v>
      </c>
      <c r="L16" s="218">
        <v>43312</v>
      </c>
      <c r="M16" s="106">
        <f t="shared" si="0"/>
        <v>2.451496550967695E-2</v>
      </c>
      <c r="N16" s="22">
        <f t="shared" si="1"/>
        <v>123156.57601501765</v>
      </c>
    </row>
    <row r="17" spans="1:46" x14ac:dyDescent="0.2">
      <c r="A17" s="12" t="s">
        <v>13</v>
      </c>
      <c r="B17" s="13"/>
      <c r="C17" s="13"/>
      <c r="D17" s="14"/>
      <c r="E17" s="14"/>
      <c r="F17" s="24">
        <v>2.451496550967695E-2</v>
      </c>
      <c r="H17" s="190"/>
      <c r="I17" s="14"/>
      <c r="J17" s="24">
        <v>2.790316331356538E-2</v>
      </c>
      <c r="K17" s="3"/>
      <c r="L17" s="218">
        <v>43343</v>
      </c>
      <c r="M17" s="106">
        <f t="shared" si="0"/>
        <v>2.451496550967695E-2</v>
      </c>
      <c r="N17" s="22">
        <f t="shared" si="1"/>
        <v>123156.57601501765</v>
      </c>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row>
    <row r="18" spans="1:46" x14ac:dyDescent="0.2">
      <c r="A18" s="12" t="s">
        <v>14</v>
      </c>
      <c r="B18" s="13"/>
      <c r="C18" s="13"/>
      <c r="D18" s="14"/>
      <c r="E18" s="14"/>
      <c r="F18" s="30">
        <v>0</v>
      </c>
      <c r="G18" s="5"/>
      <c r="H18" s="190"/>
      <c r="I18" s="14"/>
      <c r="J18" s="30">
        <v>1</v>
      </c>
      <c r="K18" s="3"/>
      <c r="L18" s="218">
        <v>43373</v>
      </c>
      <c r="M18" s="106">
        <f t="shared" si="0"/>
        <v>2.451496550967695E-2</v>
      </c>
      <c r="N18" s="22">
        <f t="shared" si="1"/>
        <v>123156.57601501765</v>
      </c>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row>
    <row r="19" spans="1:46" x14ac:dyDescent="0.2">
      <c r="A19" s="12"/>
      <c r="B19" s="13"/>
      <c r="C19" s="13"/>
      <c r="D19" s="14"/>
      <c r="E19" s="14"/>
      <c r="F19" s="15"/>
      <c r="G19" s="5"/>
      <c r="H19" s="195"/>
      <c r="I19" s="14"/>
      <c r="J19" s="21"/>
      <c r="K19" s="3"/>
      <c r="L19" s="218">
        <v>43404</v>
      </c>
      <c r="M19" s="106">
        <f t="shared" si="0"/>
        <v>2.451496550967695E-2</v>
      </c>
      <c r="N19" s="22">
        <f t="shared" si="1"/>
        <v>123156.57601501765</v>
      </c>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6" x14ac:dyDescent="0.2">
      <c r="A20" s="12" t="s">
        <v>15</v>
      </c>
      <c r="B20" s="13"/>
      <c r="C20" s="13"/>
      <c r="D20" s="14"/>
      <c r="E20" s="14"/>
      <c r="F20" s="15"/>
      <c r="G20" s="5"/>
      <c r="H20" s="195"/>
      <c r="I20" s="14"/>
      <c r="J20" s="21"/>
      <c r="K20" s="3"/>
      <c r="N20" s="117">
        <f>SUM(N8:N19)</f>
        <v>1494900.3042855277</v>
      </c>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row>
    <row r="21" spans="1:46" x14ac:dyDescent="0.2">
      <c r="A21" s="12" t="s">
        <v>16</v>
      </c>
      <c r="B21" s="13"/>
      <c r="C21" s="13"/>
      <c r="D21" s="14"/>
      <c r="E21" s="14"/>
      <c r="F21" s="15"/>
      <c r="H21" s="195"/>
      <c r="I21" s="14"/>
      <c r="J21" s="21"/>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row>
    <row r="22" spans="1:46" ht="15.75" thickBot="1" x14ac:dyDescent="0.25">
      <c r="A22" s="31" t="s">
        <v>17</v>
      </c>
      <c r="B22" s="32"/>
      <c r="C22" s="32"/>
      <c r="D22" s="32"/>
      <c r="E22" s="33"/>
      <c r="F22" s="57">
        <v>60284764.079999998</v>
      </c>
      <c r="H22" s="197"/>
      <c r="I22" s="33"/>
      <c r="J22" s="198"/>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row>
    <row r="23" spans="1:46" ht="6" customHeight="1" x14ac:dyDescent="0.2">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row>
    <row r="24" spans="1:46" ht="6" customHeight="1" x14ac:dyDescent="0.2">
      <c r="B24" s="3"/>
      <c r="C24" s="3"/>
      <c r="D24" s="106"/>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row>
    <row r="25" spans="1:46" x14ac:dyDescent="0.2">
      <c r="A25" s="2"/>
      <c r="B25" s="2"/>
      <c r="C25" s="2"/>
      <c r="D25" s="184"/>
      <c r="E25" s="36" t="s">
        <v>18</v>
      </c>
      <c r="F25" s="95" t="s">
        <v>19</v>
      </c>
      <c r="G25" s="37" t="s">
        <v>20</v>
      </c>
      <c r="H25" s="37" t="s">
        <v>21</v>
      </c>
      <c r="I25" s="37" t="s">
        <v>22</v>
      </c>
      <c r="J25" s="37" t="s">
        <v>23</v>
      </c>
      <c r="K25" s="37" t="s">
        <v>24</v>
      </c>
      <c r="L25" s="37" t="s">
        <v>25</v>
      </c>
      <c r="M25" s="37" t="s">
        <v>26</v>
      </c>
      <c r="N25" s="37" t="s">
        <v>27</v>
      </c>
      <c r="O25" s="37" t="s">
        <v>28</v>
      </c>
      <c r="P25" s="37" t="s">
        <v>29</v>
      </c>
      <c r="Q25" s="37" t="s">
        <v>30</v>
      </c>
      <c r="R25" s="37" t="s">
        <v>31</v>
      </c>
      <c r="S25" s="37" t="s">
        <v>32</v>
      </c>
      <c r="T25" s="37" t="s">
        <v>33</v>
      </c>
      <c r="U25" s="37" t="s">
        <v>34</v>
      </c>
      <c r="V25" s="37" t="s">
        <v>35</v>
      </c>
      <c r="W25" s="37" t="s">
        <v>36</v>
      </c>
      <c r="X25" s="37" t="s">
        <v>37</v>
      </c>
      <c r="Y25" s="37" t="s">
        <v>38</v>
      </c>
      <c r="Z25" s="37" t="s">
        <v>39</v>
      </c>
      <c r="AA25" s="37" t="s">
        <v>40</v>
      </c>
      <c r="AB25" s="37" t="s">
        <v>41</v>
      </c>
      <c r="AC25" s="37" t="s">
        <v>42</v>
      </c>
      <c r="AD25" s="37" t="s">
        <v>43</v>
      </c>
      <c r="AE25" s="37" t="s">
        <v>44</v>
      </c>
      <c r="AF25" s="37" t="s">
        <v>45</v>
      </c>
      <c r="AG25" s="37" t="s">
        <v>46</v>
      </c>
      <c r="AH25" s="37" t="s">
        <v>47</v>
      </c>
      <c r="AI25" s="37" t="s">
        <v>48</v>
      </c>
      <c r="AJ25" s="37" t="s">
        <v>49</v>
      </c>
      <c r="AK25" s="37" t="s">
        <v>50</v>
      </c>
      <c r="AL25" s="37" t="s">
        <v>51</v>
      </c>
      <c r="AM25" s="37" t="s">
        <v>52</v>
      </c>
      <c r="AN25" s="37" t="s">
        <v>74</v>
      </c>
      <c r="AO25" s="37" t="s">
        <v>75</v>
      </c>
      <c r="AP25" s="37" t="s">
        <v>122</v>
      </c>
      <c r="AQ25" s="37" t="s">
        <v>123</v>
      </c>
      <c r="AR25" s="37" t="s">
        <v>124</v>
      </c>
      <c r="AS25" s="3" t="s">
        <v>125</v>
      </c>
    </row>
    <row r="26" spans="1:46" x14ac:dyDescent="0.2">
      <c r="A26" s="2"/>
      <c r="B26" s="2"/>
      <c r="C26" s="2"/>
      <c r="D26" s="184"/>
      <c r="E26" s="82">
        <v>2018</v>
      </c>
      <c r="F26" s="82">
        <v>2019</v>
      </c>
      <c r="G26" s="82">
        <v>2020</v>
      </c>
      <c r="H26" s="82">
        <v>2021</v>
      </c>
      <c r="I26" s="82">
        <v>2022</v>
      </c>
      <c r="J26" s="82">
        <v>2023</v>
      </c>
      <c r="K26" s="82">
        <v>2024</v>
      </c>
      <c r="L26" s="82">
        <v>2025</v>
      </c>
      <c r="M26" s="82">
        <v>2026</v>
      </c>
      <c r="N26" s="82">
        <v>2027</v>
      </c>
      <c r="O26" s="82">
        <v>2028</v>
      </c>
      <c r="P26" s="82">
        <v>2029</v>
      </c>
      <c r="Q26" s="82">
        <v>2030</v>
      </c>
      <c r="R26" s="82">
        <v>2031</v>
      </c>
      <c r="S26" s="82">
        <v>2032</v>
      </c>
      <c r="T26" s="82">
        <v>2033</v>
      </c>
      <c r="U26" s="82">
        <v>2034</v>
      </c>
      <c r="V26" s="82">
        <v>2035</v>
      </c>
      <c r="W26" s="82">
        <v>2036</v>
      </c>
      <c r="X26" s="82">
        <v>2037</v>
      </c>
      <c r="Y26" s="82">
        <v>2038</v>
      </c>
      <c r="Z26" s="82">
        <v>2039</v>
      </c>
      <c r="AA26" s="82">
        <v>2040</v>
      </c>
      <c r="AB26" s="82">
        <v>2041</v>
      </c>
      <c r="AC26" s="82">
        <v>2042</v>
      </c>
      <c r="AD26" s="82">
        <v>2043</v>
      </c>
      <c r="AE26" s="82">
        <v>2044</v>
      </c>
      <c r="AF26" s="82">
        <v>2045</v>
      </c>
      <c r="AG26" s="82">
        <v>2046</v>
      </c>
      <c r="AH26" s="82">
        <v>2047</v>
      </c>
      <c r="AI26" s="82">
        <v>2048</v>
      </c>
      <c r="AJ26" s="82">
        <v>2049</v>
      </c>
      <c r="AK26" s="82">
        <v>2050</v>
      </c>
      <c r="AL26" s="82">
        <v>2051</v>
      </c>
      <c r="AM26" s="82">
        <v>2052</v>
      </c>
      <c r="AN26" s="82">
        <v>2053</v>
      </c>
      <c r="AO26" s="82">
        <v>2054</v>
      </c>
      <c r="AP26" s="82">
        <v>2055</v>
      </c>
      <c r="AQ26" s="82">
        <v>2056</v>
      </c>
      <c r="AR26" s="82">
        <v>2057</v>
      </c>
    </row>
    <row r="27" spans="1:46" x14ac:dyDescent="0.2">
      <c r="A27" s="183">
        <v>1</v>
      </c>
      <c r="B27" s="2" t="s">
        <v>53</v>
      </c>
      <c r="C27" s="2"/>
      <c r="D27" s="184"/>
      <c r="E27" s="38">
        <f>N20</f>
        <v>1494900.3042855277</v>
      </c>
      <c r="F27" s="102">
        <f>$F22*$F17</f>
        <v>1477878.9121802119</v>
      </c>
      <c r="G27" s="102">
        <f t="shared" ref="G27:AR27" si="2">$F22*$F17</f>
        <v>1477878.9121802119</v>
      </c>
      <c r="H27" s="102">
        <f t="shared" si="2"/>
        <v>1477878.9121802119</v>
      </c>
      <c r="I27" s="102">
        <f t="shared" si="2"/>
        <v>1477878.9121802119</v>
      </c>
      <c r="J27" s="102">
        <f t="shared" si="2"/>
        <v>1477878.9121802119</v>
      </c>
      <c r="K27" s="102">
        <f t="shared" si="2"/>
        <v>1477878.9121802119</v>
      </c>
      <c r="L27" s="102">
        <f t="shared" si="2"/>
        <v>1477878.9121802119</v>
      </c>
      <c r="M27" s="102">
        <f t="shared" si="2"/>
        <v>1477878.9121802119</v>
      </c>
      <c r="N27" s="102">
        <f t="shared" si="2"/>
        <v>1477878.9121802119</v>
      </c>
      <c r="O27" s="102">
        <f t="shared" si="2"/>
        <v>1477878.9121802119</v>
      </c>
      <c r="P27" s="102">
        <f t="shared" si="2"/>
        <v>1477878.9121802119</v>
      </c>
      <c r="Q27" s="102">
        <f t="shared" si="2"/>
        <v>1477878.9121802119</v>
      </c>
      <c r="R27" s="102">
        <f t="shared" si="2"/>
        <v>1477878.9121802119</v>
      </c>
      <c r="S27" s="102">
        <f t="shared" si="2"/>
        <v>1477878.9121802119</v>
      </c>
      <c r="T27" s="102">
        <f t="shared" si="2"/>
        <v>1477878.9121802119</v>
      </c>
      <c r="U27" s="102">
        <f t="shared" si="2"/>
        <v>1477878.9121802119</v>
      </c>
      <c r="V27" s="102">
        <f t="shared" si="2"/>
        <v>1477878.9121802119</v>
      </c>
      <c r="W27" s="102">
        <f t="shared" si="2"/>
        <v>1477878.9121802119</v>
      </c>
      <c r="X27" s="102">
        <f t="shared" si="2"/>
        <v>1477878.9121802119</v>
      </c>
      <c r="Y27" s="102">
        <f t="shared" si="2"/>
        <v>1477878.9121802119</v>
      </c>
      <c r="Z27" s="102">
        <f t="shared" si="2"/>
        <v>1477878.9121802119</v>
      </c>
      <c r="AA27" s="102">
        <f t="shared" si="2"/>
        <v>1477878.9121802119</v>
      </c>
      <c r="AB27" s="102">
        <f t="shared" si="2"/>
        <v>1477878.9121802119</v>
      </c>
      <c r="AC27" s="102">
        <f t="shared" si="2"/>
        <v>1477878.9121802119</v>
      </c>
      <c r="AD27" s="102">
        <f t="shared" si="2"/>
        <v>1477878.9121802119</v>
      </c>
      <c r="AE27" s="102">
        <f t="shared" si="2"/>
        <v>1477878.9121802119</v>
      </c>
      <c r="AF27" s="102">
        <f t="shared" si="2"/>
        <v>1477878.9121802119</v>
      </c>
      <c r="AG27" s="102">
        <f t="shared" si="2"/>
        <v>1477878.9121802119</v>
      </c>
      <c r="AH27" s="102">
        <f t="shared" si="2"/>
        <v>1477878.9121802119</v>
      </c>
      <c r="AI27" s="102">
        <f t="shared" si="2"/>
        <v>1477878.9121802119</v>
      </c>
      <c r="AJ27" s="102">
        <f t="shared" si="2"/>
        <v>1477878.9121802119</v>
      </c>
      <c r="AK27" s="102">
        <f t="shared" si="2"/>
        <v>1477878.9121802119</v>
      </c>
      <c r="AL27" s="102">
        <f t="shared" si="2"/>
        <v>1477878.9121802119</v>
      </c>
      <c r="AM27" s="102">
        <f t="shared" si="2"/>
        <v>1477878.9121802119</v>
      </c>
      <c r="AN27" s="102">
        <f t="shared" si="2"/>
        <v>1477878.9121802119</v>
      </c>
      <c r="AO27" s="102">
        <f t="shared" si="2"/>
        <v>1477878.9121802119</v>
      </c>
      <c r="AP27" s="102">
        <f t="shared" si="2"/>
        <v>1477878.9121802119</v>
      </c>
      <c r="AQ27" s="102">
        <f t="shared" si="2"/>
        <v>1477878.9121802119</v>
      </c>
      <c r="AR27" s="102">
        <f t="shared" si="2"/>
        <v>1477878.9121802119</v>
      </c>
      <c r="AS27" s="102">
        <v>50237.303400000004</v>
      </c>
      <c r="AT27" s="105">
        <f>SUM(D27:AS27)</f>
        <v>59182415.182713844</v>
      </c>
    </row>
    <row r="28" spans="1:46" x14ac:dyDescent="0.2">
      <c r="A28" s="2"/>
      <c r="B28" s="2"/>
      <c r="C28" s="2"/>
      <c r="D28" s="184"/>
      <c r="E28" s="38"/>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39"/>
      <c r="AN28" s="102"/>
      <c r="AO28" s="102"/>
      <c r="AP28" s="204"/>
    </row>
    <row r="29" spans="1:46" x14ac:dyDescent="0.2">
      <c r="A29" s="183">
        <f>A27+1</f>
        <v>2</v>
      </c>
      <c r="B29" s="2" t="s">
        <v>54</v>
      </c>
      <c r="C29" s="2"/>
      <c r="D29" s="184"/>
      <c r="E29" s="38">
        <f>E53</f>
        <v>728501.04782231676</v>
      </c>
      <c r="F29" s="102">
        <f t="shared" ref="F29:AS29" si="3">F53</f>
        <v>705493.24906179088</v>
      </c>
      <c r="G29" s="102">
        <f t="shared" si="3"/>
        <v>680406.87037514627</v>
      </c>
      <c r="H29" s="102">
        <f t="shared" si="3"/>
        <v>656128.7640201957</v>
      </c>
      <c r="I29" s="102">
        <f t="shared" si="3"/>
        <v>632598.42592604412</v>
      </c>
      <c r="J29" s="102">
        <f t="shared" si="3"/>
        <v>609760.00618109677</v>
      </c>
      <c r="K29" s="102">
        <f t="shared" si="3"/>
        <v>587561.53333984176</v>
      </c>
      <c r="L29" s="102">
        <f t="shared" si="3"/>
        <v>565954.91442285012</v>
      </c>
      <c r="M29" s="102">
        <f t="shared" si="3"/>
        <v>544678.74081612867</v>
      </c>
      <c r="N29" s="102">
        <f t="shared" si="3"/>
        <v>523449.88449561945</v>
      </c>
      <c r="O29" s="102">
        <f t="shared" si="3"/>
        <v>502221.02817511029</v>
      </c>
      <c r="P29" s="102">
        <f t="shared" si="3"/>
        <v>480992.17185460124</v>
      </c>
      <c r="Q29" s="102">
        <f t="shared" si="3"/>
        <v>459763.31553409214</v>
      </c>
      <c r="R29" s="102">
        <f t="shared" si="3"/>
        <v>438534.45921358303</v>
      </c>
      <c r="S29" s="102">
        <f t="shared" si="3"/>
        <v>417305.60289307381</v>
      </c>
      <c r="T29" s="102">
        <f t="shared" si="3"/>
        <v>396076.74657256471</v>
      </c>
      <c r="U29" s="102">
        <f t="shared" si="3"/>
        <v>374847.89025205572</v>
      </c>
      <c r="V29" s="102">
        <f t="shared" si="3"/>
        <v>353619.03393154667</v>
      </c>
      <c r="W29" s="102">
        <f t="shared" si="3"/>
        <v>332390.17761103751</v>
      </c>
      <c r="X29" s="102">
        <f t="shared" si="3"/>
        <v>311161.3212905284</v>
      </c>
      <c r="Y29" s="102">
        <f t="shared" si="3"/>
        <v>291663.03653624654</v>
      </c>
      <c r="Z29" s="102">
        <f t="shared" si="3"/>
        <v>275625.11922120268</v>
      </c>
      <c r="AA29" s="102">
        <f t="shared" si="3"/>
        <v>261317.77347238603</v>
      </c>
      <c r="AB29" s="102">
        <f t="shared" si="3"/>
        <v>247010.42772356933</v>
      </c>
      <c r="AC29" s="102">
        <f t="shared" si="3"/>
        <v>232703.08197475271</v>
      </c>
      <c r="AD29" s="102">
        <f t="shared" si="3"/>
        <v>218395.73622593601</v>
      </c>
      <c r="AE29" s="102">
        <f t="shared" si="3"/>
        <v>204088.39047711936</v>
      </c>
      <c r="AF29" s="102">
        <f t="shared" si="3"/>
        <v>189781.04472830263</v>
      </c>
      <c r="AG29" s="102">
        <f t="shared" si="3"/>
        <v>175473.69897948598</v>
      </c>
      <c r="AH29" s="102">
        <f t="shared" si="3"/>
        <v>161166.35323066931</v>
      </c>
      <c r="AI29" s="102">
        <f t="shared" si="3"/>
        <v>146859.00748185266</v>
      </c>
      <c r="AJ29" s="102">
        <f t="shared" si="3"/>
        <v>132551.66173303599</v>
      </c>
      <c r="AK29" s="102">
        <f t="shared" si="3"/>
        <v>118244.3159842193</v>
      </c>
      <c r="AL29" s="102">
        <f t="shared" si="3"/>
        <v>103936.97023540264</v>
      </c>
      <c r="AM29" s="102">
        <f t="shared" si="3"/>
        <v>89629.624486585977</v>
      </c>
      <c r="AN29" s="102">
        <f t="shared" si="3"/>
        <v>75322.278737769302</v>
      </c>
      <c r="AO29" s="102">
        <f t="shared" si="3"/>
        <v>61014.932988952627</v>
      </c>
      <c r="AP29" s="102">
        <f t="shared" si="3"/>
        <v>46707.587240135952</v>
      </c>
      <c r="AQ29" s="102">
        <f t="shared" si="3"/>
        <v>32400.241491319288</v>
      </c>
      <c r="AR29" s="102">
        <f t="shared" si="3"/>
        <v>18092.895742502616</v>
      </c>
      <c r="AS29" s="102">
        <f t="shared" si="3"/>
        <v>10696.04920098661</v>
      </c>
      <c r="AT29" s="105">
        <f>SUM(D29:AS29)</f>
        <v>13394125.411681658</v>
      </c>
    </row>
    <row r="30" spans="1:46" x14ac:dyDescent="0.2">
      <c r="A30" s="2"/>
      <c r="B30" s="2"/>
      <c r="C30" s="2"/>
      <c r="D30" s="184"/>
      <c r="E30" s="38"/>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row>
    <row r="31" spans="1:46" x14ac:dyDescent="0.2">
      <c r="A31" s="2"/>
      <c r="B31" s="2" t="s">
        <v>55</v>
      </c>
      <c r="C31" s="2"/>
      <c r="D31" s="184"/>
      <c r="E31" s="38"/>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row>
    <row r="32" spans="1:46" x14ac:dyDescent="0.2">
      <c r="A32" s="183"/>
      <c r="B32" s="2"/>
      <c r="C32" s="2"/>
      <c r="D32" s="184"/>
      <c r="E32" s="38"/>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5"/>
    </row>
    <row r="33" spans="1:46" x14ac:dyDescent="0.2">
      <c r="A33" s="183">
        <v>3</v>
      </c>
      <c r="B33" s="13"/>
      <c r="C33" s="13" t="s">
        <v>121</v>
      </c>
      <c r="D33" s="184"/>
      <c r="E33" s="38">
        <f>E49*$F11</f>
        <v>1777494.3963031655</v>
      </c>
      <c r="F33" s="102">
        <f t="shared" ref="F33:AS33" si="4">F49*$F11</f>
        <v>1721356.8883471298</v>
      </c>
      <c r="G33" s="102">
        <f t="shared" si="4"/>
        <v>1660147.7827839409</v>
      </c>
      <c r="H33" s="102">
        <f t="shared" si="4"/>
        <v>1600910.808276112</v>
      </c>
      <c r="I33" s="102">
        <f t="shared" si="4"/>
        <v>1543498.3388905164</v>
      </c>
      <c r="J33" s="102">
        <f t="shared" si="4"/>
        <v>1487774.1045350363</v>
      </c>
      <c r="K33" s="102">
        <f t="shared" si="4"/>
        <v>1433611.298318397</v>
      </c>
      <c r="L33" s="102">
        <f t="shared" si="4"/>
        <v>1380892.5765501645</v>
      </c>
      <c r="M33" s="102">
        <f t="shared" si="4"/>
        <v>1328980.119493624</v>
      </c>
      <c r="N33" s="102">
        <f t="shared" si="4"/>
        <v>1277183.1134873491</v>
      </c>
      <c r="O33" s="102">
        <f t="shared" si="4"/>
        <v>1225386.1074810743</v>
      </c>
      <c r="P33" s="102">
        <f t="shared" si="4"/>
        <v>1173589.1014747997</v>
      </c>
      <c r="Q33" s="102">
        <f t="shared" si="4"/>
        <v>1121792.0954685251</v>
      </c>
      <c r="R33" s="102">
        <f t="shared" si="4"/>
        <v>1069995.0894622502</v>
      </c>
      <c r="S33" s="102">
        <f t="shared" si="4"/>
        <v>1018198.0834559754</v>
      </c>
      <c r="T33" s="102">
        <f t="shared" si="4"/>
        <v>966401.07744970068</v>
      </c>
      <c r="U33" s="102">
        <f t="shared" si="4"/>
        <v>914604.07144342607</v>
      </c>
      <c r="V33" s="102">
        <f t="shared" si="4"/>
        <v>862807.06543715158</v>
      </c>
      <c r="W33" s="102">
        <f t="shared" si="4"/>
        <v>811010.05943087675</v>
      </c>
      <c r="X33" s="102">
        <f t="shared" si="4"/>
        <v>759213.05342460203</v>
      </c>
      <c r="Y33" s="102">
        <f t="shared" si="4"/>
        <v>711638.52763378574</v>
      </c>
      <c r="Z33" s="102">
        <f t="shared" si="4"/>
        <v>672507.06963371846</v>
      </c>
      <c r="AA33" s="102">
        <f t="shared" si="4"/>
        <v>637598.09184910974</v>
      </c>
      <c r="AB33" s="102">
        <f t="shared" si="4"/>
        <v>602689.11406450078</v>
      </c>
      <c r="AC33" s="102">
        <f t="shared" si="4"/>
        <v>567780.13627989194</v>
      </c>
      <c r="AD33" s="102">
        <f t="shared" si="4"/>
        <v>532871.15849528299</v>
      </c>
      <c r="AE33" s="102">
        <f t="shared" si="4"/>
        <v>497962.18071067409</v>
      </c>
      <c r="AF33" s="102">
        <f t="shared" si="4"/>
        <v>463053.20292606513</v>
      </c>
      <c r="AG33" s="102">
        <f t="shared" si="4"/>
        <v>428144.22514145635</v>
      </c>
      <c r="AH33" s="102">
        <f t="shared" si="4"/>
        <v>393235.24735684745</v>
      </c>
      <c r="AI33" s="102">
        <f t="shared" si="4"/>
        <v>358326.26957223855</v>
      </c>
      <c r="AJ33" s="102">
        <f t="shared" si="4"/>
        <v>323417.29178762971</v>
      </c>
      <c r="AK33" s="102">
        <f t="shared" si="4"/>
        <v>288508.31400302082</v>
      </c>
      <c r="AL33" s="102">
        <f t="shared" si="4"/>
        <v>253599.33621841192</v>
      </c>
      <c r="AM33" s="102">
        <f t="shared" si="4"/>
        <v>218690.35843380305</v>
      </c>
      <c r="AN33" s="102">
        <f t="shared" si="4"/>
        <v>183781.38064919415</v>
      </c>
      <c r="AO33" s="102">
        <f t="shared" si="4"/>
        <v>148872.40286458528</v>
      </c>
      <c r="AP33" s="102">
        <f t="shared" si="4"/>
        <v>113963.42507997638</v>
      </c>
      <c r="AQ33" s="102">
        <f t="shared" si="4"/>
        <v>79054.447295367514</v>
      </c>
      <c r="AR33" s="102">
        <f t="shared" si="4"/>
        <v>44145.46951075863</v>
      </c>
      <c r="AS33" s="102">
        <f t="shared" si="4"/>
        <v>26097.652946648566</v>
      </c>
      <c r="AT33" s="105">
        <f t="shared" ref="AT33:AT42" si="5">SUM(D33:AS33)</f>
        <v>32680780.533966795</v>
      </c>
    </row>
    <row r="34" spans="1:46" x14ac:dyDescent="0.2">
      <c r="A34" s="183">
        <f>A33+1</f>
        <v>4</v>
      </c>
      <c r="B34" s="2"/>
      <c r="C34" s="2" t="s">
        <v>9</v>
      </c>
      <c r="D34" s="184"/>
      <c r="E34" s="40">
        <f>E49*$F12</f>
        <v>2740551.5608553826</v>
      </c>
      <c r="F34" s="100">
        <f t="shared" ref="F34:AS34" si="6">F49*$F12</f>
        <v>2653998.4131372138</v>
      </c>
      <c r="G34" s="100">
        <f t="shared" si="6"/>
        <v>2559625.8456969792</v>
      </c>
      <c r="H34" s="100">
        <f t="shared" si="6"/>
        <v>2468293.9217902599</v>
      </c>
      <c r="I34" s="100">
        <f t="shared" si="6"/>
        <v>2379775.0308646425</v>
      </c>
      <c r="J34" s="100">
        <f t="shared" si="6"/>
        <v>2293859.0708717452</v>
      </c>
      <c r="K34" s="100">
        <f t="shared" si="6"/>
        <v>2210350.5301832142</v>
      </c>
      <c r="L34" s="100">
        <f t="shared" si="6"/>
        <v>2129068.4875907218</v>
      </c>
      <c r="M34" s="100">
        <f t="shared" si="6"/>
        <v>2049029.5487844839</v>
      </c>
      <c r="N34" s="100">
        <f t="shared" si="6"/>
        <v>1969168.6131025685</v>
      </c>
      <c r="O34" s="100">
        <f t="shared" si="6"/>
        <v>1889307.6774206532</v>
      </c>
      <c r="P34" s="100">
        <f t="shared" si="6"/>
        <v>1809446.741738738</v>
      </c>
      <c r="Q34" s="100">
        <f t="shared" si="6"/>
        <v>1729585.8060568231</v>
      </c>
      <c r="R34" s="100">
        <f t="shared" si="6"/>
        <v>1649724.8703749077</v>
      </c>
      <c r="S34" s="100">
        <f t="shared" si="6"/>
        <v>1569863.9346929921</v>
      </c>
      <c r="T34" s="100">
        <f t="shared" si="6"/>
        <v>1490002.999011077</v>
      </c>
      <c r="U34" s="100">
        <f t="shared" si="6"/>
        <v>1410142.0633291621</v>
      </c>
      <c r="V34" s="100">
        <f t="shared" si="6"/>
        <v>1330281.1276472472</v>
      </c>
      <c r="W34" s="100">
        <f t="shared" si="6"/>
        <v>1250420.1919653318</v>
      </c>
      <c r="X34" s="100">
        <f t="shared" si="6"/>
        <v>1170559.2562834164</v>
      </c>
      <c r="Y34" s="100">
        <f t="shared" si="6"/>
        <v>1097208.5660173085</v>
      </c>
      <c r="Z34" s="100">
        <f t="shared" si="6"/>
        <v>1036875.4484988101</v>
      </c>
      <c r="AA34" s="100">
        <f t="shared" si="6"/>
        <v>983052.57639611897</v>
      </c>
      <c r="AB34" s="100">
        <f t="shared" si="6"/>
        <v>929229.70429342764</v>
      </c>
      <c r="AC34" s="100">
        <f t="shared" si="6"/>
        <v>875406.83219073643</v>
      </c>
      <c r="AD34" s="100">
        <f t="shared" si="6"/>
        <v>821583.96008804499</v>
      </c>
      <c r="AE34" s="100">
        <f t="shared" si="6"/>
        <v>767761.08798535378</v>
      </c>
      <c r="AF34" s="100">
        <f t="shared" si="6"/>
        <v>713938.21588266233</v>
      </c>
      <c r="AG34" s="100">
        <f t="shared" si="6"/>
        <v>660115.34377997112</v>
      </c>
      <c r="AH34" s="100">
        <f t="shared" si="6"/>
        <v>606292.4716772798</v>
      </c>
      <c r="AI34" s="100">
        <f t="shared" si="6"/>
        <v>552469.59957458859</v>
      </c>
      <c r="AJ34" s="100">
        <f t="shared" si="6"/>
        <v>498646.72747189732</v>
      </c>
      <c r="AK34" s="100">
        <f t="shared" si="6"/>
        <v>444823.85536920599</v>
      </c>
      <c r="AL34" s="100">
        <f t="shared" si="6"/>
        <v>391000.98326651473</v>
      </c>
      <c r="AM34" s="100">
        <f t="shared" si="6"/>
        <v>337178.11116382346</v>
      </c>
      <c r="AN34" s="100">
        <f t="shared" si="6"/>
        <v>283355.23906113213</v>
      </c>
      <c r="AO34" s="100">
        <f t="shared" si="6"/>
        <v>229532.36695844086</v>
      </c>
      <c r="AP34" s="100">
        <f t="shared" si="6"/>
        <v>175709.49485574957</v>
      </c>
      <c r="AQ34" s="100">
        <f t="shared" si="6"/>
        <v>121886.62275305828</v>
      </c>
      <c r="AR34" s="100">
        <f t="shared" si="6"/>
        <v>68063.750650366987</v>
      </c>
      <c r="AS34" s="100">
        <f t="shared" si="6"/>
        <v>40237.51842275916</v>
      </c>
      <c r="AT34" s="105">
        <f t="shared" si="5"/>
        <v>50387424.167754821</v>
      </c>
    </row>
    <row r="35" spans="1:46" x14ac:dyDescent="0.2">
      <c r="A35" s="183">
        <f>A34+1</f>
        <v>5</v>
      </c>
      <c r="B35" s="2"/>
      <c r="C35" s="2" t="s">
        <v>58</v>
      </c>
      <c r="D35" s="184"/>
      <c r="E35" s="38">
        <f>E32+E33+E34</f>
        <v>4518045.9571585478</v>
      </c>
      <c r="F35" s="102">
        <f>F32+F33+F34</f>
        <v>4375355.3014843436</v>
      </c>
      <c r="G35" s="102">
        <f>G32+G33+G34</f>
        <v>4219773.6284809206</v>
      </c>
      <c r="H35" s="102">
        <f t="shared" ref="H35:AS35" si="7">H32+H33+H34</f>
        <v>4069204.7300663721</v>
      </c>
      <c r="I35" s="102">
        <f t="shared" si="7"/>
        <v>3923273.3697551591</v>
      </c>
      <c r="J35" s="102">
        <f t="shared" si="7"/>
        <v>3781633.1754067815</v>
      </c>
      <c r="K35" s="102">
        <f t="shared" si="7"/>
        <v>3643961.828501611</v>
      </c>
      <c r="L35" s="102">
        <f t="shared" si="7"/>
        <v>3509961.0641408861</v>
      </c>
      <c r="M35" s="102">
        <f t="shared" si="7"/>
        <v>3378009.6682781079</v>
      </c>
      <c r="N35" s="102">
        <f t="shared" si="7"/>
        <v>3246351.7265899177</v>
      </c>
      <c r="O35" s="102">
        <f t="shared" si="7"/>
        <v>3114693.7849017275</v>
      </c>
      <c r="P35" s="102">
        <f t="shared" si="7"/>
        <v>2983035.8432135377</v>
      </c>
      <c r="Q35" s="102">
        <f t="shared" si="7"/>
        <v>2851377.9015253484</v>
      </c>
      <c r="R35" s="102">
        <f t="shared" si="7"/>
        <v>2719719.9598371582</v>
      </c>
      <c r="S35" s="102">
        <f t="shared" si="7"/>
        <v>2588062.0181489675</v>
      </c>
      <c r="T35" s="102">
        <f t="shared" si="7"/>
        <v>2456404.0764607778</v>
      </c>
      <c r="U35" s="102">
        <f t="shared" si="7"/>
        <v>2324746.134772588</v>
      </c>
      <c r="V35" s="102">
        <f t="shared" si="7"/>
        <v>2193088.1930843988</v>
      </c>
      <c r="W35" s="102">
        <f t="shared" si="7"/>
        <v>2061430.2513962085</v>
      </c>
      <c r="X35" s="102">
        <f t="shared" si="7"/>
        <v>1929772.3097080183</v>
      </c>
      <c r="Y35" s="102">
        <f t="shared" si="7"/>
        <v>1808847.0936510942</v>
      </c>
      <c r="Z35" s="102">
        <f t="shared" si="7"/>
        <v>1709382.5181325285</v>
      </c>
      <c r="AA35" s="102">
        <f t="shared" si="7"/>
        <v>1620650.6682452287</v>
      </c>
      <c r="AB35" s="102">
        <f t="shared" si="7"/>
        <v>1531918.8183579284</v>
      </c>
      <c r="AC35" s="102">
        <f t="shared" si="7"/>
        <v>1443186.9684706284</v>
      </c>
      <c r="AD35" s="102">
        <f t="shared" si="7"/>
        <v>1354455.1185833281</v>
      </c>
      <c r="AE35" s="102">
        <f t="shared" si="7"/>
        <v>1265723.2686960278</v>
      </c>
      <c r="AF35" s="102">
        <f t="shared" si="7"/>
        <v>1176991.4188087275</v>
      </c>
      <c r="AG35" s="102">
        <f t="shared" si="7"/>
        <v>1088259.5689214275</v>
      </c>
      <c r="AH35" s="102">
        <f t="shared" si="7"/>
        <v>999527.71903412719</v>
      </c>
      <c r="AI35" s="102">
        <f t="shared" si="7"/>
        <v>910795.86914682714</v>
      </c>
      <c r="AJ35" s="102">
        <f t="shared" si="7"/>
        <v>822064.01925952709</v>
      </c>
      <c r="AK35" s="102">
        <f t="shared" si="7"/>
        <v>733332.16937222681</v>
      </c>
      <c r="AL35" s="102">
        <f t="shared" si="7"/>
        <v>644600.31948492664</v>
      </c>
      <c r="AM35" s="102">
        <f t="shared" si="7"/>
        <v>555868.46959762648</v>
      </c>
      <c r="AN35" s="102">
        <f t="shared" si="7"/>
        <v>467136.61971032631</v>
      </c>
      <c r="AO35" s="102">
        <f t="shared" si="7"/>
        <v>378404.76982302614</v>
      </c>
      <c r="AP35" s="102">
        <f t="shared" si="7"/>
        <v>289672.91993572598</v>
      </c>
      <c r="AQ35" s="102">
        <f t="shared" si="7"/>
        <v>200941.07004842581</v>
      </c>
      <c r="AR35" s="102">
        <f t="shared" si="7"/>
        <v>112209.22016112562</v>
      </c>
      <c r="AS35" s="102">
        <f t="shared" si="7"/>
        <v>66335.171369407733</v>
      </c>
      <c r="AT35" s="105">
        <f t="shared" si="5"/>
        <v>83068204.701721579</v>
      </c>
    </row>
    <row r="36" spans="1:46" x14ac:dyDescent="0.2">
      <c r="A36" s="2"/>
      <c r="B36" s="2"/>
      <c r="C36" s="2"/>
      <c r="D36" s="184"/>
      <c r="E36" s="38"/>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5">
        <f t="shared" si="5"/>
        <v>0</v>
      </c>
    </row>
    <row r="37" spans="1:46" x14ac:dyDescent="0.2">
      <c r="A37" s="183">
        <f>A35+1</f>
        <v>6</v>
      </c>
      <c r="B37" s="2" t="s">
        <v>59</v>
      </c>
      <c r="C37" s="2"/>
      <c r="D37" s="184"/>
      <c r="E37" s="41">
        <f>E27+E29+E35</f>
        <v>6741447.3092663921</v>
      </c>
      <c r="F37" s="99">
        <f>F27+F29+F35</f>
        <v>6558727.4627263462</v>
      </c>
      <c r="G37" s="99">
        <f t="shared" ref="G37:AS37" si="8">G27+G29+G35</f>
        <v>6378059.4110362791</v>
      </c>
      <c r="H37" s="99">
        <f t="shared" si="8"/>
        <v>6203212.4062667796</v>
      </c>
      <c r="I37" s="99">
        <f t="shared" si="8"/>
        <v>6033750.7078614151</v>
      </c>
      <c r="J37" s="99">
        <f t="shared" si="8"/>
        <v>5869272.09376809</v>
      </c>
      <c r="K37" s="99">
        <f t="shared" si="8"/>
        <v>5709402.2740216646</v>
      </c>
      <c r="L37" s="99">
        <f t="shared" si="8"/>
        <v>5553794.8907439485</v>
      </c>
      <c r="M37" s="99">
        <f t="shared" si="8"/>
        <v>5400567.3212744482</v>
      </c>
      <c r="N37" s="99">
        <f t="shared" si="8"/>
        <v>5247680.5232657492</v>
      </c>
      <c r="O37" s="99">
        <f t="shared" si="8"/>
        <v>5094793.7252570493</v>
      </c>
      <c r="P37" s="99">
        <f t="shared" si="8"/>
        <v>4941906.9272483513</v>
      </c>
      <c r="Q37" s="99">
        <f t="shared" si="8"/>
        <v>4789020.1292396523</v>
      </c>
      <c r="R37" s="99">
        <f t="shared" si="8"/>
        <v>4636133.3312309533</v>
      </c>
      <c r="S37" s="99">
        <f t="shared" si="8"/>
        <v>4483246.5332222534</v>
      </c>
      <c r="T37" s="99">
        <f t="shared" si="8"/>
        <v>4330359.7352135545</v>
      </c>
      <c r="U37" s="99">
        <f t="shared" si="8"/>
        <v>4177472.9372048555</v>
      </c>
      <c r="V37" s="99">
        <f t="shared" si="8"/>
        <v>4024586.1391961575</v>
      </c>
      <c r="W37" s="99">
        <f t="shared" si="8"/>
        <v>3871699.341187458</v>
      </c>
      <c r="X37" s="99">
        <f t="shared" si="8"/>
        <v>3718812.5431787586</v>
      </c>
      <c r="Y37" s="99">
        <f t="shared" si="8"/>
        <v>3578389.0423675524</v>
      </c>
      <c r="Z37" s="99">
        <f t="shared" si="8"/>
        <v>3462886.5495339427</v>
      </c>
      <c r="AA37" s="99">
        <f t="shared" si="8"/>
        <v>3359847.3538978267</v>
      </c>
      <c r="AB37" s="99">
        <f t="shared" si="8"/>
        <v>3256808.1582617098</v>
      </c>
      <c r="AC37" s="99">
        <f t="shared" si="8"/>
        <v>3153768.9626255929</v>
      </c>
      <c r="AD37" s="99">
        <f t="shared" si="8"/>
        <v>3050729.766989476</v>
      </c>
      <c r="AE37" s="99">
        <f t="shared" si="8"/>
        <v>2947690.5713533591</v>
      </c>
      <c r="AF37" s="99">
        <f t="shared" si="8"/>
        <v>2844651.3757172422</v>
      </c>
      <c r="AG37" s="99">
        <f t="shared" si="8"/>
        <v>2741612.1800811253</v>
      </c>
      <c r="AH37" s="99">
        <f t="shared" si="8"/>
        <v>2638572.9844450084</v>
      </c>
      <c r="AI37" s="99">
        <f t="shared" si="8"/>
        <v>2535533.7888088915</v>
      </c>
      <c r="AJ37" s="99">
        <f t="shared" si="8"/>
        <v>2432494.5931727747</v>
      </c>
      <c r="AK37" s="99">
        <f t="shared" si="8"/>
        <v>2329455.3975366578</v>
      </c>
      <c r="AL37" s="99">
        <f t="shared" si="8"/>
        <v>2226416.2019005413</v>
      </c>
      <c r="AM37" s="99">
        <f t="shared" si="8"/>
        <v>2123377.0062644244</v>
      </c>
      <c r="AN37" s="99">
        <f t="shared" si="8"/>
        <v>2020337.8106283075</v>
      </c>
      <c r="AO37" s="99">
        <f t="shared" si="8"/>
        <v>1917298.6149921906</v>
      </c>
      <c r="AP37" s="99">
        <f t="shared" si="8"/>
        <v>1814259.4193560737</v>
      </c>
      <c r="AQ37" s="99">
        <f t="shared" si="8"/>
        <v>1711220.2237199571</v>
      </c>
      <c r="AR37" s="99">
        <f t="shared" si="8"/>
        <v>1608181.0280838399</v>
      </c>
      <c r="AS37" s="99">
        <f t="shared" si="8"/>
        <v>127268.52397039435</v>
      </c>
      <c r="AT37" s="105">
        <f t="shared" si="5"/>
        <v>155644745.29611704</v>
      </c>
    </row>
    <row r="38" spans="1:46" x14ac:dyDescent="0.2">
      <c r="A38" s="183">
        <f>A37+1</f>
        <v>7</v>
      </c>
      <c r="B38" s="2" t="s">
        <v>60</v>
      </c>
      <c r="C38" s="2"/>
      <c r="D38" s="184"/>
      <c r="E38" s="40">
        <f t="shared" ref="E38:AS38" si="9">E37/(1-$F16)-E37</f>
        <v>321076.45538875181</v>
      </c>
      <c r="F38" s="100">
        <f t="shared" si="9"/>
        <v>312374.01539851259</v>
      </c>
      <c r="G38" s="100">
        <f t="shared" si="9"/>
        <v>303769.29671163578</v>
      </c>
      <c r="H38" s="100">
        <f t="shared" si="9"/>
        <v>295441.81835998222</v>
      </c>
      <c r="I38" s="100">
        <f t="shared" si="9"/>
        <v>287370.82722824626</v>
      </c>
      <c r="J38" s="100">
        <f t="shared" si="9"/>
        <v>279537.16659460869</v>
      </c>
      <c r="K38" s="100">
        <f t="shared" si="9"/>
        <v>271923.0100651551</v>
      </c>
      <c r="L38" s="100">
        <f t="shared" si="9"/>
        <v>264511.86157387309</v>
      </c>
      <c r="M38" s="100">
        <f t="shared" si="9"/>
        <v>257214.05702002347</v>
      </c>
      <c r="N38" s="100">
        <f t="shared" si="9"/>
        <v>249932.48246660456</v>
      </c>
      <c r="O38" s="100">
        <f t="shared" si="9"/>
        <v>242650.90791318566</v>
      </c>
      <c r="P38" s="100">
        <f t="shared" si="9"/>
        <v>235369.33335976582</v>
      </c>
      <c r="Q38" s="100">
        <f t="shared" si="9"/>
        <v>228087.75880634692</v>
      </c>
      <c r="R38" s="100">
        <f t="shared" si="9"/>
        <v>220806.18425292801</v>
      </c>
      <c r="S38" s="100">
        <f t="shared" si="9"/>
        <v>213524.60969950911</v>
      </c>
      <c r="T38" s="100">
        <f t="shared" si="9"/>
        <v>206243.0351460902</v>
      </c>
      <c r="U38" s="100">
        <f t="shared" si="9"/>
        <v>198961.4605926713</v>
      </c>
      <c r="V38" s="100">
        <f t="shared" si="9"/>
        <v>191679.88603925239</v>
      </c>
      <c r="W38" s="100">
        <f t="shared" si="9"/>
        <v>184398.31148583302</v>
      </c>
      <c r="X38" s="100">
        <f t="shared" si="9"/>
        <v>177116.73693241412</v>
      </c>
      <c r="Y38" s="100">
        <f t="shared" si="9"/>
        <v>170428.75468982244</v>
      </c>
      <c r="Z38" s="100">
        <f t="shared" si="9"/>
        <v>164927.69100330444</v>
      </c>
      <c r="AA38" s="100">
        <f t="shared" si="9"/>
        <v>160020.21962761367</v>
      </c>
      <c r="AB38" s="100">
        <f t="shared" si="9"/>
        <v>155112.74825192289</v>
      </c>
      <c r="AC38" s="100">
        <f t="shared" si="9"/>
        <v>150205.27687623212</v>
      </c>
      <c r="AD38" s="100">
        <f t="shared" si="9"/>
        <v>145297.80550054135</v>
      </c>
      <c r="AE38" s="100">
        <f t="shared" si="9"/>
        <v>140390.33412485057</v>
      </c>
      <c r="AF38" s="100">
        <f t="shared" si="9"/>
        <v>135482.86274915934</v>
      </c>
      <c r="AG38" s="100">
        <f t="shared" si="9"/>
        <v>130575.39137346856</v>
      </c>
      <c r="AH38" s="100">
        <f t="shared" si="9"/>
        <v>125667.91999777779</v>
      </c>
      <c r="AI38" s="100">
        <f t="shared" si="9"/>
        <v>120760.44862208702</v>
      </c>
      <c r="AJ38" s="100">
        <f t="shared" si="9"/>
        <v>115852.97724639624</v>
      </c>
      <c r="AK38" s="100">
        <f t="shared" si="9"/>
        <v>110945.50587070547</v>
      </c>
      <c r="AL38" s="100">
        <f t="shared" si="9"/>
        <v>106038.0344950147</v>
      </c>
      <c r="AM38" s="100">
        <f t="shared" si="9"/>
        <v>101130.56311932392</v>
      </c>
      <c r="AN38" s="100">
        <f t="shared" si="9"/>
        <v>96223.091743633151</v>
      </c>
      <c r="AO38" s="100">
        <f t="shared" si="9"/>
        <v>91315.620367942378</v>
      </c>
      <c r="AP38" s="100">
        <f t="shared" si="9"/>
        <v>86408.148992251605</v>
      </c>
      <c r="AQ38" s="100">
        <f t="shared" si="9"/>
        <v>81500.677616560832</v>
      </c>
      <c r="AR38" s="100">
        <f t="shared" si="9"/>
        <v>76593.206240870059</v>
      </c>
      <c r="AS38" s="100">
        <f t="shared" si="9"/>
        <v>6061.4471469360724</v>
      </c>
      <c r="AT38" s="105">
        <f t="shared" si="5"/>
        <v>7412927.9406918017</v>
      </c>
    </row>
    <row r="39" spans="1:46" x14ac:dyDescent="0.2">
      <c r="A39" s="183">
        <f>A38+1</f>
        <v>8</v>
      </c>
      <c r="B39" s="2"/>
      <c r="C39" s="2" t="s">
        <v>61</v>
      </c>
      <c r="D39" s="184"/>
      <c r="E39" s="41">
        <f>SUM(E37:E38)</f>
        <v>7062523.764655144</v>
      </c>
      <c r="F39" s="99">
        <f t="shared" ref="F39:AS39" si="10">SUM(F37:F38)</f>
        <v>6871101.4781248588</v>
      </c>
      <c r="G39" s="99">
        <f t="shared" si="10"/>
        <v>6681828.7077479148</v>
      </c>
      <c r="H39" s="99">
        <f t="shared" si="10"/>
        <v>6498654.2246267619</v>
      </c>
      <c r="I39" s="99">
        <f t="shared" si="10"/>
        <v>6321121.5350896614</v>
      </c>
      <c r="J39" s="99">
        <f t="shared" si="10"/>
        <v>6148809.2603626987</v>
      </c>
      <c r="K39" s="99">
        <f t="shared" si="10"/>
        <v>5981325.2840868197</v>
      </c>
      <c r="L39" s="99">
        <f t="shared" si="10"/>
        <v>5818306.7523178216</v>
      </c>
      <c r="M39" s="99">
        <f t="shared" si="10"/>
        <v>5657781.3782944717</v>
      </c>
      <c r="N39" s="99">
        <f t="shared" si="10"/>
        <v>5497613.0057323538</v>
      </c>
      <c r="O39" s="99">
        <f t="shared" si="10"/>
        <v>5337444.633170235</v>
      </c>
      <c r="P39" s="99">
        <f t="shared" si="10"/>
        <v>5177276.2606081171</v>
      </c>
      <c r="Q39" s="99">
        <f t="shared" si="10"/>
        <v>5017107.8880459992</v>
      </c>
      <c r="R39" s="99">
        <f t="shared" si="10"/>
        <v>4856939.5154838813</v>
      </c>
      <c r="S39" s="99">
        <f t="shared" si="10"/>
        <v>4696771.1429217625</v>
      </c>
      <c r="T39" s="99">
        <f t="shared" si="10"/>
        <v>4536602.7703596447</v>
      </c>
      <c r="U39" s="99">
        <f t="shared" si="10"/>
        <v>4376434.3977975268</v>
      </c>
      <c r="V39" s="99">
        <f t="shared" si="10"/>
        <v>4216266.0252354098</v>
      </c>
      <c r="W39" s="99">
        <f t="shared" si="10"/>
        <v>4056097.652673291</v>
      </c>
      <c r="X39" s="99">
        <f t="shared" si="10"/>
        <v>3895929.2801111727</v>
      </c>
      <c r="Y39" s="99">
        <f t="shared" si="10"/>
        <v>3748817.7970573748</v>
      </c>
      <c r="Z39" s="99">
        <f t="shared" si="10"/>
        <v>3627814.2405372472</v>
      </c>
      <c r="AA39" s="99">
        <f t="shared" si="10"/>
        <v>3519867.5735254404</v>
      </c>
      <c r="AB39" s="99">
        <f t="shared" si="10"/>
        <v>3411920.9065136327</v>
      </c>
      <c r="AC39" s="99">
        <f t="shared" si="10"/>
        <v>3303974.2395018251</v>
      </c>
      <c r="AD39" s="99">
        <f t="shared" si="10"/>
        <v>3196027.5724900174</v>
      </c>
      <c r="AE39" s="99">
        <f t="shared" si="10"/>
        <v>3088080.9054782097</v>
      </c>
      <c r="AF39" s="99">
        <f t="shared" si="10"/>
        <v>2980134.2384664016</v>
      </c>
      <c r="AG39" s="99">
        <f t="shared" si="10"/>
        <v>2872187.5714545939</v>
      </c>
      <c r="AH39" s="99">
        <f t="shared" si="10"/>
        <v>2764240.9044427862</v>
      </c>
      <c r="AI39" s="99">
        <f t="shared" si="10"/>
        <v>2656294.2374309786</v>
      </c>
      <c r="AJ39" s="99">
        <f t="shared" si="10"/>
        <v>2548347.5704191709</v>
      </c>
      <c r="AK39" s="99">
        <f t="shared" si="10"/>
        <v>2440400.9034073632</v>
      </c>
      <c r="AL39" s="99">
        <f t="shared" si="10"/>
        <v>2332454.236395556</v>
      </c>
      <c r="AM39" s="99">
        <f t="shared" si="10"/>
        <v>2224507.5693837483</v>
      </c>
      <c r="AN39" s="99">
        <f t="shared" si="10"/>
        <v>2116560.9023719407</v>
      </c>
      <c r="AO39" s="99">
        <f t="shared" si="10"/>
        <v>2008614.235360133</v>
      </c>
      <c r="AP39" s="99">
        <f t="shared" si="10"/>
        <v>1900667.5683483253</v>
      </c>
      <c r="AQ39" s="99">
        <f t="shared" si="10"/>
        <v>1792720.9013365179</v>
      </c>
      <c r="AR39" s="99">
        <f t="shared" si="10"/>
        <v>1684774.23432471</v>
      </c>
      <c r="AS39" s="99">
        <f t="shared" si="10"/>
        <v>133329.97111733042</v>
      </c>
      <c r="AT39" s="105">
        <f t="shared" si="5"/>
        <v>163057673.23680887</v>
      </c>
    </row>
    <row r="40" spans="1:46" x14ac:dyDescent="0.2">
      <c r="A40" s="183">
        <f t="shared" ref="A40:A66" si="11">A39+1</f>
        <v>9</v>
      </c>
      <c r="B40" s="2"/>
      <c r="C40" s="2"/>
      <c r="D40" s="184"/>
      <c r="E40" s="41"/>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105">
        <f t="shared" si="5"/>
        <v>0</v>
      </c>
    </row>
    <row r="41" spans="1:46" x14ac:dyDescent="0.2">
      <c r="A41" s="183">
        <f t="shared" si="11"/>
        <v>10</v>
      </c>
      <c r="B41" s="2"/>
      <c r="C41" s="2"/>
      <c r="D41" s="184"/>
      <c r="E41" s="38"/>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5">
        <f t="shared" si="5"/>
        <v>0</v>
      </c>
    </row>
    <row r="42" spans="1:46" x14ac:dyDescent="0.2">
      <c r="A42" s="183">
        <f t="shared" si="11"/>
        <v>11</v>
      </c>
      <c r="B42" s="2" t="s">
        <v>62</v>
      </c>
      <c r="C42" s="2"/>
      <c r="D42" s="184"/>
      <c r="E42" s="40">
        <f>E39</f>
        <v>7062523.764655144</v>
      </c>
      <c r="F42" s="100">
        <f>F39</f>
        <v>6871101.4781248588</v>
      </c>
      <c r="G42" s="100">
        <f t="shared" ref="G42:AS42" si="12">G39</f>
        <v>6681828.7077479148</v>
      </c>
      <c r="H42" s="100">
        <f t="shared" si="12"/>
        <v>6498654.2246267619</v>
      </c>
      <c r="I42" s="100">
        <f t="shared" si="12"/>
        <v>6321121.5350896614</v>
      </c>
      <c r="J42" s="100">
        <f t="shared" si="12"/>
        <v>6148809.2603626987</v>
      </c>
      <c r="K42" s="100">
        <f t="shared" si="12"/>
        <v>5981325.2840868197</v>
      </c>
      <c r="L42" s="100">
        <f t="shared" si="12"/>
        <v>5818306.7523178216</v>
      </c>
      <c r="M42" s="100">
        <f t="shared" si="12"/>
        <v>5657781.3782944717</v>
      </c>
      <c r="N42" s="100">
        <f t="shared" si="12"/>
        <v>5497613.0057323538</v>
      </c>
      <c r="O42" s="100">
        <f t="shared" si="12"/>
        <v>5337444.633170235</v>
      </c>
      <c r="P42" s="100">
        <f t="shared" si="12"/>
        <v>5177276.2606081171</v>
      </c>
      <c r="Q42" s="100">
        <f t="shared" si="12"/>
        <v>5017107.8880459992</v>
      </c>
      <c r="R42" s="100">
        <f t="shared" si="12"/>
        <v>4856939.5154838813</v>
      </c>
      <c r="S42" s="100">
        <f t="shared" si="12"/>
        <v>4696771.1429217625</v>
      </c>
      <c r="T42" s="100">
        <f t="shared" si="12"/>
        <v>4536602.7703596447</v>
      </c>
      <c r="U42" s="100">
        <f t="shared" si="12"/>
        <v>4376434.3977975268</v>
      </c>
      <c r="V42" s="100">
        <f t="shared" si="12"/>
        <v>4216266.0252354098</v>
      </c>
      <c r="W42" s="100">
        <f t="shared" si="12"/>
        <v>4056097.652673291</v>
      </c>
      <c r="X42" s="100">
        <f t="shared" si="12"/>
        <v>3895929.2801111727</v>
      </c>
      <c r="Y42" s="100">
        <f t="shared" si="12"/>
        <v>3748817.7970573748</v>
      </c>
      <c r="Z42" s="100">
        <f t="shared" si="12"/>
        <v>3627814.2405372472</v>
      </c>
      <c r="AA42" s="100">
        <f t="shared" si="12"/>
        <v>3519867.5735254404</v>
      </c>
      <c r="AB42" s="100">
        <f t="shared" si="12"/>
        <v>3411920.9065136327</v>
      </c>
      <c r="AC42" s="100">
        <f t="shared" si="12"/>
        <v>3303974.2395018251</v>
      </c>
      <c r="AD42" s="100">
        <f t="shared" si="12"/>
        <v>3196027.5724900174</v>
      </c>
      <c r="AE42" s="100">
        <f t="shared" si="12"/>
        <v>3088080.9054782097</v>
      </c>
      <c r="AF42" s="100">
        <f t="shared" si="12"/>
        <v>2980134.2384664016</v>
      </c>
      <c r="AG42" s="100">
        <f t="shared" si="12"/>
        <v>2872187.5714545939</v>
      </c>
      <c r="AH42" s="100">
        <f t="shared" si="12"/>
        <v>2764240.9044427862</v>
      </c>
      <c r="AI42" s="100">
        <f t="shared" si="12"/>
        <v>2656294.2374309786</v>
      </c>
      <c r="AJ42" s="100">
        <f t="shared" si="12"/>
        <v>2548347.5704191709</v>
      </c>
      <c r="AK42" s="100">
        <f t="shared" si="12"/>
        <v>2440400.9034073632</v>
      </c>
      <c r="AL42" s="100">
        <f t="shared" si="12"/>
        <v>2332454.236395556</v>
      </c>
      <c r="AM42" s="100">
        <f t="shared" si="12"/>
        <v>2224507.5693837483</v>
      </c>
      <c r="AN42" s="100">
        <f t="shared" si="12"/>
        <v>2116560.9023719407</v>
      </c>
      <c r="AO42" s="100">
        <f t="shared" si="12"/>
        <v>2008614.235360133</v>
      </c>
      <c r="AP42" s="100">
        <f t="shared" si="12"/>
        <v>1900667.5683483253</v>
      </c>
      <c r="AQ42" s="100">
        <f t="shared" si="12"/>
        <v>1792720.9013365179</v>
      </c>
      <c r="AR42" s="100">
        <f t="shared" si="12"/>
        <v>1684774.23432471</v>
      </c>
      <c r="AS42" s="100">
        <f t="shared" si="12"/>
        <v>133329.97111733042</v>
      </c>
      <c r="AT42" s="105">
        <f t="shared" si="5"/>
        <v>163057673.23680887</v>
      </c>
    </row>
    <row r="43" spans="1:46" x14ac:dyDescent="0.2">
      <c r="A43" s="183">
        <f t="shared" si="11"/>
        <v>12</v>
      </c>
      <c r="B43" s="2"/>
      <c r="C43" s="2"/>
      <c r="D43" s="184"/>
      <c r="E43" s="83"/>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row>
    <row r="44" spans="1:46" outlineLevel="1" x14ac:dyDescent="0.2">
      <c r="A44" s="183">
        <f t="shared" si="11"/>
        <v>13</v>
      </c>
      <c r="B44" s="2"/>
      <c r="C44" s="2"/>
      <c r="D44" s="184"/>
      <c r="E44" s="43"/>
      <c r="F44" s="18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row>
    <row r="45" spans="1:46" outlineLevel="1" x14ac:dyDescent="0.2">
      <c r="A45" s="183">
        <f t="shared" si="11"/>
        <v>14</v>
      </c>
      <c r="B45" s="2" t="s">
        <v>63</v>
      </c>
      <c r="C45" s="184"/>
      <c r="D45" s="184"/>
      <c r="E45" s="45">
        <f>+E42/$F$22</f>
        <v>0.11715271466075453</v>
      </c>
      <c r="F45" s="101">
        <f t="shared" ref="F45:AS45" si="13">+F42/$F$22</f>
        <v>0.11397741341421966</v>
      </c>
      <c r="G45" s="101">
        <f t="shared" si="13"/>
        <v>0.11083776821090141</v>
      </c>
      <c r="H45" s="101">
        <f t="shared" si="13"/>
        <v>0.10779928102568039</v>
      </c>
      <c r="I45" s="101">
        <f t="shared" si="13"/>
        <v>0.10485437956929401</v>
      </c>
      <c r="J45" s="101">
        <f t="shared" si="13"/>
        <v>0.10199607403626915</v>
      </c>
      <c r="K45" s="101">
        <f t="shared" si="13"/>
        <v>9.9217860024290561E-2</v>
      </c>
      <c r="L45" s="101">
        <f t="shared" si="13"/>
        <v>9.6513718534200849E-2</v>
      </c>
      <c r="M45" s="101">
        <f t="shared" si="13"/>
        <v>9.385093339316046E-2</v>
      </c>
      <c r="N45" s="101">
        <f t="shared" si="13"/>
        <v>9.1194070170645902E-2</v>
      </c>
      <c r="O45" s="101">
        <f t="shared" si="13"/>
        <v>8.8537206948131345E-2</v>
      </c>
      <c r="P45" s="101">
        <f t="shared" si="13"/>
        <v>8.5880343725616801E-2</v>
      </c>
      <c r="Q45" s="101">
        <f t="shared" si="13"/>
        <v>8.3223480503102257E-2</v>
      </c>
      <c r="R45" s="101">
        <f t="shared" si="13"/>
        <v>8.0566617280587713E-2</v>
      </c>
      <c r="S45" s="101">
        <f t="shared" si="13"/>
        <v>7.7909754058073155E-2</v>
      </c>
      <c r="T45" s="101">
        <f t="shared" si="13"/>
        <v>7.5252890835558611E-2</v>
      </c>
      <c r="U45" s="101">
        <f t="shared" si="13"/>
        <v>7.2596027613044067E-2</v>
      </c>
      <c r="V45" s="101">
        <f t="shared" si="13"/>
        <v>6.9939164390529537E-2</v>
      </c>
      <c r="W45" s="101">
        <f t="shared" si="13"/>
        <v>6.728230116801498E-2</v>
      </c>
      <c r="X45" s="101">
        <f t="shared" si="13"/>
        <v>6.4625437945500422E-2</v>
      </c>
      <c r="Y45" s="101">
        <f t="shared" si="13"/>
        <v>6.2185161612021277E-2</v>
      </c>
      <c r="Z45" s="101">
        <f t="shared" si="13"/>
        <v>6.0177961975981367E-2</v>
      </c>
      <c r="AA45" s="101">
        <f t="shared" si="13"/>
        <v>5.838734922897687E-2</v>
      </c>
      <c r="AB45" s="101">
        <f t="shared" si="13"/>
        <v>5.659673648197236E-2</v>
      </c>
      <c r="AC45" s="101">
        <f t="shared" si="13"/>
        <v>5.4806123734967849E-2</v>
      </c>
      <c r="AD45" s="101">
        <f t="shared" si="13"/>
        <v>5.3015510987963338E-2</v>
      </c>
      <c r="AE45" s="101">
        <f t="shared" si="13"/>
        <v>5.1224898240958827E-2</v>
      </c>
      <c r="AF45" s="101">
        <f t="shared" si="13"/>
        <v>4.9434285493954309E-2</v>
      </c>
      <c r="AG45" s="101">
        <f t="shared" si="13"/>
        <v>4.7643672746949799E-2</v>
      </c>
      <c r="AH45" s="101">
        <f t="shared" si="13"/>
        <v>4.5853059999945288E-2</v>
      </c>
      <c r="AI45" s="101">
        <f t="shared" si="13"/>
        <v>4.4062447252940777E-2</v>
      </c>
      <c r="AJ45" s="101">
        <f t="shared" si="13"/>
        <v>4.2271834505936266E-2</v>
      </c>
      <c r="AK45" s="101">
        <f t="shared" si="13"/>
        <v>4.0481221758931749E-2</v>
      </c>
      <c r="AL45" s="101">
        <f t="shared" si="13"/>
        <v>3.8690609011927252E-2</v>
      </c>
      <c r="AM45" s="101">
        <f t="shared" si="13"/>
        <v>3.6899996264922741E-2</v>
      </c>
      <c r="AN45" s="101">
        <f t="shared" si="13"/>
        <v>3.5109383517918223E-2</v>
      </c>
      <c r="AO45" s="101">
        <f t="shared" si="13"/>
        <v>3.3318770770913712E-2</v>
      </c>
      <c r="AP45" s="101">
        <f t="shared" si="13"/>
        <v>3.1528158023909202E-2</v>
      </c>
      <c r="AQ45" s="101">
        <f t="shared" si="13"/>
        <v>2.9737545276904698E-2</v>
      </c>
      <c r="AR45" s="101">
        <f t="shared" si="13"/>
        <v>2.7946932529900183E-2</v>
      </c>
      <c r="AS45" s="101">
        <f t="shared" si="13"/>
        <v>2.2116694516776557E-3</v>
      </c>
    </row>
    <row r="46" spans="1:46" outlineLevel="1" x14ac:dyDescent="0.2">
      <c r="A46" s="183">
        <f t="shared" si="11"/>
        <v>15</v>
      </c>
      <c r="B46" s="2"/>
      <c r="C46" s="2"/>
      <c r="D46" s="184"/>
      <c r="E46" s="43"/>
      <c r="F46" s="18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row>
    <row r="47" spans="1:46" outlineLevel="1" x14ac:dyDescent="0.2">
      <c r="A47" s="183">
        <f t="shared" si="11"/>
        <v>16</v>
      </c>
      <c r="B47" s="2"/>
      <c r="C47" s="2"/>
      <c r="D47" s="184"/>
      <c r="E47" s="43">
        <f>+E27/2</f>
        <v>747450.15214276384</v>
      </c>
      <c r="F47" s="99"/>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row>
    <row r="48" spans="1:46" outlineLevel="1" x14ac:dyDescent="0.2">
      <c r="A48" s="183">
        <f t="shared" si="11"/>
        <v>17</v>
      </c>
      <c r="B48" s="2"/>
      <c r="C48" s="2"/>
      <c r="D48" s="184"/>
      <c r="E48" s="43">
        <f>+E60/2</f>
        <v>89340.807350021758</v>
      </c>
      <c r="F48" s="99"/>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row>
    <row r="49" spans="1:46" x14ac:dyDescent="0.2">
      <c r="A49" s="183">
        <f t="shared" si="11"/>
        <v>18</v>
      </c>
      <c r="B49" s="46" t="s">
        <v>64</v>
      </c>
      <c r="C49" s="2"/>
      <c r="D49" s="184"/>
      <c r="E49" s="41">
        <f>F22-E27/2-E60/2</f>
        <v>59447973.12050721</v>
      </c>
      <c r="F49" s="118">
        <f>$F$22-(SUM($E$27:E27)+F27/2)-(SUM($E$60:E60)+F60/2)</f>
        <v>57570464.493215047</v>
      </c>
      <c r="G49" s="118">
        <f>$F$22-(SUM($E$27:F27)+G27/2)-(SUM($E$60:F60)+G60/2)</f>
        <v>55523337.216854215</v>
      </c>
      <c r="H49" s="118">
        <f>$F$22-(SUM($E$27:G27)+H27/2)-(SUM($E$60:G60)+H60/2)</f>
        <v>53542167.500873312</v>
      </c>
      <c r="I49" s="118">
        <f>$F$22-(SUM($E$27:H27)+I27/2)-(SUM($E$60:H60)+I60/2)</f>
        <v>51622018.023094192</v>
      </c>
      <c r="J49" s="118">
        <f>$F$22-(SUM($E$27:I27)+J27/2)-(SUM($E$60:I60)+J60/2)</f>
        <v>49758331.255352385</v>
      </c>
      <c r="K49" s="118">
        <f>$F$22-(SUM($E$27:J27)+K27/2)-(SUM($E$60:J60)+K60/2)</f>
        <v>47946866.164494887</v>
      </c>
      <c r="L49" s="118">
        <f>$F$22-(SUM($E$27:K27)+L27/2)-(SUM($E$60:K60)+L60/2)</f>
        <v>46183698.212380081</v>
      </c>
      <c r="M49" s="118">
        <f>$F$22-(SUM($E$27:L27)+M27/2)-(SUM($E$60:L60)+M60/2)</f>
        <v>44447495.63523826</v>
      </c>
      <c r="N49" s="118">
        <f>$F$22-(SUM($E$27:M27)+N27/2)-(SUM($E$60:M60)+N60/2)</f>
        <v>42715154.297235757</v>
      </c>
      <c r="O49" s="118">
        <f>$F$22-(SUM($E$27:N27)+O27/2)-(SUM($E$60:N60)+O60/2)</f>
        <v>40982812.959233254</v>
      </c>
      <c r="P49" s="118">
        <f>$F$22-(SUM($E$27:O27)+P27/2)-(SUM($E$60:O60)+P60/2)</f>
        <v>39250471.621230759</v>
      </c>
      <c r="Q49" s="118">
        <f>$F$22-(SUM($E$27:P27)+Q27/2)-(SUM($E$60:P60)+Q60/2)</f>
        <v>37518130.283228263</v>
      </c>
      <c r="R49" s="118">
        <f>$F$22-(SUM($E$27:Q27)+R27/2)-(SUM($E$60:Q60)+R60/2)</f>
        <v>35785788.94522576</v>
      </c>
      <c r="S49" s="118">
        <f>$F$22-(SUM($E$27:R27)+S27/2)-(SUM($E$60:R60)+S60/2)</f>
        <v>34053447.607223257</v>
      </c>
      <c r="T49" s="118">
        <f>$F$22-(SUM($E$27:S27)+T27/2)-(SUM($E$60:S60)+T60/2)</f>
        <v>32321106.269220758</v>
      </c>
      <c r="U49" s="118">
        <f>$F$22-(SUM($E$27:T27)+U27/2)-(SUM($E$60:T60)+U60/2)</f>
        <v>30588764.931218263</v>
      </c>
      <c r="V49" s="118">
        <f>$F$22-(SUM($E$27:U27)+V27/2)-(SUM($E$60:U60)+V60/2)</f>
        <v>28856423.593215771</v>
      </c>
      <c r="W49" s="118">
        <f>$F$22-(SUM($E$27:V27)+W27/2)-(SUM($E$60:V60)+W60/2)</f>
        <v>27124082.255213268</v>
      </c>
      <c r="X49" s="118">
        <f>$F$22-(SUM($E$27:W27)+X27/2)-(SUM($E$60:W60)+X60/2)</f>
        <v>25391740.917210769</v>
      </c>
      <c r="Y49" s="118">
        <f>$F$22-(SUM($E$27:X27)+Y27/2)-(SUM($E$60:X60)+Y60/2)</f>
        <v>23800619.653303873</v>
      </c>
      <c r="Z49" s="118">
        <f>$F$22-(SUM($E$27:Y27)+Z27/2)-(SUM($E$60:Y60)+Z60/2)</f>
        <v>22491875.238585901</v>
      </c>
      <c r="AA49" s="118">
        <f>$F$22-(SUM($E$27:Z27)+AA27/2)-(SUM($E$60:Z60)+AA60/2)</f>
        <v>21324350.897963535</v>
      </c>
      <c r="AB49" s="118">
        <f>$F$22-(SUM($E$27:AA27)+AB27/2)-(SUM($E$60:AA60)+AB60/2)</f>
        <v>20156826.557341162</v>
      </c>
      <c r="AC49" s="118">
        <f>$F$22-(SUM($E$27:AB27)+AC27/2)-(SUM($E$60:AB60)+AC60/2)</f>
        <v>18989302.216718793</v>
      </c>
      <c r="AD49" s="118">
        <f>$F$22-(SUM($E$27:AC27)+AD27/2)-(SUM($E$60:AC60)+AD60/2)</f>
        <v>17821777.87609642</v>
      </c>
      <c r="AE49" s="118">
        <f>$F$22-(SUM($E$27:AD27)+AE27/2)-(SUM($E$60:AD60)+AE60/2)</f>
        <v>16654253.535474051</v>
      </c>
      <c r="AF49" s="118">
        <f>$F$22-(SUM($E$27:AE27)+AF27/2)-(SUM($E$60:AE60)+AF60/2)</f>
        <v>15486729.194851678</v>
      </c>
      <c r="AG49" s="118">
        <f>$F$22-(SUM($E$27:AF27)+AG27/2)-(SUM($E$60:AF60)+AG60/2)</f>
        <v>14319204.854229309</v>
      </c>
      <c r="AH49" s="118">
        <f>$F$22-(SUM($E$27:AG27)+AH27/2)-(SUM($E$60:AG60)+AH60/2)</f>
        <v>13151680.513606938</v>
      </c>
      <c r="AI49" s="118">
        <f>$F$22-(SUM($E$27:AH27)+AI27/2)-(SUM($E$60:AH60)+AI60/2)</f>
        <v>11984156.172984567</v>
      </c>
      <c r="AJ49" s="118">
        <f>$F$22-(SUM($E$27:AI27)+AJ27/2)-(SUM($E$60:AI60)+AJ60/2)</f>
        <v>10816631.832362197</v>
      </c>
      <c r="AK49" s="118">
        <f>$F$22-(SUM($E$27:AJ27)+AK27/2)-(SUM($E$60:AJ60)+AK60/2)</f>
        <v>9649107.4917398263</v>
      </c>
      <c r="AL49" s="118">
        <f>$F$22-(SUM($E$27:AK27)+AL27/2)-(SUM($E$60:AK60)+AL60/2)</f>
        <v>8481583.1511174552</v>
      </c>
      <c r="AM49" s="118">
        <f>$F$22-(SUM($E$27:AL27)+AM27/2)-(SUM($E$60:AL60)+AM60/2)</f>
        <v>7314058.8104950851</v>
      </c>
      <c r="AN49" s="118">
        <f>$F$22-(SUM($E$27:AM27)+AN27/2)-(SUM($E$60:AM60)+AN60/2)</f>
        <v>6146534.469872714</v>
      </c>
      <c r="AO49" s="118">
        <f>$F$22-(SUM($E$27:AN27)+AO27/2)-(SUM($E$60:AN60)+AO60/2)</f>
        <v>4979010.1292503439</v>
      </c>
      <c r="AP49" s="118">
        <f>$F$22-(SUM($E$27:AO27)+AP27/2)-(SUM($E$60:AO60)+AP60/2)</f>
        <v>3811485.7886279728</v>
      </c>
      <c r="AQ49" s="118">
        <f>$F$22-(SUM($E$27:AP27)+AQ27/2)-(SUM($E$60:AP60)+AQ60/2)</f>
        <v>2643961.4480056027</v>
      </c>
      <c r="AR49" s="118">
        <f>$F$22-(SUM($E$27:AQ27)+AR27/2)-(SUM($E$60:AQ60)+AR60/2)</f>
        <v>1476437.1073832319</v>
      </c>
      <c r="AS49" s="118">
        <f>$F$22-(SUM($E$27:AR27)+AS27/2)-(SUM($E$60:AR60)+AS60/2)</f>
        <v>872831.20222904906</v>
      </c>
      <c r="AT49" s="105">
        <f t="shared" ref="AT49:AT60" si="14">SUM(D49:AS49)</f>
        <v>1093002693.4437053</v>
      </c>
    </row>
    <row r="50" spans="1:46" x14ac:dyDescent="0.2">
      <c r="A50" s="183">
        <f t="shared" si="11"/>
        <v>19</v>
      </c>
      <c r="B50" s="2"/>
      <c r="C50" s="2"/>
      <c r="D50" s="184"/>
      <c r="E50" s="84"/>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5">
        <f t="shared" si="14"/>
        <v>0</v>
      </c>
    </row>
    <row r="51" spans="1:46" x14ac:dyDescent="0.2">
      <c r="A51" s="183">
        <f t="shared" si="11"/>
        <v>20</v>
      </c>
      <c r="B51" s="2"/>
      <c r="C51" s="2"/>
      <c r="D51" s="184"/>
      <c r="E51" s="38"/>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5">
        <f t="shared" si="14"/>
        <v>0</v>
      </c>
    </row>
    <row r="52" spans="1:46" x14ac:dyDescent="0.2">
      <c r="A52" s="183">
        <f t="shared" si="11"/>
        <v>21</v>
      </c>
      <c r="B52" s="2" t="s">
        <v>65</v>
      </c>
      <c r="C52" s="2"/>
      <c r="D52" s="184"/>
      <c r="E52" s="38">
        <f>(E34)/(1-$F$15)</f>
        <v>3469052.6086776992</v>
      </c>
      <c r="F52" s="102">
        <f t="shared" ref="F52:AS52" si="15">(F34)/(1-$F$15)</f>
        <v>3359491.6621990046</v>
      </c>
      <c r="G52" s="102">
        <f t="shared" si="15"/>
        <v>3240032.7160721254</v>
      </c>
      <c r="H52" s="102">
        <f t="shared" si="15"/>
        <v>3124422.6858104556</v>
      </c>
      <c r="I52" s="102">
        <f t="shared" si="15"/>
        <v>3012373.4567906866</v>
      </c>
      <c r="J52" s="102">
        <f t="shared" si="15"/>
        <v>2903619.0770528419</v>
      </c>
      <c r="K52" s="102">
        <f t="shared" si="15"/>
        <v>2797912.063523056</v>
      </c>
      <c r="L52" s="102">
        <f t="shared" si="15"/>
        <v>2695023.4020135719</v>
      </c>
      <c r="M52" s="102">
        <f t="shared" si="15"/>
        <v>2593708.2896006126</v>
      </c>
      <c r="N52" s="102">
        <f t="shared" si="15"/>
        <v>2492618.497598188</v>
      </c>
      <c r="O52" s="102">
        <f t="shared" si="15"/>
        <v>2391528.7055957634</v>
      </c>
      <c r="P52" s="102">
        <f t="shared" si="15"/>
        <v>2290438.9135933393</v>
      </c>
      <c r="Q52" s="102">
        <f t="shared" si="15"/>
        <v>2189349.1215909151</v>
      </c>
      <c r="R52" s="102">
        <f t="shared" si="15"/>
        <v>2088259.3295884908</v>
      </c>
      <c r="S52" s="102">
        <f t="shared" si="15"/>
        <v>1987169.5375860659</v>
      </c>
      <c r="T52" s="102">
        <f t="shared" si="15"/>
        <v>1886079.7455836416</v>
      </c>
      <c r="U52" s="102">
        <f t="shared" si="15"/>
        <v>1784989.9535812177</v>
      </c>
      <c r="V52" s="102">
        <f t="shared" si="15"/>
        <v>1683900.1615787938</v>
      </c>
      <c r="W52" s="102">
        <f t="shared" si="15"/>
        <v>1582810.3695763692</v>
      </c>
      <c r="X52" s="102">
        <f t="shared" si="15"/>
        <v>1481720.5775739448</v>
      </c>
      <c r="Y52" s="102">
        <f t="shared" si="15"/>
        <v>1388871.602553555</v>
      </c>
      <c r="Z52" s="102">
        <f t="shared" si="15"/>
        <v>1312500.5677200127</v>
      </c>
      <c r="AA52" s="102">
        <f t="shared" si="15"/>
        <v>1244370.349868505</v>
      </c>
      <c r="AB52" s="102">
        <f t="shared" si="15"/>
        <v>1176240.1320169969</v>
      </c>
      <c r="AC52" s="102">
        <f t="shared" si="15"/>
        <v>1108109.9141654891</v>
      </c>
      <c r="AD52" s="102">
        <f t="shared" si="15"/>
        <v>1039979.696313981</v>
      </c>
      <c r="AE52" s="102">
        <f t="shared" si="15"/>
        <v>971849.47846247314</v>
      </c>
      <c r="AF52" s="102">
        <f t="shared" si="15"/>
        <v>903719.26061096496</v>
      </c>
      <c r="AG52" s="102">
        <f t="shared" si="15"/>
        <v>835589.04275945714</v>
      </c>
      <c r="AH52" s="102">
        <f t="shared" si="15"/>
        <v>767458.82490794908</v>
      </c>
      <c r="AI52" s="102">
        <f t="shared" si="15"/>
        <v>699328.60705644125</v>
      </c>
      <c r="AJ52" s="102">
        <f t="shared" si="15"/>
        <v>631198.38920493331</v>
      </c>
      <c r="AK52" s="102">
        <f t="shared" si="15"/>
        <v>563068.17135342525</v>
      </c>
      <c r="AL52" s="102">
        <f t="shared" si="15"/>
        <v>494937.95350191736</v>
      </c>
      <c r="AM52" s="102">
        <f t="shared" si="15"/>
        <v>426807.73565040942</v>
      </c>
      <c r="AN52" s="102">
        <f t="shared" si="15"/>
        <v>358677.51779890142</v>
      </c>
      <c r="AO52" s="102">
        <f t="shared" si="15"/>
        <v>290547.29994739348</v>
      </c>
      <c r="AP52" s="102">
        <f t="shared" si="15"/>
        <v>222417.0820958855</v>
      </c>
      <c r="AQ52" s="102">
        <f t="shared" si="15"/>
        <v>154286.86424437756</v>
      </c>
      <c r="AR52" s="102">
        <f t="shared" si="15"/>
        <v>86156.646392869603</v>
      </c>
      <c r="AS52" s="102">
        <f t="shared" si="15"/>
        <v>50933.567623745766</v>
      </c>
      <c r="AT52" s="105">
        <f t="shared" si="14"/>
        <v>63781549.579436459</v>
      </c>
    </row>
    <row r="53" spans="1:46" x14ac:dyDescent="0.2">
      <c r="A53" s="183">
        <f t="shared" si="11"/>
        <v>22</v>
      </c>
      <c r="B53" s="2" t="s">
        <v>66</v>
      </c>
      <c r="C53" s="2"/>
      <c r="D53" s="184"/>
      <c r="E53" s="40">
        <f t="shared" ref="E53:AS53" si="16">E52*$F15</f>
        <v>728501.04782231676</v>
      </c>
      <c r="F53" s="100">
        <f t="shared" si="16"/>
        <v>705493.24906179088</v>
      </c>
      <c r="G53" s="100">
        <f t="shared" si="16"/>
        <v>680406.87037514627</v>
      </c>
      <c r="H53" s="100">
        <f t="shared" si="16"/>
        <v>656128.7640201957</v>
      </c>
      <c r="I53" s="100">
        <f t="shared" si="16"/>
        <v>632598.42592604412</v>
      </c>
      <c r="J53" s="100">
        <f t="shared" si="16"/>
        <v>609760.00618109677</v>
      </c>
      <c r="K53" s="100">
        <f t="shared" si="16"/>
        <v>587561.53333984176</v>
      </c>
      <c r="L53" s="100">
        <f t="shared" si="16"/>
        <v>565954.91442285012</v>
      </c>
      <c r="M53" s="100">
        <f t="shared" si="16"/>
        <v>544678.74081612867</v>
      </c>
      <c r="N53" s="100">
        <f t="shared" si="16"/>
        <v>523449.88449561945</v>
      </c>
      <c r="O53" s="100">
        <f t="shared" si="16"/>
        <v>502221.02817511029</v>
      </c>
      <c r="P53" s="100">
        <f t="shared" si="16"/>
        <v>480992.17185460124</v>
      </c>
      <c r="Q53" s="100">
        <f t="shared" si="16"/>
        <v>459763.31553409214</v>
      </c>
      <c r="R53" s="100">
        <f t="shared" si="16"/>
        <v>438534.45921358303</v>
      </c>
      <c r="S53" s="100">
        <f t="shared" si="16"/>
        <v>417305.60289307381</v>
      </c>
      <c r="T53" s="100">
        <f t="shared" si="16"/>
        <v>396076.74657256471</v>
      </c>
      <c r="U53" s="100">
        <f t="shared" si="16"/>
        <v>374847.89025205572</v>
      </c>
      <c r="V53" s="100">
        <f t="shared" si="16"/>
        <v>353619.03393154667</v>
      </c>
      <c r="W53" s="100">
        <f t="shared" si="16"/>
        <v>332390.17761103751</v>
      </c>
      <c r="X53" s="100">
        <f t="shared" si="16"/>
        <v>311161.3212905284</v>
      </c>
      <c r="Y53" s="100">
        <f t="shared" si="16"/>
        <v>291663.03653624654</v>
      </c>
      <c r="Z53" s="100">
        <f t="shared" si="16"/>
        <v>275625.11922120268</v>
      </c>
      <c r="AA53" s="100">
        <f t="shared" si="16"/>
        <v>261317.77347238603</v>
      </c>
      <c r="AB53" s="100">
        <f t="shared" si="16"/>
        <v>247010.42772356933</v>
      </c>
      <c r="AC53" s="100">
        <f t="shared" si="16"/>
        <v>232703.08197475271</v>
      </c>
      <c r="AD53" s="100">
        <f t="shared" si="16"/>
        <v>218395.73622593601</v>
      </c>
      <c r="AE53" s="100">
        <f t="shared" si="16"/>
        <v>204088.39047711936</v>
      </c>
      <c r="AF53" s="100">
        <f t="shared" si="16"/>
        <v>189781.04472830263</v>
      </c>
      <c r="AG53" s="100">
        <f t="shared" si="16"/>
        <v>175473.69897948598</v>
      </c>
      <c r="AH53" s="100">
        <f t="shared" si="16"/>
        <v>161166.35323066931</v>
      </c>
      <c r="AI53" s="100">
        <f t="shared" si="16"/>
        <v>146859.00748185266</v>
      </c>
      <c r="AJ53" s="100">
        <f t="shared" si="16"/>
        <v>132551.66173303599</v>
      </c>
      <c r="AK53" s="100">
        <f t="shared" si="16"/>
        <v>118244.3159842193</v>
      </c>
      <c r="AL53" s="100">
        <f t="shared" si="16"/>
        <v>103936.97023540264</v>
      </c>
      <c r="AM53" s="100">
        <f t="shared" si="16"/>
        <v>89629.624486585977</v>
      </c>
      <c r="AN53" s="100">
        <f t="shared" si="16"/>
        <v>75322.278737769302</v>
      </c>
      <c r="AO53" s="100">
        <f t="shared" si="16"/>
        <v>61014.932988952627</v>
      </c>
      <c r="AP53" s="100">
        <f t="shared" si="16"/>
        <v>46707.587240135952</v>
      </c>
      <c r="AQ53" s="100">
        <f t="shared" si="16"/>
        <v>32400.241491319288</v>
      </c>
      <c r="AR53" s="100">
        <f t="shared" si="16"/>
        <v>18092.895742502616</v>
      </c>
      <c r="AS53" s="100">
        <f t="shared" si="16"/>
        <v>10696.04920098661</v>
      </c>
      <c r="AT53" s="105">
        <f t="shared" si="14"/>
        <v>13394125.411681658</v>
      </c>
    </row>
    <row r="54" spans="1:46" x14ac:dyDescent="0.2">
      <c r="A54" s="183">
        <f t="shared" si="11"/>
        <v>23</v>
      </c>
      <c r="B54" s="2" t="s">
        <v>67</v>
      </c>
      <c r="C54" s="2"/>
      <c r="D54" s="184"/>
      <c r="E54" s="38">
        <f>E52-E53</f>
        <v>2740551.5608553826</v>
      </c>
      <c r="F54" s="102">
        <f t="shared" ref="F54:AS54" si="17">F52-F53</f>
        <v>2653998.4131372138</v>
      </c>
      <c r="G54" s="102">
        <f t="shared" si="17"/>
        <v>2559625.8456969792</v>
      </c>
      <c r="H54" s="102">
        <f t="shared" si="17"/>
        <v>2468293.9217902599</v>
      </c>
      <c r="I54" s="102">
        <f t="shared" si="17"/>
        <v>2379775.0308646425</v>
      </c>
      <c r="J54" s="102">
        <f t="shared" si="17"/>
        <v>2293859.0708717452</v>
      </c>
      <c r="K54" s="102">
        <f t="shared" si="17"/>
        <v>2210350.5301832142</v>
      </c>
      <c r="L54" s="102">
        <f t="shared" si="17"/>
        <v>2129068.4875907218</v>
      </c>
      <c r="M54" s="102">
        <f t="shared" si="17"/>
        <v>2049029.5487844839</v>
      </c>
      <c r="N54" s="102">
        <f t="shared" si="17"/>
        <v>1969168.6131025685</v>
      </c>
      <c r="O54" s="102">
        <f t="shared" si="17"/>
        <v>1889307.6774206532</v>
      </c>
      <c r="P54" s="102">
        <f t="shared" si="17"/>
        <v>1809446.741738738</v>
      </c>
      <c r="Q54" s="102">
        <f t="shared" si="17"/>
        <v>1729585.8060568231</v>
      </c>
      <c r="R54" s="102">
        <f t="shared" si="17"/>
        <v>1649724.8703749077</v>
      </c>
      <c r="S54" s="102">
        <f t="shared" si="17"/>
        <v>1569863.9346929921</v>
      </c>
      <c r="T54" s="102">
        <f t="shared" si="17"/>
        <v>1490002.999011077</v>
      </c>
      <c r="U54" s="102">
        <f t="shared" si="17"/>
        <v>1410142.0633291621</v>
      </c>
      <c r="V54" s="102">
        <f t="shared" si="17"/>
        <v>1330281.1276472472</v>
      </c>
      <c r="W54" s="102">
        <f t="shared" si="17"/>
        <v>1250420.1919653318</v>
      </c>
      <c r="X54" s="102">
        <f t="shared" si="17"/>
        <v>1170559.2562834164</v>
      </c>
      <c r="Y54" s="102">
        <f t="shared" si="17"/>
        <v>1097208.5660173085</v>
      </c>
      <c r="Z54" s="102">
        <f t="shared" si="17"/>
        <v>1036875.4484988101</v>
      </c>
      <c r="AA54" s="102">
        <f t="shared" si="17"/>
        <v>983052.57639611897</v>
      </c>
      <c r="AB54" s="102">
        <f t="shared" si="17"/>
        <v>929229.70429342752</v>
      </c>
      <c r="AC54" s="102">
        <f t="shared" si="17"/>
        <v>875406.83219073643</v>
      </c>
      <c r="AD54" s="102">
        <f t="shared" si="17"/>
        <v>821583.96008804499</v>
      </c>
      <c r="AE54" s="102">
        <f t="shared" si="17"/>
        <v>767761.08798535378</v>
      </c>
      <c r="AF54" s="102">
        <f t="shared" si="17"/>
        <v>713938.21588266233</v>
      </c>
      <c r="AG54" s="102">
        <f t="shared" si="17"/>
        <v>660115.34377997112</v>
      </c>
      <c r="AH54" s="102">
        <f t="shared" si="17"/>
        <v>606292.4716772798</v>
      </c>
      <c r="AI54" s="102">
        <f t="shared" si="17"/>
        <v>552469.59957458859</v>
      </c>
      <c r="AJ54" s="102">
        <f t="shared" si="17"/>
        <v>498646.72747189732</v>
      </c>
      <c r="AK54" s="102">
        <f t="shared" si="17"/>
        <v>444823.85536920594</v>
      </c>
      <c r="AL54" s="102">
        <f t="shared" si="17"/>
        <v>391000.98326651473</v>
      </c>
      <c r="AM54" s="102">
        <f t="shared" si="17"/>
        <v>337178.11116382346</v>
      </c>
      <c r="AN54" s="102">
        <f t="shared" si="17"/>
        <v>283355.23906113213</v>
      </c>
      <c r="AO54" s="102">
        <f t="shared" si="17"/>
        <v>229532.36695844086</v>
      </c>
      <c r="AP54" s="102">
        <f t="shared" si="17"/>
        <v>175709.49485574954</v>
      </c>
      <c r="AQ54" s="102">
        <f t="shared" si="17"/>
        <v>121886.62275305827</v>
      </c>
      <c r="AR54" s="102">
        <f t="shared" si="17"/>
        <v>68063.750650366987</v>
      </c>
      <c r="AS54" s="102">
        <f t="shared" si="17"/>
        <v>40237.518422759153</v>
      </c>
      <c r="AT54" s="105">
        <f t="shared" si="14"/>
        <v>50387424.167754821</v>
      </c>
    </row>
    <row r="55" spans="1:46" x14ac:dyDescent="0.2">
      <c r="A55" s="183">
        <f t="shared" si="11"/>
        <v>24</v>
      </c>
      <c r="B55" s="2"/>
      <c r="C55" s="2"/>
      <c r="D55" s="184"/>
      <c r="E55" s="211"/>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4"/>
      <c r="AP55" s="204"/>
      <c r="AQ55" s="204"/>
      <c r="AR55" s="204"/>
      <c r="AS55" s="204"/>
      <c r="AT55" s="105">
        <f t="shared" si="14"/>
        <v>0</v>
      </c>
    </row>
    <row r="56" spans="1:46" x14ac:dyDescent="0.2">
      <c r="A56" s="183">
        <f t="shared" si="11"/>
        <v>25</v>
      </c>
      <c r="B56" s="2"/>
      <c r="C56" s="2"/>
      <c r="D56" s="184"/>
      <c r="E56" s="8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105">
        <f t="shared" si="14"/>
        <v>0</v>
      </c>
    </row>
    <row r="57" spans="1:46" x14ac:dyDescent="0.2">
      <c r="A57" s="183">
        <f t="shared" si="11"/>
        <v>26</v>
      </c>
      <c r="B57" s="2" t="s">
        <v>68</v>
      </c>
      <c r="C57" s="2"/>
      <c r="D57" s="184"/>
      <c r="E57" s="38">
        <f>E27</f>
        <v>1494900.3042855277</v>
      </c>
      <c r="F57" s="102">
        <f>F27</f>
        <v>1477878.9121802119</v>
      </c>
      <c r="G57" s="102">
        <f>G27</f>
        <v>1477878.9121802119</v>
      </c>
      <c r="H57" s="102">
        <f t="shared" ref="H57:AS57" si="18">H27</f>
        <v>1477878.9121802119</v>
      </c>
      <c r="I57" s="102">
        <f t="shared" si="18"/>
        <v>1477878.9121802119</v>
      </c>
      <c r="J57" s="102">
        <f t="shared" si="18"/>
        <v>1477878.9121802119</v>
      </c>
      <c r="K57" s="102">
        <f t="shared" si="18"/>
        <v>1477878.9121802119</v>
      </c>
      <c r="L57" s="102">
        <f t="shared" si="18"/>
        <v>1477878.9121802119</v>
      </c>
      <c r="M57" s="102">
        <f t="shared" si="18"/>
        <v>1477878.9121802119</v>
      </c>
      <c r="N57" s="102">
        <f t="shared" si="18"/>
        <v>1477878.9121802119</v>
      </c>
      <c r="O57" s="102">
        <f t="shared" si="18"/>
        <v>1477878.9121802119</v>
      </c>
      <c r="P57" s="102">
        <f t="shared" si="18"/>
        <v>1477878.9121802119</v>
      </c>
      <c r="Q57" s="102">
        <f t="shared" si="18"/>
        <v>1477878.9121802119</v>
      </c>
      <c r="R57" s="102">
        <f t="shared" si="18"/>
        <v>1477878.9121802119</v>
      </c>
      <c r="S57" s="102">
        <f t="shared" si="18"/>
        <v>1477878.9121802119</v>
      </c>
      <c r="T57" s="102">
        <f t="shared" si="18"/>
        <v>1477878.9121802119</v>
      </c>
      <c r="U57" s="102">
        <f t="shared" si="18"/>
        <v>1477878.9121802119</v>
      </c>
      <c r="V57" s="102">
        <f t="shared" si="18"/>
        <v>1477878.9121802119</v>
      </c>
      <c r="W57" s="102">
        <f t="shared" si="18"/>
        <v>1477878.9121802119</v>
      </c>
      <c r="X57" s="102">
        <f t="shared" si="18"/>
        <v>1477878.9121802119</v>
      </c>
      <c r="Y57" s="102">
        <f t="shared" si="18"/>
        <v>1477878.9121802119</v>
      </c>
      <c r="Z57" s="102">
        <f t="shared" si="18"/>
        <v>1477878.9121802119</v>
      </c>
      <c r="AA57" s="102">
        <f t="shared" si="18"/>
        <v>1477878.9121802119</v>
      </c>
      <c r="AB57" s="102">
        <f t="shared" si="18"/>
        <v>1477878.9121802119</v>
      </c>
      <c r="AC57" s="102">
        <f t="shared" si="18"/>
        <v>1477878.9121802119</v>
      </c>
      <c r="AD57" s="102">
        <f t="shared" si="18"/>
        <v>1477878.9121802119</v>
      </c>
      <c r="AE57" s="102">
        <f t="shared" si="18"/>
        <v>1477878.9121802119</v>
      </c>
      <c r="AF57" s="102">
        <f t="shared" si="18"/>
        <v>1477878.9121802119</v>
      </c>
      <c r="AG57" s="102">
        <f t="shared" si="18"/>
        <v>1477878.9121802119</v>
      </c>
      <c r="AH57" s="102">
        <f t="shared" si="18"/>
        <v>1477878.9121802119</v>
      </c>
      <c r="AI57" s="102">
        <f t="shared" si="18"/>
        <v>1477878.9121802119</v>
      </c>
      <c r="AJ57" s="102">
        <f t="shared" si="18"/>
        <v>1477878.9121802119</v>
      </c>
      <c r="AK57" s="102">
        <f t="shared" si="18"/>
        <v>1477878.9121802119</v>
      </c>
      <c r="AL57" s="102">
        <f t="shared" si="18"/>
        <v>1477878.9121802119</v>
      </c>
      <c r="AM57" s="102">
        <f t="shared" si="18"/>
        <v>1477878.9121802119</v>
      </c>
      <c r="AN57" s="102">
        <f t="shared" si="18"/>
        <v>1477878.9121802119</v>
      </c>
      <c r="AO57" s="102">
        <f t="shared" si="18"/>
        <v>1477878.9121802119</v>
      </c>
      <c r="AP57" s="102">
        <f t="shared" si="18"/>
        <v>1477878.9121802119</v>
      </c>
      <c r="AQ57" s="102">
        <f t="shared" si="18"/>
        <v>1477878.9121802119</v>
      </c>
      <c r="AR57" s="102">
        <f t="shared" si="18"/>
        <v>1477878.9121802119</v>
      </c>
      <c r="AS57" s="102">
        <f t="shared" si="18"/>
        <v>50237.303400000004</v>
      </c>
      <c r="AT57" s="105">
        <f t="shared" si="14"/>
        <v>59182415.182713844</v>
      </c>
    </row>
    <row r="58" spans="1:46" x14ac:dyDescent="0.2">
      <c r="A58" s="183">
        <f t="shared" si="11"/>
        <v>27</v>
      </c>
      <c r="B58" s="2" t="s">
        <v>69</v>
      </c>
      <c r="C58" s="2"/>
      <c r="D58" s="184"/>
      <c r="E58" s="38">
        <f>$F22*E62</f>
        <v>2260678.6529999999</v>
      </c>
      <c r="F58" s="102">
        <f t="shared" ref="F58:AS58" si="19">$F22*F62</f>
        <v>4351957.1189352004</v>
      </c>
      <c r="G58" s="102">
        <f t="shared" si="19"/>
        <v>4025213.6976215998</v>
      </c>
      <c r="H58" s="102">
        <f t="shared" si="19"/>
        <v>3723789.8772215997</v>
      </c>
      <c r="I58" s="102">
        <f t="shared" si="19"/>
        <v>3444068.5718903998</v>
      </c>
      <c r="J58" s="102">
        <f t="shared" si="19"/>
        <v>3186049.7816280001</v>
      </c>
      <c r="K58" s="102">
        <f t="shared" si="19"/>
        <v>2946719.2682304</v>
      </c>
      <c r="L58" s="102">
        <f t="shared" si="19"/>
        <v>2726077.0316976001</v>
      </c>
      <c r="M58" s="102">
        <f t="shared" si="19"/>
        <v>2689906.1732496</v>
      </c>
      <c r="N58" s="102">
        <f t="shared" si="19"/>
        <v>2689303.3256088002</v>
      </c>
      <c r="O58" s="102">
        <f t="shared" si="19"/>
        <v>2689906.1732496</v>
      </c>
      <c r="P58" s="102">
        <f t="shared" si="19"/>
        <v>2689303.3256088002</v>
      </c>
      <c r="Q58" s="102">
        <f t="shared" si="19"/>
        <v>2689906.1732496</v>
      </c>
      <c r="R58" s="102">
        <f t="shared" si="19"/>
        <v>2689303.3256088002</v>
      </c>
      <c r="S58" s="102">
        <f t="shared" si="19"/>
        <v>2689906.1732496</v>
      </c>
      <c r="T58" s="102">
        <f t="shared" si="19"/>
        <v>2689303.3256088002</v>
      </c>
      <c r="U58" s="102">
        <f t="shared" si="19"/>
        <v>2689906.1732496</v>
      </c>
      <c r="V58" s="102">
        <f t="shared" si="19"/>
        <v>2689303.3256088002</v>
      </c>
      <c r="W58" s="102">
        <f t="shared" si="19"/>
        <v>2689906.1732496</v>
      </c>
      <c r="X58" s="102">
        <f t="shared" si="19"/>
        <v>2689303.3256088002</v>
      </c>
      <c r="Y58" s="102">
        <f t="shared" si="19"/>
        <v>1344953.0866248</v>
      </c>
      <c r="Z58" s="102">
        <f t="shared" si="19"/>
        <v>0</v>
      </c>
      <c r="AA58" s="102">
        <f t="shared" si="19"/>
        <v>0</v>
      </c>
      <c r="AB58" s="102">
        <f t="shared" si="19"/>
        <v>0</v>
      </c>
      <c r="AC58" s="102">
        <f t="shared" si="19"/>
        <v>0</v>
      </c>
      <c r="AD58" s="102">
        <f t="shared" si="19"/>
        <v>0</v>
      </c>
      <c r="AE58" s="102">
        <f t="shared" si="19"/>
        <v>0</v>
      </c>
      <c r="AF58" s="102">
        <f t="shared" si="19"/>
        <v>0</v>
      </c>
      <c r="AG58" s="102">
        <f t="shared" si="19"/>
        <v>0</v>
      </c>
      <c r="AH58" s="102">
        <f t="shared" si="19"/>
        <v>0</v>
      </c>
      <c r="AI58" s="102">
        <f t="shared" si="19"/>
        <v>0</v>
      </c>
      <c r="AJ58" s="102">
        <f t="shared" si="19"/>
        <v>0</v>
      </c>
      <c r="AK58" s="102">
        <f t="shared" si="19"/>
        <v>0</v>
      </c>
      <c r="AL58" s="102">
        <f t="shared" si="19"/>
        <v>0</v>
      </c>
      <c r="AM58" s="102">
        <f t="shared" si="19"/>
        <v>0</v>
      </c>
      <c r="AN58" s="102">
        <f t="shared" si="19"/>
        <v>0</v>
      </c>
      <c r="AO58" s="102">
        <f t="shared" si="19"/>
        <v>0</v>
      </c>
      <c r="AP58" s="102">
        <f t="shared" si="19"/>
        <v>0</v>
      </c>
      <c r="AQ58" s="102">
        <f t="shared" si="19"/>
        <v>0</v>
      </c>
      <c r="AR58" s="102">
        <f t="shared" si="19"/>
        <v>0</v>
      </c>
      <c r="AS58" s="102">
        <f t="shared" si="19"/>
        <v>0</v>
      </c>
      <c r="AT58" s="105">
        <f t="shared" si="14"/>
        <v>60284764.079999998</v>
      </c>
    </row>
    <row r="59" spans="1:46" x14ac:dyDescent="0.2">
      <c r="A59" s="183">
        <f t="shared" si="11"/>
        <v>28</v>
      </c>
      <c r="B59" s="2" t="s">
        <v>70</v>
      </c>
      <c r="C59" s="2"/>
      <c r="D59" s="184"/>
      <c r="E59" s="38">
        <f>E58-E57</f>
        <v>765778.34871447226</v>
      </c>
      <c r="F59" s="102">
        <f>F58-F57</f>
        <v>2874078.2067549885</v>
      </c>
      <c r="G59" s="102">
        <f>G58-G57</f>
        <v>2547334.7854413879</v>
      </c>
      <c r="H59" s="102">
        <f t="shared" ref="H59:AS59" si="20">H58-H57</f>
        <v>2245910.9650413878</v>
      </c>
      <c r="I59" s="102">
        <f t="shared" si="20"/>
        <v>1966189.6597101879</v>
      </c>
      <c r="J59" s="102">
        <f t="shared" si="20"/>
        <v>1708170.8694477882</v>
      </c>
      <c r="K59" s="102">
        <f t="shared" si="20"/>
        <v>1468840.3560501882</v>
      </c>
      <c r="L59" s="102">
        <f t="shared" si="20"/>
        <v>1248198.1195173883</v>
      </c>
      <c r="M59" s="102">
        <f t="shared" si="20"/>
        <v>1212027.2610693881</v>
      </c>
      <c r="N59" s="102">
        <f t="shared" si="20"/>
        <v>1211424.4134285883</v>
      </c>
      <c r="O59" s="102">
        <f t="shared" si="20"/>
        <v>1212027.2610693881</v>
      </c>
      <c r="P59" s="102">
        <f t="shared" si="20"/>
        <v>1211424.4134285883</v>
      </c>
      <c r="Q59" s="102">
        <f t="shared" si="20"/>
        <v>1212027.2610693881</v>
      </c>
      <c r="R59" s="102">
        <f t="shared" si="20"/>
        <v>1211424.4134285883</v>
      </c>
      <c r="S59" s="102">
        <f t="shared" si="20"/>
        <v>1212027.2610693881</v>
      </c>
      <c r="T59" s="102">
        <f t="shared" si="20"/>
        <v>1211424.4134285883</v>
      </c>
      <c r="U59" s="102">
        <f t="shared" si="20"/>
        <v>1212027.2610693881</v>
      </c>
      <c r="V59" s="102">
        <f t="shared" si="20"/>
        <v>1211424.4134285883</v>
      </c>
      <c r="W59" s="102">
        <f t="shared" si="20"/>
        <v>1212027.2610693881</v>
      </c>
      <c r="X59" s="102">
        <f t="shared" si="20"/>
        <v>1211424.4134285883</v>
      </c>
      <c r="Y59" s="102">
        <f t="shared" si="20"/>
        <v>-132925.82555541187</v>
      </c>
      <c r="Z59" s="102">
        <f t="shared" si="20"/>
        <v>-1477878.9121802119</v>
      </c>
      <c r="AA59" s="102">
        <f t="shared" si="20"/>
        <v>-1477878.9121802119</v>
      </c>
      <c r="AB59" s="102">
        <f t="shared" si="20"/>
        <v>-1477878.9121802119</v>
      </c>
      <c r="AC59" s="102">
        <f t="shared" si="20"/>
        <v>-1477878.9121802119</v>
      </c>
      <c r="AD59" s="102">
        <f t="shared" si="20"/>
        <v>-1477878.9121802119</v>
      </c>
      <c r="AE59" s="102">
        <f t="shared" si="20"/>
        <v>-1477878.9121802119</v>
      </c>
      <c r="AF59" s="102">
        <f t="shared" si="20"/>
        <v>-1477878.9121802119</v>
      </c>
      <c r="AG59" s="102">
        <f t="shared" si="20"/>
        <v>-1477878.9121802119</v>
      </c>
      <c r="AH59" s="102">
        <f t="shared" si="20"/>
        <v>-1477878.9121802119</v>
      </c>
      <c r="AI59" s="102">
        <f t="shared" si="20"/>
        <v>-1477878.9121802119</v>
      </c>
      <c r="AJ59" s="102">
        <f t="shared" si="20"/>
        <v>-1477878.9121802119</v>
      </c>
      <c r="AK59" s="102">
        <f t="shared" si="20"/>
        <v>-1477878.9121802119</v>
      </c>
      <c r="AL59" s="102">
        <f t="shared" si="20"/>
        <v>-1477878.9121802119</v>
      </c>
      <c r="AM59" s="102">
        <f t="shared" si="20"/>
        <v>-1477878.9121802119</v>
      </c>
      <c r="AN59" s="102">
        <f t="shared" si="20"/>
        <v>-1477878.9121802119</v>
      </c>
      <c r="AO59" s="102">
        <f t="shared" si="20"/>
        <v>-1477878.9121802119</v>
      </c>
      <c r="AP59" s="102">
        <f t="shared" si="20"/>
        <v>-1477878.9121802119</v>
      </c>
      <c r="AQ59" s="102">
        <f t="shared" si="20"/>
        <v>-1477878.9121802119</v>
      </c>
      <c r="AR59" s="102">
        <f t="shared" si="20"/>
        <v>-1477878.9121802119</v>
      </c>
      <c r="AS59" s="102">
        <f t="shared" si="20"/>
        <v>-50237.303400000004</v>
      </c>
      <c r="AT59" s="105">
        <f t="shared" si="14"/>
        <v>1102348.8972862223</v>
      </c>
    </row>
    <row r="60" spans="1:46" x14ac:dyDescent="0.2">
      <c r="A60" s="183">
        <f t="shared" si="11"/>
        <v>29</v>
      </c>
      <c r="B60" s="2" t="s">
        <v>71</v>
      </c>
      <c r="C60" s="2"/>
      <c r="D60" s="184"/>
      <c r="E60" s="38">
        <f>E59/12*2*J15+E59/12*10*F15</f>
        <v>178681.61470004352</v>
      </c>
      <c r="F60" s="102">
        <f t="shared" ref="F60:AS60" si="21">F59*$F$15</f>
        <v>603556.42341854761</v>
      </c>
      <c r="G60" s="102">
        <f t="shared" si="21"/>
        <v>534940.30494269147</v>
      </c>
      <c r="H60" s="102">
        <f t="shared" si="21"/>
        <v>471641.30265869142</v>
      </c>
      <c r="I60" s="102">
        <f t="shared" si="21"/>
        <v>412899.82853913947</v>
      </c>
      <c r="J60" s="102">
        <f t="shared" si="21"/>
        <v>358715.88258403551</v>
      </c>
      <c r="K60" s="102">
        <f t="shared" si="21"/>
        <v>308456.4747705395</v>
      </c>
      <c r="L60" s="102">
        <f t="shared" si="21"/>
        <v>262121.60509865152</v>
      </c>
      <c r="M60" s="102">
        <f t="shared" si="21"/>
        <v>254525.72482457149</v>
      </c>
      <c r="N60" s="102">
        <f t="shared" si="21"/>
        <v>254399.12682000353</v>
      </c>
      <c r="O60" s="102">
        <f t="shared" si="21"/>
        <v>254525.72482457149</v>
      </c>
      <c r="P60" s="102">
        <f t="shared" si="21"/>
        <v>254399.12682000353</v>
      </c>
      <c r="Q60" s="102">
        <f t="shared" si="21"/>
        <v>254525.72482457149</v>
      </c>
      <c r="R60" s="102">
        <f t="shared" si="21"/>
        <v>254399.12682000353</v>
      </c>
      <c r="S60" s="102">
        <f t="shared" si="21"/>
        <v>254525.72482457149</v>
      </c>
      <c r="T60" s="102">
        <f t="shared" si="21"/>
        <v>254399.12682000353</v>
      </c>
      <c r="U60" s="102">
        <f t="shared" si="21"/>
        <v>254525.72482457149</v>
      </c>
      <c r="V60" s="102">
        <f t="shared" si="21"/>
        <v>254399.12682000353</v>
      </c>
      <c r="W60" s="102">
        <f t="shared" si="21"/>
        <v>254525.72482457149</v>
      </c>
      <c r="X60" s="102">
        <f t="shared" si="21"/>
        <v>254399.12682000353</v>
      </c>
      <c r="Y60" s="102">
        <f t="shared" si="21"/>
        <v>-27914.423366636493</v>
      </c>
      <c r="Z60" s="102">
        <f t="shared" si="21"/>
        <v>-310354.57155784447</v>
      </c>
      <c r="AA60" s="102">
        <f t="shared" si="21"/>
        <v>-310354.57155784447</v>
      </c>
      <c r="AB60" s="102">
        <f t="shared" si="21"/>
        <v>-310354.57155784447</v>
      </c>
      <c r="AC60" s="102">
        <f t="shared" si="21"/>
        <v>-310354.57155784447</v>
      </c>
      <c r="AD60" s="102">
        <f t="shared" si="21"/>
        <v>-310354.57155784447</v>
      </c>
      <c r="AE60" s="102">
        <f t="shared" si="21"/>
        <v>-310354.57155784447</v>
      </c>
      <c r="AF60" s="102">
        <f t="shared" si="21"/>
        <v>-310354.57155784447</v>
      </c>
      <c r="AG60" s="102">
        <f t="shared" si="21"/>
        <v>-310354.57155784447</v>
      </c>
      <c r="AH60" s="102">
        <f t="shared" si="21"/>
        <v>-310354.57155784447</v>
      </c>
      <c r="AI60" s="102">
        <f t="shared" si="21"/>
        <v>-310354.57155784447</v>
      </c>
      <c r="AJ60" s="102">
        <f t="shared" si="21"/>
        <v>-310354.57155784447</v>
      </c>
      <c r="AK60" s="102">
        <f t="shared" si="21"/>
        <v>-310354.57155784447</v>
      </c>
      <c r="AL60" s="102">
        <f t="shared" si="21"/>
        <v>-310354.57155784447</v>
      </c>
      <c r="AM60" s="102">
        <f t="shared" si="21"/>
        <v>-310354.57155784447</v>
      </c>
      <c r="AN60" s="102">
        <f t="shared" si="21"/>
        <v>-310354.57155784447</v>
      </c>
      <c r="AO60" s="102">
        <f t="shared" si="21"/>
        <v>-310354.57155784447</v>
      </c>
      <c r="AP60" s="102">
        <f t="shared" si="21"/>
        <v>-310354.57155784447</v>
      </c>
      <c r="AQ60" s="102">
        <f t="shared" si="21"/>
        <v>-310354.57155784447</v>
      </c>
      <c r="AR60" s="102">
        <f t="shared" si="21"/>
        <v>-310354.57155784447</v>
      </c>
      <c r="AS60" s="102">
        <f t="shared" si="21"/>
        <v>-10549.833714</v>
      </c>
      <c r="AT60" s="105">
        <f t="shared" si="14"/>
        <v>249361.42990011023</v>
      </c>
    </row>
    <row r="61" spans="1:46" x14ac:dyDescent="0.2">
      <c r="A61" s="183">
        <f t="shared" si="11"/>
        <v>30</v>
      </c>
      <c r="B61" s="2"/>
      <c r="C61" s="2"/>
      <c r="D61" s="184"/>
      <c r="E61" s="84"/>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84"/>
    </row>
    <row r="62" spans="1:46" s="50" customFormat="1" x14ac:dyDescent="0.2">
      <c r="A62" s="183">
        <f t="shared" si="11"/>
        <v>31</v>
      </c>
      <c r="B62" s="2" t="str">
        <f t="shared" ref="B62" si="22">IF($F$18=1,B66,B65)</f>
        <v>MACRS Depreciation - 20</v>
      </c>
      <c r="C62" s="2"/>
      <c r="D62" s="47"/>
      <c r="E62" s="62">
        <f t="shared" ref="E62:Y62" si="23">IF($F$18=1,E66,E65)</f>
        <v>3.7499999999999999E-2</v>
      </c>
      <c r="F62" s="58">
        <f t="shared" si="23"/>
        <v>7.2190000000000004E-2</v>
      </c>
      <c r="G62" s="58">
        <f t="shared" si="23"/>
        <v>6.6769999999999996E-2</v>
      </c>
      <c r="H62" s="61">
        <f t="shared" si="23"/>
        <v>6.1769999999999999E-2</v>
      </c>
      <c r="I62" s="61">
        <f t="shared" si="23"/>
        <v>5.713E-2</v>
      </c>
      <c r="J62" s="61">
        <f t="shared" si="23"/>
        <v>5.2850000000000001E-2</v>
      </c>
      <c r="K62" s="61">
        <f t="shared" si="23"/>
        <v>4.888E-2</v>
      </c>
      <c r="L62" s="61">
        <f t="shared" si="23"/>
        <v>4.5220000000000003E-2</v>
      </c>
      <c r="M62" s="61">
        <f t="shared" si="23"/>
        <v>4.462E-2</v>
      </c>
      <c r="N62" s="61">
        <f t="shared" si="23"/>
        <v>4.4610000000000004E-2</v>
      </c>
      <c r="O62" s="61">
        <f t="shared" si="23"/>
        <v>4.462E-2</v>
      </c>
      <c r="P62" s="61">
        <f t="shared" si="23"/>
        <v>4.4610000000000004E-2</v>
      </c>
      <c r="Q62" s="61">
        <f t="shared" si="23"/>
        <v>4.462E-2</v>
      </c>
      <c r="R62" s="61">
        <f t="shared" si="23"/>
        <v>4.4610000000000004E-2</v>
      </c>
      <c r="S62" s="61">
        <f t="shared" si="23"/>
        <v>4.462E-2</v>
      </c>
      <c r="T62" s="61">
        <f t="shared" si="23"/>
        <v>4.4610000000000004E-2</v>
      </c>
      <c r="U62" s="61">
        <f t="shared" si="23"/>
        <v>4.462E-2</v>
      </c>
      <c r="V62" s="61">
        <f t="shared" si="23"/>
        <v>4.4610000000000004E-2</v>
      </c>
      <c r="W62" s="61">
        <f t="shared" si="23"/>
        <v>4.462E-2</v>
      </c>
      <c r="X62" s="61">
        <f t="shared" si="23"/>
        <v>4.4610000000000004E-2</v>
      </c>
      <c r="Y62" s="61">
        <f t="shared" si="23"/>
        <v>2.231E-2</v>
      </c>
      <c r="Z62" s="48"/>
      <c r="AA62" s="48"/>
      <c r="AB62" s="48"/>
      <c r="AC62" s="48"/>
      <c r="AD62" s="48"/>
      <c r="AE62" s="48"/>
      <c r="AF62" s="48"/>
      <c r="AG62" s="48"/>
      <c r="AH62" s="48"/>
      <c r="AI62" s="48"/>
      <c r="AJ62" s="48"/>
      <c r="AK62" s="48"/>
      <c r="AL62" s="48"/>
      <c r="AM62" s="48"/>
      <c r="AN62" s="48"/>
      <c r="AO62" s="48"/>
      <c r="AP62" s="47"/>
    </row>
    <row r="63" spans="1:46" outlineLevel="1" x14ac:dyDescent="0.25">
      <c r="A63" s="183">
        <f t="shared" si="11"/>
        <v>32</v>
      </c>
      <c r="B63" s="2"/>
      <c r="C63" s="213"/>
      <c r="E63" s="214"/>
      <c r="F63" s="215"/>
      <c r="G63" s="215"/>
      <c r="H63" s="215"/>
      <c r="I63" s="215"/>
      <c r="J63" s="215"/>
      <c r="K63" s="215"/>
      <c r="L63" s="215"/>
      <c r="M63" s="216"/>
      <c r="N63" s="216"/>
      <c r="O63" s="216"/>
      <c r="P63" s="216"/>
      <c r="Q63" s="216"/>
      <c r="R63" s="216"/>
      <c r="S63" s="216"/>
      <c r="T63" s="216"/>
      <c r="U63" s="216"/>
      <c r="V63" s="216"/>
      <c r="W63" s="216"/>
      <c r="X63" s="216"/>
      <c r="Y63" s="216"/>
      <c r="Z63" s="184"/>
      <c r="AA63" s="184"/>
      <c r="AB63" s="184"/>
      <c r="AC63" s="184"/>
      <c r="AD63" s="184"/>
      <c r="AE63" s="184"/>
      <c r="AF63" s="184"/>
      <c r="AG63" s="184"/>
      <c r="AH63" s="184"/>
      <c r="AI63" s="184"/>
      <c r="AJ63" s="184"/>
      <c r="AK63" s="184"/>
      <c r="AL63" s="184"/>
      <c r="AM63" s="184"/>
      <c r="AN63" s="184"/>
      <c r="AO63" s="3"/>
    </row>
    <row r="64" spans="1:46" outlineLevel="1" x14ac:dyDescent="0.25">
      <c r="A64" s="183">
        <f t="shared" si="11"/>
        <v>33</v>
      </c>
      <c r="B64" s="2"/>
      <c r="C64" s="213"/>
      <c r="E64" s="214"/>
      <c r="F64" s="215"/>
      <c r="G64" s="215"/>
      <c r="H64" s="215"/>
      <c r="I64" s="215"/>
      <c r="J64" s="215"/>
      <c r="K64" s="215"/>
      <c r="L64" s="215"/>
      <c r="M64" s="216"/>
      <c r="N64" s="216"/>
      <c r="O64" s="216"/>
      <c r="P64" s="216"/>
      <c r="Q64" s="216"/>
      <c r="R64" s="216"/>
      <c r="S64" s="216"/>
      <c r="T64" s="216"/>
      <c r="U64" s="216"/>
      <c r="V64" s="216"/>
      <c r="W64" s="216"/>
      <c r="X64" s="216"/>
      <c r="Y64" s="216"/>
      <c r="Z64" s="184"/>
      <c r="AA64" s="184"/>
      <c r="AB64" s="184"/>
      <c r="AC64" s="184"/>
      <c r="AD64" s="184"/>
      <c r="AE64" s="184"/>
      <c r="AF64" s="184"/>
      <c r="AG64" s="184"/>
      <c r="AH64" s="184"/>
      <c r="AI64" s="184"/>
      <c r="AJ64" s="184"/>
      <c r="AK64" s="184"/>
      <c r="AL64" s="184"/>
      <c r="AM64" s="184"/>
      <c r="AN64" s="184"/>
      <c r="AO64" s="3"/>
    </row>
    <row r="65" spans="1:42" s="50" customFormat="1" x14ac:dyDescent="0.25">
      <c r="A65" s="183">
        <f t="shared" si="11"/>
        <v>34</v>
      </c>
      <c r="B65" s="2" t="s">
        <v>72</v>
      </c>
      <c r="C65" s="2"/>
      <c r="D65" s="51">
        <v>0</v>
      </c>
      <c r="E65" s="59">
        <v>3.7499999999999999E-2</v>
      </c>
      <c r="F65" s="58">
        <v>7.2190000000000004E-2</v>
      </c>
      <c r="G65" s="58">
        <v>6.6769999999999996E-2</v>
      </c>
      <c r="H65" s="60">
        <v>6.1769999999999999E-2</v>
      </c>
      <c r="I65" s="60">
        <v>5.713E-2</v>
      </c>
      <c r="J65" s="60">
        <v>5.2850000000000001E-2</v>
      </c>
      <c r="K65" s="60">
        <v>4.888E-2</v>
      </c>
      <c r="L65" s="60">
        <v>4.5220000000000003E-2</v>
      </c>
      <c r="M65" s="60">
        <v>4.462E-2</v>
      </c>
      <c r="N65" s="60">
        <v>4.4610000000000004E-2</v>
      </c>
      <c r="O65" s="60">
        <v>4.462E-2</v>
      </c>
      <c r="P65" s="60">
        <v>4.4610000000000004E-2</v>
      </c>
      <c r="Q65" s="60">
        <v>4.462E-2</v>
      </c>
      <c r="R65" s="60">
        <v>4.4610000000000004E-2</v>
      </c>
      <c r="S65" s="60">
        <v>4.462E-2</v>
      </c>
      <c r="T65" s="60">
        <v>4.4610000000000004E-2</v>
      </c>
      <c r="U65" s="60">
        <v>4.462E-2</v>
      </c>
      <c r="V65" s="60">
        <v>4.4610000000000004E-2</v>
      </c>
      <c r="W65" s="60">
        <v>4.462E-2</v>
      </c>
      <c r="X65" s="60">
        <v>4.4610000000000004E-2</v>
      </c>
      <c r="Y65" s="60">
        <v>2.231E-2</v>
      </c>
      <c r="Z65" s="52"/>
      <c r="AA65" s="48"/>
      <c r="AB65" s="48"/>
      <c r="AC65" s="48"/>
      <c r="AD65" s="48"/>
      <c r="AE65" s="48"/>
      <c r="AF65" s="48"/>
      <c r="AG65" s="48"/>
      <c r="AH65" s="48"/>
      <c r="AI65" s="48"/>
      <c r="AJ65" s="48"/>
      <c r="AK65" s="48"/>
      <c r="AL65" s="48"/>
      <c r="AM65" s="48"/>
      <c r="AN65" s="47"/>
      <c r="AP65" s="53"/>
    </row>
    <row r="66" spans="1:42" x14ac:dyDescent="0.2">
      <c r="A66" s="183">
        <f t="shared" si="11"/>
        <v>35</v>
      </c>
      <c r="B66" s="2" t="s">
        <v>73</v>
      </c>
      <c r="C66" s="2"/>
      <c r="D66" s="51">
        <v>0</v>
      </c>
      <c r="E66" s="59">
        <v>0.51875000000000004</v>
      </c>
      <c r="F66" s="58">
        <v>3.6095000000000002E-2</v>
      </c>
      <c r="G66" s="58">
        <v>3.3384999999999998E-2</v>
      </c>
      <c r="H66" s="61">
        <v>3.0884999999999999E-2</v>
      </c>
      <c r="I66" s="61">
        <v>2.8565E-2</v>
      </c>
      <c r="J66" s="61">
        <v>2.6425000000000001E-2</v>
      </c>
      <c r="K66" s="61">
        <v>2.444E-2</v>
      </c>
      <c r="L66" s="61">
        <v>2.2610000000000002E-2</v>
      </c>
      <c r="M66" s="61">
        <v>2.231E-2</v>
      </c>
      <c r="N66" s="61">
        <v>2.2305000000000002E-2</v>
      </c>
      <c r="O66" s="61">
        <v>2.231E-2</v>
      </c>
      <c r="P66" s="61">
        <v>2.2305000000000002E-2</v>
      </c>
      <c r="Q66" s="61">
        <v>2.231E-2</v>
      </c>
      <c r="R66" s="61">
        <v>2.2305000000000002E-2</v>
      </c>
      <c r="S66" s="61">
        <v>2.231E-2</v>
      </c>
      <c r="T66" s="61">
        <v>2.2305000000000002E-2</v>
      </c>
      <c r="U66" s="61">
        <v>2.231E-2</v>
      </c>
      <c r="V66" s="61">
        <v>2.2305000000000002E-2</v>
      </c>
      <c r="W66" s="61">
        <v>2.231E-2</v>
      </c>
      <c r="X66" s="61">
        <v>2.2305000000000002E-2</v>
      </c>
      <c r="Y66" s="61">
        <v>1.1155E-2</v>
      </c>
      <c r="Z66" s="49"/>
      <c r="AA66" s="49"/>
      <c r="AB66" s="54"/>
      <c r="AC66" s="54"/>
      <c r="AD66" s="54"/>
      <c r="AE66" s="54"/>
      <c r="AF66" s="54"/>
      <c r="AG66" s="54"/>
      <c r="AH66" s="54"/>
      <c r="AI66" s="54"/>
      <c r="AJ66" s="54"/>
      <c r="AK66" s="54"/>
      <c r="AL66" s="54"/>
      <c r="AM66" s="54"/>
      <c r="AN66" s="184"/>
      <c r="AO66" s="3"/>
      <c r="AP66" s="53">
        <f>SUM(D66:AO66)</f>
        <v>1.0000000000000004</v>
      </c>
    </row>
    <row r="69" spans="1:42" x14ac:dyDescent="0.25">
      <c r="B69" s="55"/>
    </row>
  </sheetData>
  <mergeCells count="1">
    <mergeCell ref="E1:F1"/>
  </mergeCells>
  <printOptions horizontalCentered="1"/>
  <pageMargins left="0.75" right="0.5" top="0.5" bottom="0.5" header="0.5" footer="0.25"/>
  <pageSetup scale="15" orientation="portrait" blackAndWhite="1" r:id="rId1"/>
  <headerFooter alignWithMargins="0"/>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1"/>
  <sheetViews>
    <sheetView zoomScaleNormal="100" workbookViewId="0">
      <selection activeCell="F17" sqref="F17"/>
    </sheetView>
  </sheetViews>
  <sheetFormatPr defaultColWidth="9.140625" defaultRowHeight="12.75" x14ac:dyDescent="0.2"/>
  <cols>
    <col min="1" max="1" width="3.5703125" style="65" customWidth="1"/>
    <col min="2" max="2" width="8.7109375" style="65" customWidth="1"/>
    <col min="3" max="3" width="63" style="65" bestFit="1" customWidth="1"/>
    <col min="4" max="4" width="4.42578125" style="65" customWidth="1"/>
    <col min="5" max="16384" width="9.140625" style="65"/>
  </cols>
  <sheetData>
    <row r="3" spans="2:6" ht="13.5" thickBot="1" x14ac:dyDescent="0.25"/>
    <row r="4" spans="2:6" ht="13.5" thickBot="1" x14ac:dyDescent="0.25">
      <c r="B4" s="63"/>
      <c r="C4" s="63"/>
      <c r="D4" s="63"/>
      <c r="E4" s="63"/>
      <c r="F4" s="66" t="s">
        <v>138</v>
      </c>
    </row>
    <row r="5" spans="2:6" x14ac:dyDescent="0.2">
      <c r="C5" s="404" t="s">
        <v>139</v>
      </c>
      <c r="D5" s="404"/>
      <c r="E5" s="404"/>
      <c r="F5" s="404"/>
    </row>
    <row r="6" spans="2:6" x14ac:dyDescent="0.2">
      <c r="B6" s="67"/>
      <c r="C6" s="405" t="s">
        <v>145</v>
      </c>
      <c r="D6" s="405"/>
      <c r="E6" s="405"/>
      <c r="F6" s="405"/>
    </row>
    <row r="7" spans="2:6" x14ac:dyDescent="0.2">
      <c r="B7" s="68"/>
      <c r="C7" s="406" t="s">
        <v>140</v>
      </c>
      <c r="D7" s="406"/>
      <c r="E7" s="406"/>
      <c r="F7" s="406"/>
    </row>
    <row r="8" spans="2:6" x14ac:dyDescent="0.2">
      <c r="B8" s="68"/>
      <c r="C8" s="406"/>
      <c r="D8" s="406"/>
      <c r="E8" s="406"/>
      <c r="F8" s="406"/>
    </row>
    <row r="9" spans="2:6" x14ac:dyDescent="0.2">
      <c r="B9" s="63"/>
      <c r="C9" s="63"/>
      <c r="D9" s="63"/>
      <c r="E9" s="63"/>
      <c r="F9" s="63"/>
    </row>
    <row r="10" spans="2:6" x14ac:dyDescent="0.2">
      <c r="B10" s="121" t="s">
        <v>108</v>
      </c>
      <c r="C10" s="63"/>
      <c r="D10" s="63"/>
      <c r="E10" s="63"/>
      <c r="F10" s="63"/>
    </row>
    <row r="11" spans="2:6" x14ac:dyDescent="0.2">
      <c r="B11" s="69" t="s">
        <v>109</v>
      </c>
      <c r="C11" s="70" t="s">
        <v>110</v>
      </c>
      <c r="D11" s="71"/>
      <c r="E11" s="71"/>
      <c r="F11" s="72" t="s">
        <v>111</v>
      </c>
    </row>
    <row r="12" spans="2:6" x14ac:dyDescent="0.2">
      <c r="B12" s="64"/>
      <c r="C12" s="64"/>
      <c r="D12" s="64"/>
      <c r="E12" s="64"/>
      <c r="F12" s="73"/>
    </row>
    <row r="13" spans="2:6" x14ac:dyDescent="0.2">
      <c r="B13" s="73">
        <v>1</v>
      </c>
      <c r="C13" s="74" t="s">
        <v>112</v>
      </c>
      <c r="D13" s="64"/>
      <c r="E13" s="64"/>
      <c r="F13" s="75">
        <v>5.1399999999999996E-3</v>
      </c>
    </row>
    <row r="14" spans="2:6" x14ac:dyDescent="0.2">
      <c r="B14" s="73">
        <v>2</v>
      </c>
      <c r="C14" s="74" t="s">
        <v>113</v>
      </c>
      <c r="D14" s="64"/>
      <c r="E14" s="64"/>
      <c r="F14" s="75">
        <v>2E-3</v>
      </c>
    </row>
    <row r="15" spans="2:6" x14ac:dyDescent="0.2">
      <c r="B15" s="73">
        <v>3</v>
      </c>
      <c r="C15" s="74" t="s">
        <v>141</v>
      </c>
      <c r="D15" s="64"/>
      <c r="E15" s="76">
        <v>3.8519999999999999E-2</v>
      </c>
      <c r="F15" s="77">
        <v>3.8322000000000002E-2</v>
      </c>
    </row>
    <row r="16" spans="2:6" x14ac:dyDescent="0.2">
      <c r="B16" s="73">
        <v>4</v>
      </c>
      <c r="C16" s="74"/>
      <c r="D16" s="64"/>
      <c r="E16" s="64"/>
      <c r="F16" s="78"/>
    </row>
    <row r="17" spans="1:6" x14ac:dyDescent="0.2">
      <c r="B17" s="73">
        <v>5</v>
      </c>
      <c r="C17" s="74" t="s">
        <v>114</v>
      </c>
      <c r="D17" s="64"/>
      <c r="E17" s="64"/>
      <c r="F17" s="75">
        <v>4.5462000000000002E-2</v>
      </c>
    </row>
    <row r="18" spans="1:6" x14ac:dyDescent="0.2">
      <c r="B18" s="73">
        <v>6</v>
      </c>
      <c r="C18" s="64"/>
      <c r="D18" s="64"/>
      <c r="E18" s="64"/>
      <c r="F18" s="75"/>
    </row>
    <row r="19" spans="1:6" x14ac:dyDescent="0.2">
      <c r="A19" s="79"/>
      <c r="B19" s="73">
        <v>7</v>
      </c>
      <c r="C19" s="64" t="s">
        <v>115</v>
      </c>
      <c r="D19" s="64"/>
      <c r="E19" s="64"/>
      <c r="F19" s="75">
        <v>0.954538</v>
      </c>
    </row>
    <row r="20" spans="1:6" x14ac:dyDescent="0.2">
      <c r="B20" s="73">
        <v>8</v>
      </c>
      <c r="C20" s="74" t="s">
        <v>116</v>
      </c>
      <c r="D20" s="64"/>
      <c r="E20" s="80">
        <v>0.35</v>
      </c>
      <c r="F20" s="75">
        <v>0.334088</v>
      </c>
    </row>
    <row r="21" spans="1:6" x14ac:dyDescent="0.2">
      <c r="B21" s="73">
        <v>9</v>
      </c>
      <c r="C21" s="74" t="s">
        <v>117</v>
      </c>
      <c r="D21" s="64"/>
      <c r="E21" s="64"/>
      <c r="F21" s="81">
        <v>0.62044999999999995</v>
      </c>
    </row>
  </sheetData>
  <mergeCells count="4">
    <mergeCell ref="C5:F5"/>
    <mergeCell ref="C6:F6"/>
    <mergeCell ref="C7:F7"/>
    <mergeCell ref="C8:F8"/>
  </mergeCells>
  <printOptions horizontalCentered="1"/>
  <pageMargins left="0.68" right="0.56000000000000005" top="1" bottom="1" header="0.5" footer="0.5"/>
  <pageSetup scale="96" orientation="portrait" r:id="rId1"/>
  <headerFooter alignWithMargins="0"/>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J16" sqref="J16"/>
    </sheetView>
  </sheetViews>
  <sheetFormatPr defaultRowHeight="12.75" x14ac:dyDescent="0.2"/>
  <cols>
    <col min="1" max="1" width="5.42578125" customWidth="1"/>
    <col min="2" max="2" width="49.85546875" bestFit="1" customWidth="1"/>
    <col min="5" max="5" width="18.85546875" customWidth="1"/>
    <col min="6" max="6" width="5" bestFit="1" customWidth="1"/>
    <col min="7" max="7" width="75.42578125" bestFit="1" customWidth="1"/>
    <col min="9" max="9" width="8.42578125" bestFit="1" customWidth="1"/>
    <col min="10" max="10" width="9.5703125" bestFit="1" customWidth="1"/>
  </cols>
  <sheetData>
    <row r="1" spans="1:10" ht="15" x14ac:dyDescent="0.25">
      <c r="A1" s="258" t="s">
        <v>218</v>
      </c>
      <c r="B1" s="233"/>
      <c r="C1" s="233"/>
      <c r="D1" s="234" t="s">
        <v>198</v>
      </c>
      <c r="E1" s="235"/>
      <c r="F1" s="258" t="s">
        <v>218</v>
      </c>
      <c r="G1" s="233"/>
      <c r="H1" s="233"/>
      <c r="I1" s="234" t="s">
        <v>199</v>
      </c>
      <c r="J1" s="235"/>
    </row>
    <row r="2" spans="1:10" ht="15" x14ac:dyDescent="0.25">
      <c r="A2" s="236" t="s">
        <v>200</v>
      </c>
      <c r="B2" s="236"/>
      <c r="C2" s="236"/>
      <c r="D2" s="236"/>
      <c r="E2" s="236"/>
      <c r="F2" s="236" t="s">
        <v>200</v>
      </c>
      <c r="G2" s="236"/>
      <c r="H2" s="237"/>
      <c r="I2" s="237"/>
      <c r="J2" s="237"/>
    </row>
    <row r="3" spans="1:10" ht="15" x14ac:dyDescent="0.25">
      <c r="A3" s="236" t="s">
        <v>201</v>
      </c>
      <c r="B3" s="236"/>
      <c r="C3" s="236"/>
      <c r="D3" s="236"/>
      <c r="E3" s="236"/>
      <c r="F3" s="236" t="s">
        <v>201</v>
      </c>
      <c r="G3" s="236"/>
      <c r="H3" s="237"/>
      <c r="I3" s="237"/>
      <c r="J3" s="237"/>
    </row>
    <row r="4" spans="1:10" ht="15" x14ac:dyDescent="0.25">
      <c r="A4" s="236" t="s">
        <v>202</v>
      </c>
      <c r="B4" s="236"/>
      <c r="C4" s="236"/>
      <c r="D4" s="236"/>
      <c r="E4" s="236"/>
      <c r="F4" s="236" t="s">
        <v>202</v>
      </c>
      <c r="G4" s="236"/>
      <c r="H4" s="237"/>
      <c r="I4" s="237"/>
      <c r="J4" s="237"/>
    </row>
    <row r="5" spans="1:10" ht="15" x14ac:dyDescent="0.25">
      <c r="A5" s="236" t="s">
        <v>203</v>
      </c>
      <c r="B5" s="236"/>
      <c r="C5" s="236"/>
      <c r="D5" s="236"/>
      <c r="E5" s="236"/>
      <c r="F5" s="236" t="s">
        <v>203</v>
      </c>
      <c r="G5" s="236"/>
      <c r="H5" s="237"/>
      <c r="I5" s="237"/>
      <c r="J5" s="237"/>
    </row>
    <row r="6" spans="1:10" ht="14.25" x14ac:dyDescent="0.2">
      <c r="A6" s="236" t="s">
        <v>204</v>
      </c>
      <c r="B6" s="236"/>
      <c r="C6" s="236"/>
      <c r="D6" s="236"/>
      <c r="E6" s="236"/>
      <c r="F6" s="236" t="s">
        <v>205</v>
      </c>
      <c r="G6" s="236"/>
      <c r="H6" s="236"/>
      <c r="I6" s="236"/>
      <c r="J6" s="236"/>
    </row>
    <row r="7" spans="1:10" ht="15" x14ac:dyDescent="0.25">
      <c r="A7" s="233"/>
      <c r="B7" s="237"/>
      <c r="C7" s="237"/>
      <c r="D7" s="237"/>
      <c r="E7" s="237"/>
      <c r="F7" s="237"/>
      <c r="G7" s="237"/>
      <c r="H7" s="237"/>
      <c r="I7" s="237"/>
      <c r="J7" s="237"/>
    </row>
    <row r="8" spans="1:10" ht="15" x14ac:dyDescent="0.25">
      <c r="A8" s="233"/>
      <c r="B8" s="233"/>
      <c r="C8" s="233"/>
      <c r="D8" s="233"/>
      <c r="E8" s="233"/>
      <c r="F8" s="237"/>
      <c r="G8" s="237"/>
      <c r="H8" s="237"/>
      <c r="I8" s="237"/>
      <c r="J8" s="233"/>
    </row>
    <row r="9" spans="1:10" x14ac:dyDescent="0.2">
      <c r="A9" s="238" t="s">
        <v>108</v>
      </c>
      <c r="B9" s="238"/>
      <c r="C9" s="239" t="s">
        <v>168</v>
      </c>
      <c r="D9" s="240"/>
      <c r="E9" s="239" t="s">
        <v>206</v>
      </c>
      <c r="F9" s="238" t="s">
        <v>108</v>
      </c>
      <c r="G9" s="238"/>
      <c r="H9" s="238"/>
      <c r="I9" s="240"/>
      <c r="J9" s="240"/>
    </row>
    <row r="10" spans="1:10" x14ac:dyDescent="0.2">
      <c r="A10" s="241" t="s">
        <v>109</v>
      </c>
      <c r="B10" s="241" t="s">
        <v>110</v>
      </c>
      <c r="C10" s="242" t="s">
        <v>207</v>
      </c>
      <c r="D10" s="242" t="s">
        <v>208</v>
      </c>
      <c r="E10" s="242" t="s">
        <v>208</v>
      </c>
      <c r="F10" s="241" t="s">
        <v>109</v>
      </c>
      <c r="G10" s="241" t="s">
        <v>110</v>
      </c>
      <c r="H10" s="241"/>
      <c r="I10" s="243"/>
      <c r="J10" s="243"/>
    </row>
    <row r="11" spans="1:10" ht="15" x14ac:dyDescent="0.25">
      <c r="A11" s="233"/>
      <c r="B11" s="233"/>
      <c r="C11" s="233"/>
      <c r="D11" s="233"/>
      <c r="E11" s="233"/>
      <c r="F11" s="233"/>
      <c r="G11" s="233"/>
      <c r="H11" s="233"/>
      <c r="I11" s="233"/>
      <c r="J11" s="233"/>
    </row>
    <row r="12" spans="1:10" ht="15" x14ac:dyDescent="0.25">
      <c r="A12" s="244">
        <v>1</v>
      </c>
      <c r="B12" s="245" t="s">
        <v>209</v>
      </c>
      <c r="C12" s="246">
        <v>0.51500000000000001</v>
      </c>
      <c r="D12" s="246">
        <v>5.4951456310679617E-2</v>
      </c>
      <c r="E12" s="246">
        <v>2.8299999999999999E-2</v>
      </c>
      <c r="F12" s="244">
        <v>1</v>
      </c>
      <c r="G12" s="247" t="s">
        <v>112</v>
      </c>
      <c r="H12" s="245"/>
      <c r="I12" s="245"/>
      <c r="J12" s="248">
        <v>5.1240000000000001E-3</v>
      </c>
    </row>
    <row r="13" spans="1:10" ht="15" x14ac:dyDescent="0.25">
      <c r="A13" s="244">
        <v>2</v>
      </c>
      <c r="B13" s="245" t="s">
        <v>210</v>
      </c>
      <c r="C13" s="246">
        <v>0.48499999999999999</v>
      </c>
      <c r="D13" s="246">
        <v>9.4E-2</v>
      </c>
      <c r="E13" s="246">
        <v>4.5600000000000002E-2</v>
      </c>
      <c r="F13" s="244">
        <v>2</v>
      </c>
      <c r="G13" s="247" t="s">
        <v>113</v>
      </c>
      <c r="H13" s="245"/>
      <c r="I13" s="245"/>
      <c r="J13" s="248">
        <v>2E-3</v>
      </c>
    </row>
    <row r="14" spans="1:10" ht="15" x14ac:dyDescent="0.25">
      <c r="A14" s="244">
        <v>3</v>
      </c>
      <c r="B14" s="245" t="s">
        <v>211</v>
      </c>
      <c r="C14" s="249">
        <v>1</v>
      </c>
      <c r="D14" s="250"/>
      <c r="E14" s="260">
        <v>7.3899999999999993E-2</v>
      </c>
      <c r="F14" s="244">
        <v>3</v>
      </c>
      <c r="G14" s="247" t="s">
        <v>212</v>
      </c>
      <c r="H14" s="233"/>
      <c r="I14" s="251">
        <v>3.8519999999999999E-2</v>
      </c>
      <c r="J14" s="252">
        <v>3.8323000000000003E-2</v>
      </c>
    </row>
    <row r="15" spans="1:10" ht="15" x14ac:dyDescent="0.25">
      <c r="A15" s="244">
        <v>4</v>
      </c>
      <c r="B15" s="245"/>
      <c r="C15" s="233"/>
      <c r="D15" s="233"/>
      <c r="E15" s="233"/>
      <c r="F15" s="244">
        <v>4</v>
      </c>
      <c r="G15" s="247"/>
      <c r="H15" s="245"/>
      <c r="I15" s="245"/>
      <c r="J15" s="253"/>
    </row>
    <row r="16" spans="1:10" ht="15" x14ac:dyDescent="0.25">
      <c r="A16" s="244">
        <v>5</v>
      </c>
      <c r="B16" s="245" t="s">
        <v>213</v>
      </c>
      <c r="C16" s="246">
        <v>0.51500000000000001</v>
      </c>
      <c r="D16" s="246">
        <v>4.3411650485436902E-2</v>
      </c>
      <c r="E16" s="246">
        <v>2.24E-2</v>
      </c>
      <c r="F16" s="244">
        <v>5</v>
      </c>
      <c r="G16" s="247" t="s">
        <v>114</v>
      </c>
      <c r="H16" s="245"/>
      <c r="I16" s="245"/>
      <c r="J16" s="259">
        <v>4.5447000000000001E-2</v>
      </c>
    </row>
    <row r="17" spans="1:10" ht="15" x14ac:dyDescent="0.25">
      <c r="A17" s="244">
        <v>6</v>
      </c>
      <c r="B17" s="245" t="s">
        <v>210</v>
      </c>
      <c r="C17" s="246">
        <v>0.48499999999999999</v>
      </c>
      <c r="D17" s="246">
        <v>9.4E-2</v>
      </c>
      <c r="E17" s="246">
        <v>4.5600000000000002E-2</v>
      </c>
      <c r="F17" s="244">
        <v>6</v>
      </c>
      <c r="G17" s="245"/>
      <c r="H17" s="245"/>
      <c r="I17" s="245"/>
      <c r="J17" s="248"/>
    </row>
    <row r="18" spans="1:10" ht="15" x14ac:dyDescent="0.25">
      <c r="A18" s="244">
        <v>7</v>
      </c>
      <c r="B18" s="245" t="s">
        <v>214</v>
      </c>
      <c r="C18" s="249">
        <v>1</v>
      </c>
      <c r="D18" s="250"/>
      <c r="E18" s="249">
        <v>6.8000000000000005E-2</v>
      </c>
      <c r="F18" s="244">
        <v>7</v>
      </c>
      <c r="G18" s="245" t="s">
        <v>215</v>
      </c>
      <c r="H18" s="245"/>
      <c r="I18" s="245"/>
      <c r="J18" s="248">
        <v>0.95455299999999998</v>
      </c>
    </row>
    <row r="19" spans="1:10" ht="15" x14ac:dyDescent="0.25">
      <c r="A19" s="244"/>
      <c r="B19" s="233"/>
      <c r="C19" s="233"/>
      <c r="D19" s="233"/>
      <c r="E19" s="233"/>
      <c r="F19" s="244">
        <v>8</v>
      </c>
      <c r="G19" s="247" t="s">
        <v>216</v>
      </c>
      <c r="H19" s="245"/>
      <c r="I19" s="254">
        <v>0.21</v>
      </c>
      <c r="J19" s="248">
        <v>0.200456</v>
      </c>
    </row>
    <row r="20" spans="1:10" ht="15.75" thickBot="1" x14ac:dyDescent="0.3">
      <c r="A20" s="244"/>
      <c r="B20" s="233"/>
      <c r="C20" s="233"/>
      <c r="D20" s="233"/>
      <c r="E20" s="233"/>
      <c r="F20" s="244">
        <v>9</v>
      </c>
      <c r="G20" s="247" t="s">
        <v>217</v>
      </c>
      <c r="H20" s="245"/>
      <c r="I20" s="245"/>
      <c r="J20" s="255">
        <v>0.75409700000000002</v>
      </c>
    </row>
    <row r="21" spans="1:10" ht="15.75" thickTop="1" x14ac:dyDescent="0.25">
      <c r="A21" s="244"/>
      <c r="B21" s="256"/>
      <c r="C21" s="257"/>
      <c r="D21" s="233"/>
      <c r="E21" s="233"/>
      <c r="F21" s="244"/>
      <c r="G21" s="233"/>
      <c r="H21" s="245"/>
      <c r="I21" s="245"/>
      <c r="J21" s="245"/>
    </row>
  </sheetData>
  <pageMargins left="0.7" right="0.7" top="0.75" bottom="0.75" header="0.3" footer="0.3"/>
  <pageSetup orientation="portrait" r:id="rId1"/>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7"/>
  <sheetViews>
    <sheetView workbookViewId="0">
      <selection activeCell="R40" sqref="R40"/>
    </sheetView>
  </sheetViews>
  <sheetFormatPr defaultColWidth="9.140625" defaultRowHeight="15" x14ac:dyDescent="0.2"/>
  <cols>
    <col min="1" max="1" width="19.140625" style="107" bestFit="1" customWidth="1"/>
    <col min="2" max="2" width="11.5703125" style="107" bestFit="1" customWidth="1"/>
    <col min="3" max="22" width="10.28515625" style="107" bestFit="1" customWidth="1"/>
    <col min="23" max="23" width="12.85546875" style="107" bestFit="1" customWidth="1"/>
    <col min="24" max="16384" width="9.140625" style="107"/>
  </cols>
  <sheetData>
    <row r="2" spans="1:23" x14ac:dyDescent="0.2">
      <c r="B2" s="108"/>
    </row>
    <row r="4" spans="1:23" x14ac:dyDescent="0.2">
      <c r="A4" s="109" t="s">
        <v>103</v>
      </c>
      <c r="B4" s="110">
        <v>1</v>
      </c>
      <c r="C4" s="110">
        <v>2</v>
      </c>
      <c r="D4" s="110">
        <v>3</v>
      </c>
      <c r="E4" s="110">
        <v>4</v>
      </c>
      <c r="F4" s="110">
        <v>5</v>
      </c>
      <c r="G4" s="110">
        <v>6</v>
      </c>
      <c r="H4" s="110">
        <v>7</v>
      </c>
      <c r="I4" s="110">
        <v>8</v>
      </c>
      <c r="J4" s="110">
        <v>9</v>
      </c>
      <c r="K4" s="110">
        <v>10</v>
      </c>
      <c r="L4" s="110">
        <v>11</v>
      </c>
      <c r="M4" s="110">
        <v>12</v>
      </c>
      <c r="N4" s="110">
        <v>13</v>
      </c>
      <c r="O4" s="110">
        <v>14</v>
      </c>
      <c r="P4" s="110">
        <v>15</v>
      </c>
      <c r="Q4" s="110">
        <v>16</v>
      </c>
      <c r="R4" s="110">
        <v>17</v>
      </c>
      <c r="S4" s="110">
        <v>18</v>
      </c>
      <c r="T4" s="110">
        <v>19</v>
      </c>
      <c r="U4" s="110">
        <v>20</v>
      </c>
      <c r="V4" s="110">
        <v>21</v>
      </c>
      <c r="W4" s="110" t="s">
        <v>104</v>
      </c>
    </row>
    <row r="5" spans="1:23" x14ac:dyDescent="0.2">
      <c r="A5" s="111" t="s">
        <v>105</v>
      </c>
      <c r="B5" s="112">
        <v>3.7499999999999999E-2</v>
      </c>
      <c r="C5" s="112">
        <v>7.2190000000000004E-2</v>
      </c>
      <c r="D5" s="112">
        <v>6.6769999999999996E-2</v>
      </c>
      <c r="E5" s="112">
        <v>6.1769999999999999E-2</v>
      </c>
      <c r="F5" s="112">
        <v>5.713E-2</v>
      </c>
      <c r="G5" s="112">
        <v>5.2850000000000001E-2</v>
      </c>
      <c r="H5" s="112">
        <v>4.888E-2</v>
      </c>
      <c r="I5" s="112">
        <v>4.5220000000000003E-2</v>
      </c>
      <c r="J5" s="112">
        <v>4.462E-2</v>
      </c>
      <c r="K5" s="112">
        <v>4.4610000000000004E-2</v>
      </c>
      <c r="L5" s="112">
        <v>4.462E-2</v>
      </c>
      <c r="M5" s="112">
        <v>4.4610000000000004E-2</v>
      </c>
      <c r="N5" s="112">
        <v>4.462E-2</v>
      </c>
      <c r="O5" s="112">
        <v>4.4610000000000004E-2</v>
      </c>
      <c r="P5" s="112">
        <v>4.462E-2</v>
      </c>
      <c r="Q5" s="112">
        <v>4.4610000000000004E-2</v>
      </c>
      <c r="R5" s="112">
        <v>4.462E-2</v>
      </c>
      <c r="S5" s="112">
        <v>4.4610000000000004E-2</v>
      </c>
      <c r="T5" s="112">
        <v>4.462E-2</v>
      </c>
      <c r="U5" s="112">
        <v>4.4610000000000004E-2</v>
      </c>
      <c r="V5" s="112">
        <v>2.231E-2</v>
      </c>
      <c r="W5" s="112">
        <f>SUM(B5:V5)</f>
        <v>1.0000000000000002</v>
      </c>
    </row>
    <row r="6" spans="1:23" x14ac:dyDescent="0.2">
      <c r="A6" s="111" t="s">
        <v>106</v>
      </c>
      <c r="B6" s="112">
        <f>B5*0.5+0.5</f>
        <v>0.51875000000000004</v>
      </c>
      <c r="C6" s="112">
        <f>C5*0.5</f>
        <v>3.6095000000000002E-2</v>
      </c>
      <c r="D6" s="112">
        <f t="shared" ref="D6:V6" si="0">D5*0.5</f>
        <v>3.3384999999999998E-2</v>
      </c>
      <c r="E6" s="112">
        <f t="shared" si="0"/>
        <v>3.0884999999999999E-2</v>
      </c>
      <c r="F6" s="112">
        <f t="shared" si="0"/>
        <v>2.8565E-2</v>
      </c>
      <c r="G6" s="112">
        <f t="shared" si="0"/>
        <v>2.6425000000000001E-2</v>
      </c>
      <c r="H6" s="112">
        <f t="shared" si="0"/>
        <v>2.444E-2</v>
      </c>
      <c r="I6" s="112">
        <f t="shared" si="0"/>
        <v>2.2610000000000002E-2</v>
      </c>
      <c r="J6" s="112">
        <f t="shared" si="0"/>
        <v>2.231E-2</v>
      </c>
      <c r="K6" s="112">
        <f t="shared" si="0"/>
        <v>2.2305000000000002E-2</v>
      </c>
      <c r="L6" s="112">
        <f t="shared" si="0"/>
        <v>2.231E-2</v>
      </c>
      <c r="M6" s="112">
        <f t="shared" si="0"/>
        <v>2.2305000000000002E-2</v>
      </c>
      <c r="N6" s="112">
        <f t="shared" si="0"/>
        <v>2.231E-2</v>
      </c>
      <c r="O6" s="112">
        <f t="shared" si="0"/>
        <v>2.2305000000000002E-2</v>
      </c>
      <c r="P6" s="112">
        <f t="shared" si="0"/>
        <v>2.231E-2</v>
      </c>
      <c r="Q6" s="112">
        <f t="shared" si="0"/>
        <v>2.2305000000000002E-2</v>
      </c>
      <c r="R6" s="112">
        <f t="shared" si="0"/>
        <v>2.231E-2</v>
      </c>
      <c r="S6" s="112">
        <f t="shared" si="0"/>
        <v>2.2305000000000002E-2</v>
      </c>
      <c r="T6" s="112">
        <f t="shared" si="0"/>
        <v>2.231E-2</v>
      </c>
      <c r="U6" s="112">
        <f t="shared" si="0"/>
        <v>2.2305000000000002E-2</v>
      </c>
      <c r="V6" s="112">
        <f t="shared" si="0"/>
        <v>1.1155E-2</v>
      </c>
      <c r="W6" s="112">
        <f>SUM(B6:V6)</f>
        <v>1.0000000000000004</v>
      </c>
    </row>
    <row r="7" spans="1:23" x14ac:dyDescent="0.2">
      <c r="A7" s="111" t="s">
        <v>107</v>
      </c>
      <c r="B7" s="112">
        <f>B5*0.6+0.4</f>
        <v>0.42250000000000004</v>
      </c>
      <c r="C7" s="112">
        <f>C5*0.6</f>
        <v>4.3313999999999998E-2</v>
      </c>
      <c r="D7" s="112">
        <f t="shared" ref="D7:V7" si="1">D5*0.6</f>
        <v>4.0061999999999993E-2</v>
      </c>
      <c r="E7" s="112">
        <f t="shared" si="1"/>
        <v>3.7061999999999998E-2</v>
      </c>
      <c r="F7" s="112">
        <f t="shared" si="1"/>
        <v>3.4277999999999996E-2</v>
      </c>
      <c r="G7" s="112">
        <f t="shared" si="1"/>
        <v>3.1710000000000002E-2</v>
      </c>
      <c r="H7" s="112">
        <f t="shared" si="1"/>
        <v>2.9328E-2</v>
      </c>
      <c r="I7" s="112">
        <f t="shared" si="1"/>
        <v>2.7132E-2</v>
      </c>
      <c r="J7" s="112">
        <f t="shared" si="1"/>
        <v>2.6772000000000001E-2</v>
      </c>
      <c r="K7" s="112">
        <f t="shared" si="1"/>
        <v>2.6766000000000002E-2</v>
      </c>
      <c r="L7" s="112">
        <f t="shared" si="1"/>
        <v>2.6772000000000001E-2</v>
      </c>
      <c r="M7" s="112">
        <f t="shared" si="1"/>
        <v>2.6766000000000002E-2</v>
      </c>
      <c r="N7" s="112">
        <f t="shared" si="1"/>
        <v>2.6772000000000001E-2</v>
      </c>
      <c r="O7" s="112">
        <f t="shared" si="1"/>
        <v>2.6766000000000002E-2</v>
      </c>
      <c r="P7" s="112">
        <f t="shared" si="1"/>
        <v>2.6772000000000001E-2</v>
      </c>
      <c r="Q7" s="112">
        <f t="shared" si="1"/>
        <v>2.6766000000000002E-2</v>
      </c>
      <c r="R7" s="112">
        <f t="shared" si="1"/>
        <v>2.6772000000000001E-2</v>
      </c>
      <c r="S7" s="112">
        <f t="shared" si="1"/>
        <v>2.6766000000000002E-2</v>
      </c>
      <c r="T7" s="112">
        <f t="shared" si="1"/>
        <v>2.6772000000000001E-2</v>
      </c>
      <c r="U7" s="112">
        <f t="shared" si="1"/>
        <v>2.6766000000000002E-2</v>
      </c>
      <c r="V7" s="112">
        <f t="shared" si="1"/>
        <v>1.3386E-2</v>
      </c>
      <c r="W7" s="112">
        <f>SUM(B7:V7)</f>
        <v>1</v>
      </c>
    </row>
  </sheetData>
  <pageMargins left="0.7" right="0.7" top="0.75" bottom="0.75" header="0.3" footer="0.3"/>
  <pageSetup scale="50"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
  <sheetViews>
    <sheetView workbookViewId="0">
      <selection activeCell="L40" sqref="L40"/>
    </sheetView>
  </sheetViews>
  <sheetFormatPr defaultRowHeight="12.75" x14ac:dyDescent="0.2"/>
  <sheetData/>
  <pageMargins left="0.7" right="0.7" top="0.75" bottom="0.75" header="0.3" footer="0.3"/>
  <pageSetup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9"/>
  <sheetViews>
    <sheetView zoomScale="85" zoomScaleNormal="85" workbookViewId="0">
      <pane xSplit="4" ySplit="26" topLeftCell="E57" activePane="bottomRight" state="frozen"/>
      <selection activeCell="J17" sqref="J17"/>
      <selection pane="topRight" activeCell="J17" sqref="J17"/>
      <selection pane="bottomLeft" activeCell="J17" sqref="J17"/>
      <selection pane="bottomRight" activeCell="E29" sqref="E29"/>
    </sheetView>
  </sheetViews>
  <sheetFormatPr defaultColWidth="10.28515625" defaultRowHeight="15" outlineLevelRow="1" outlineLevelCol="1" x14ac:dyDescent="0.2"/>
  <cols>
    <col min="1" max="1" width="5.7109375" style="34" customWidth="1"/>
    <col min="2" max="2" width="7.42578125" style="34" customWidth="1"/>
    <col min="3" max="3" width="26.42578125" style="34" customWidth="1"/>
    <col min="4" max="4" width="15.5703125" style="3" customWidth="1"/>
    <col min="5" max="5" width="13.5703125" style="56" customWidth="1"/>
    <col min="6" max="6" width="13.42578125" style="56" customWidth="1"/>
    <col min="7" max="7" width="14.5703125" style="56" bestFit="1" customWidth="1"/>
    <col min="8" max="8" width="12.5703125" style="56" customWidth="1"/>
    <col min="9" max="25" width="12.85546875" style="56" bestFit="1" customWidth="1"/>
    <col min="26" max="38" width="12.28515625" style="56" bestFit="1" customWidth="1"/>
    <col min="39" max="39" width="17" style="56" customWidth="1" outlineLevel="1"/>
    <col min="40" max="40" width="13" style="56" customWidth="1" outlineLevel="1"/>
    <col min="41" max="41" width="14.28515625" style="56" customWidth="1" outlineLevel="1"/>
    <col min="42" max="42" width="12.7109375" style="3" bestFit="1" customWidth="1"/>
    <col min="43" max="43" width="12.28515625" style="3" customWidth="1"/>
    <col min="44" max="45" width="14" style="3" customWidth="1"/>
    <col min="46" max="46" width="14.28515625" style="3" bestFit="1" customWidth="1"/>
    <col min="47" max="47" width="16.5703125" style="3" customWidth="1"/>
    <col min="48" max="48" width="15" style="3" bestFit="1" customWidth="1"/>
    <col min="49" max="16384" width="10.28515625" style="3"/>
  </cols>
  <sheetData>
    <row r="1" spans="1:41" ht="17.25" customHeight="1" x14ac:dyDescent="0.25">
      <c r="A1" s="1" t="s">
        <v>0</v>
      </c>
      <c r="B1" s="2"/>
      <c r="C1" s="2"/>
      <c r="E1" s="402"/>
      <c r="F1" s="402"/>
      <c r="G1" s="3"/>
      <c r="H1" s="4"/>
      <c r="I1" s="5"/>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pans="1:41" ht="12.75" customHeight="1" x14ac:dyDescent="0.25">
      <c r="A2" s="6" t="s">
        <v>1</v>
      </c>
      <c r="B2" s="2"/>
      <c r="C2" s="2"/>
      <c r="E2" s="3"/>
      <c r="F2" s="5"/>
      <c r="G2" s="5"/>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row>
    <row r="3" spans="1:41" x14ac:dyDescent="0.25">
      <c r="A3" s="6" t="s">
        <v>2</v>
      </c>
      <c r="B3" s="2"/>
      <c r="C3" s="157" t="s">
        <v>182</v>
      </c>
      <c r="D3" s="122" t="s">
        <v>3</v>
      </c>
      <c r="E3" s="3"/>
      <c r="F3" s="5"/>
      <c r="G3" s="5"/>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row>
    <row r="4" spans="1:41" ht="7.5" customHeight="1" thickBot="1" x14ac:dyDescent="0.25">
      <c r="A4" s="2"/>
      <c r="B4" s="2"/>
      <c r="C4" s="2"/>
      <c r="E4" s="3"/>
      <c r="F4" s="5"/>
      <c r="G4" s="5"/>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1" x14ac:dyDescent="0.2">
      <c r="A5" s="7" t="s">
        <v>4</v>
      </c>
      <c r="B5" s="8"/>
      <c r="C5" s="8"/>
      <c r="D5" s="261" t="s">
        <v>218</v>
      </c>
      <c r="E5" s="9"/>
      <c r="F5" s="10"/>
      <c r="G5" s="11"/>
      <c r="H5" s="3"/>
      <c r="I5" s="3"/>
      <c r="J5" s="3"/>
      <c r="K5" s="3"/>
      <c r="L5" s="3"/>
      <c r="M5" s="3"/>
      <c r="N5" s="22"/>
      <c r="O5" s="3"/>
      <c r="P5" s="3"/>
      <c r="Q5" s="3"/>
      <c r="R5" s="3"/>
      <c r="S5" s="3"/>
      <c r="T5" s="3"/>
      <c r="U5" s="3"/>
      <c r="V5" s="3"/>
      <c r="W5" s="3"/>
      <c r="X5" s="3"/>
      <c r="Y5" s="3"/>
      <c r="Z5" s="3"/>
      <c r="AA5" s="3"/>
      <c r="AB5" s="3"/>
      <c r="AC5" s="3"/>
      <c r="AD5" s="3"/>
      <c r="AE5" s="3"/>
      <c r="AF5" s="3"/>
      <c r="AG5" s="3"/>
      <c r="AH5" s="3"/>
      <c r="AI5" s="3"/>
      <c r="AJ5" s="3"/>
      <c r="AK5" s="3"/>
      <c r="AL5" s="3"/>
      <c r="AM5" s="3"/>
      <c r="AN5" s="3"/>
      <c r="AO5" s="3"/>
    </row>
    <row r="6" spans="1:41" x14ac:dyDescent="0.2">
      <c r="A6" s="12"/>
      <c r="B6" s="13"/>
      <c r="C6" s="13"/>
      <c r="D6" s="114" t="s">
        <v>149</v>
      </c>
      <c r="E6" s="114"/>
      <c r="F6" s="115"/>
      <c r="G6" s="11"/>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x14ac:dyDescent="0.2">
      <c r="A7" s="12"/>
      <c r="B7" s="13"/>
      <c r="C7" s="13"/>
      <c r="D7" s="16"/>
      <c r="E7" s="16"/>
      <c r="F7" s="17" t="s">
        <v>5</v>
      </c>
      <c r="G7" s="18"/>
      <c r="H7" s="3"/>
      <c r="I7" s="3"/>
      <c r="J7" s="3"/>
      <c r="K7" s="3"/>
      <c r="L7" s="3"/>
      <c r="M7" s="116"/>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1" x14ac:dyDescent="0.2">
      <c r="A8" s="12" t="s">
        <v>6</v>
      </c>
      <c r="B8" s="13"/>
      <c r="C8" s="13"/>
      <c r="D8" s="19" t="s">
        <v>7</v>
      </c>
      <c r="E8" s="19" t="s">
        <v>8</v>
      </c>
      <c r="F8" s="20" t="s">
        <v>8</v>
      </c>
      <c r="G8" s="18"/>
      <c r="H8" s="3"/>
      <c r="I8" s="3"/>
      <c r="J8" s="3"/>
      <c r="K8" s="3"/>
      <c r="L8" s="3"/>
      <c r="M8" s="106"/>
      <c r="N8" s="22"/>
      <c r="O8" s="3"/>
      <c r="P8" s="3"/>
      <c r="Q8" s="3"/>
      <c r="R8" s="3"/>
      <c r="S8" s="3"/>
      <c r="T8" s="3"/>
      <c r="U8" s="3"/>
      <c r="V8" s="3"/>
      <c r="W8" s="3"/>
      <c r="X8" s="3"/>
      <c r="Y8" s="3"/>
      <c r="Z8" s="3"/>
      <c r="AA8" s="3"/>
      <c r="AB8" s="3"/>
      <c r="AC8" s="3"/>
      <c r="AD8" s="3"/>
      <c r="AE8" s="3"/>
      <c r="AF8" s="3"/>
      <c r="AG8" s="3"/>
      <c r="AH8" s="3"/>
      <c r="AI8" s="3"/>
      <c r="AJ8" s="3"/>
      <c r="AK8" s="3"/>
      <c r="AL8" s="3"/>
      <c r="AM8" s="3"/>
      <c r="AN8" s="3"/>
      <c r="AO8" s="3"/>
    </row>
    <row r="9" spans="1:41" x14ac:dyDescent="0.2">
      <c r="A9" s="12"/>
      <c r="B9" s="13"/>
      <c r="C9" s="13"/>
      <c r="D9" s="14"/>
      <c r="E9" s="14"/>
      <c r="F9" s="21"/>
      <c r="G9" s="14"/>
      <c r="H9" s="3"/>
      <c r="I9" s="3"/>
      <c r="J9" s="3"/>
      <c r="K9" s="3"/>
      <c r="L9" s="3"/>
      <c r="M9" s="106"/>
      <c r="N9" s="22"/>
      <c r="O9" s="3"/>
      <c r="P9" s="3"/>
      <c r="Q9" s="3"/>
      <c r="R9" s="3"/>
      <c r="S9" s="3"/>
      <c r="T9" s="3"/>
      <c r="U9" s="3"/>
      <c r="V9" s="3"/>
      <c r="W9" s="3"/>
      <c r="X9" s="3"/>
      <c r="Y9" s="3"/>
      <c r="Z9" s="3"/>
      <c r="AA9" s="3"/>
      <c r="AB9" s="3"/>
      <c r="AC9" s="3"/>
      <c r="AD9" s="3"/>
      <c r="AE9" s="3"/>
      <c r="AF9" s="3"/>
      <c r="AG9" s="3"/>
      <c r="AH9" s="3"/>
      <c r="AI9" s="3"/>
      <c r="AJ9" s="3"/>
      <c r="AK9" s="3"/>
      <c r="AL9" s="3"/>
      <c r="AM9" s="3"/>
      <c r="AN9" s="3"/>
      <c r="AO9" s="3"/>
    </row>
    <row r="10" spans="1:41" x14ac:dyDescent="0.2">
      <c r="A10" s="12"/>
      <c r="B10" s="13"/>
      <c r="C10" s="13"/>
      <c r="D10" s="23"/>
      <c r="E10" s="23"/>
      <c r="F10" s="24"/>
      <c r="G10" s="22"/>
      <c r="H10" s="3"/>
      <c r="I10" s="3"/>
      <c r="J10" s="3"/>
      <c r="K10" s="3"/>
      <c r="L10" s="3"/>
      <c r="M10" s="106"/>
      <c r="N10" s="22"/>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row>
    <row r="11" spans="1:41" x14ac:dyDescent="0.2">
      <c r="A11" s="12" t="s">
        <v>121</v>
      </c>
      <c r="B11" s="13"/>
      <c r="C11" s="13"/>
      <c r="D11" s="23">
        <f>'2019 GRC'!C12</f>
        <v>0.51500000000000001</v>
      </c>
      <c r="E11" s="23">
        <f>'2019 GRC'!D12</f>
        <v>5.4951456310679617E-2</v>
      </c>
      <c r="F11" s="24">
        <f>'2019 GRC'!E12</f>
        <v>2.8299999999999999E-2</v>
      </c>
      <c r="G11" s="22"/>
      <c r="H11" s="3"/>
      <c r="I11" s="3"/>
      <c r="J11" s="3"/>
      <c r="K11" s="3"/>
      <c r="L11" s="3"/>
      <c r="M11" s="106"/>
      <c r="N11" s="22"/>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row>
    <row r="12" spans="1:41" x14ac:dyDescent="0.2">
      <c r="A12" s="12" t="s">
        <v>9</v>
      </c>
      <c r="B12" s="13"/>
      <c r="C12" s="13"/>
      <c r="D12" s="25">
        <f>'2019 GRC'!C13</f>
        <v>0.48499999999999999</v>
      </c>
      <c r="E12" s="25">
        <f>'2019 GRC'!D13</f>
        <v>9.4E-2</v>
      </c>
      <c r="F12" s="26">
        <f>'2019 GRC'!E13</f>
        <v>4.5600000000000002E-2</v>
      </c>
      <c r="G12" s="22"/>
      <c r="H12" s="3"/>
      <c r="I12" s="3"/>
      <c r="J12" s="3"/>
      <c r="K12" s="3"/>
      <c r="L12" s="3"/>
      <c r="M12" s="106"/>
      <c r="N12" s="22"/>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row>
    <row r="13" spans="1:41" ht="15.75" thickBot="1" x14ac:dyDescent="0.25">
      <c r="A13" s="12" t="s">
        <v>10</v>
      </c>
      <c r="B13" s="13"/>
      <c r="C13" s="13"/>
      <c r="D13" s="27">
        <f>D10+D11+D12</f>
        <v>1</v>
      </c>
      <c r="E13" s="28"/>
      <c r="F13" s="262">
        <f>F10+F11+F12</f>
        <v>7.3899999999999993E-2</v>
      </c>
      <c r="G13" s="28"/>
      <c r="H13" s="3"/>
      <c r="I13" s="3"/>
      <c r="J13" s="3"/>
      <c r="K13" s="3"/>
      <c r="L13" s="3"/>
      <c r="M13" s="106"/>
      <c r="N13" s="22"/>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row>
    <row r="14" spans="1:41" ht="15.75" thickTop="1" x14ac:dyDescent="0.2">
      <c r="A14" s="12"/>
      <c r="B14" s="13"/>
      <c r="C14" s="13"/>
      <c r="D14" s="14"/>
      <c r="E14" s="14"/>
      <c r="F14" s="21"/>
      <c r="G14" s="14"/>
      <c r="H14" s="3"/>
      <c r="I14" s="3"/>
      <c r="J14" s="3"/>
      <c r="K14" s="3"/>
      <c r="L14" s="3"/>
      <c r="M14" s="106"/>
      <c r="N14" s="22"/>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1" x14ac:dyDescent="0.2">
      <c r="A15" s="12" t="s">
        <v>11</v>
      </c>
      <c r="B15" s="13"/>
      <c r="C15" s="13"/>
      <c r="D15" s="14"/>
      <c r="E15" s="14"/>
      <c r="F15" s="24">
        <f>'2019 GRC'!I19</f>
        <v>0.21</v>
      </c>
      <c r="G15" s="28"/>
      <c r="H15" s="3"/>
      <c r="I15" s="3"/>
      <c r="J15" s="3"/>
      <c r="K15" s="3"/>
      <c r="L15" s="3"/>
      <c r="M15" s="106"/>
      <c r="N15" s="22"/>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row>
    <row r="16" spans="1:41" x14ac:dyDescent="0.2">
      <c r="A16" s="12" t="s">
        <v>12</v>
      </c>
      <c r="B16" s="13"/>
      <c r="C16" s="13"/>
      <c r="D16" s="14"/>
      <c r="E16" s="14"/>
      <c r="F16" s="24">
        <f>'2019 GRC'!J16</f>
        <v>4.5447000000000001E-2</v>
      </c>
      <c r="G16" s="28"/>
      <c r="H16" s="3"/>
      <c r="I16" s="3"/>
      <c r="J16" s="3"/>
      <c r="K16" s="3"/>
      <c r="L16" s="3"/>
      <c r="M16" s="106"/>
      <c r="N16" s="22"/>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row>
    <row r="17" spans="1:48" x14ac:dyDescent="0.2">
      <c r="A17" s="12" t="s">
        <v>13</v>
      </c>
      <c r="B17" s="13"/>
      <c r="C17" s="13"/>
      <c r="D17" s="14"/>
      <c r="E17" s="14"/>
      <c r="F17" s="24">
        <f>'2020 C&amp;OM'!G7</f>
        <v>2.4909364632323495E-2</v>
      </c>
      <c r="H17" s="3"/>
      <c r="I17" s="3"/>
      <c r="J17" s="3"/>
      <c r="K17" s="3"/>
      <c r="L17" s="3"/>
      <c r="M17" s="106"/>
      <c r="N17" s="22"/>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row>
    <row r="18" spans="1:48" x14ac:dyDescent="0.2">
      <c r="A18" s="12" t="s">
        <v>14</v>
      </c>
      <c r="B18" s="13"/>
      <c r="C18" s="13"/>
      <c r="D18" s="14"/>
      <c r="E18" s="14"/>
      <c r="F18" s="30">
        <v>2</v>
      </c>
      <c r="G18" s="5"/>
      <c r="H18" s="3"/>
      <c r="I18" s="3"/>
      <c r="J18" s="3"/>
      <c r="K18" s="3"/>
      <c r="L18" s="3"/>
      <c r="M18" s="106"/>
      <c r="N18" s="22"/>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row>
    <row r="19" spans="1:48" x14ac:dyDescent="0.2">
      <c r="A19" s="12"/>
      <c r="B19" s="13"/>
      <c r="C19" s="13"/>
      <c r="D19" s="14"/>
      <c r="E19" s="14"/>
      <c r="F19" s="15"/>
      <c r="G19" s="5"/>
      <c r="H19" s="3"/>
      <c r="I19" s="3"/>
      <c r="J19" s="3"/>
      <c r="K19" s="3"/>
      <c r="L19" s="3"/>
      <c r="M19" s="106"/>
      <c r="N19" s="22"/>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8" x14ac:dyDescent="0.2">
      <c r="A20" s="12" t="s">
        <v>15</v>
      </c>
      <c r="B20" s="13"/>
      <c r="C20" s="13"/>
      <c r="D20" s="14"/>
      <c r="E20" s="14"/>
      <c r="F20" s="15"/>
      <c r="G20" s="5"/>
      <c r="H20" s="3"/>
      <c r="I20" s="3"/>
      <c r="J20" s="3"/>
      <c r="K20" s="3"/>
      <c r="L20" s="3"/>
      <c r="N20" s="117"/>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row>
    <row r="21" spans="1:48" x14ac:dyDescent="0.2">
      <c r="A21" s="12" t="s">
        <v>16</v>
      </c>
      <c r="B21" s="13"/>
      <c r="C21" s="13"/>
      <c r="D21" s="14"/>
      <c r="E21" s="14"/>
      <c r="F21" s="15"/>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row>
    <row r="22" spans="1:48" ht="15.75" thickBot="1" x14ac:dyDescent="0.25">
      <c r="A22" s="31" t="s">
        <v>17</v>
      </c>
      <c r="B22" s="32"/>
      <c r="C22" s="32"/>
      <c r="D22" s="32"/>
      <c r="E22" s="33"/>
      <c r="F22" s="57">
        <f>'2020 C&amp;OM'!F6</f>
        <v>53737474.610000029</v>
      </c>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row>
    <row r="23" spans="1:48" ht="6" customHeight="1" x14ac:dyDescent="0.2">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row>
    <row r="24" spans="1:48" ht="6" customHeight="1" x14ac:dyDescent="0.2">
      <c r="B24" s="3"/>
      <c r="C24" s="3"/>
      <c r="D24" s="106"/>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row>
    <row r="25" spans="1:48" x14ac:dyDescent="0.2">
      <c r="A25" s="2"/>
      <c r="B25" s="2"/>
      <c r="C25" s="2"/>
      <c r="D25" s="122"/>
      <c r="E25" s="36" t="s">
        <v>18</v>
      </c>
      <c r="F25" s="95" t="s">
        <v>19</v>
      </c>
      <c r="G25" s="37" t="s">
        <v>20</v>
      </c>
      <c r="H25" s="37" t="s">
        <v>21</v>
      </c>
      <c r="I25" s="37" t="s">
        <v>22</v>
      </c>
      <c r="J25" s="37" t="s">
        <v>23</v>
      </c>
      <c r="K25" s="37" t="s">
        <v>24</v>
      </c>
      <c r="L25" s="37" t="s">
        <v>25</v>
      </c>
      <c r="M25" s="37" t="s">
        <v>26</v>
      </c>
      <c r="N25" s="37" t="s">
        <v>27</v>
      </c>
      <c r="O25" s="37" t="s">
        <v>28</v>
      </c>
      <c r="P25" s="37" t="s">
        <v>29</v>
      </c>
      <c r="Q25" s="37" t="s">
        <v>30</v>
      </c>
      <c r="R25" s="37" t="s">
        <v>31</v>
      </c>
      <c r="S25" s="37" t="s">
        <v>32</v>
      </c>
      <c r="T25" s="37" t="s">
        <v>33</v>
      </c>
      <c r="U25" s="37" t="s">
        <v>34</v>
      </c>
      <c r="V25" s="37" t="s">
        <v>35</v>
      </c>
      <c r="W25" s="37" t="s">
        <v>36</v>
      </c>
      <c r="X25" s="37" t="s">
        <v>37</v>
      </c>
      <c r="Y25" s="37" t="s">
        <v>38</v>
      </c>
      <c r="Z25" s="37" t="s">
        <v>39</v>
      </c>
      <c r="AA25" s="37" t="s">
        <v>40</v>
      </c>
      <c r="AB25" s="37" t="s">
        <v>41</v>
      </c>
      <c r="AC25" s="37" t="s">
        <v>42</v>
      </c>
      <c r="AD25" s="37" t="s">
        <v>43</v>
      </c>
      <c r="AE25" s="37" t="s">
        <v>44</v>
      </c>
      <c r="AF25" s="37" t="s">
        <v>45</v>
      </c>
      <c r="AG25" s="37" t="s">
        <v>46</v>
      </c>
      <c r="AH25" s="37" t="s">
        <v>47</v>
      </c>
      <c r="AI25" s="37" t="s">
        <v>48</v>
      </c>
      <c r="AJ25" s="37" t="s">
        <v>49</v>
      </c>
      <c r="AK25" s="37" t="s">
        <v>50</v>
      </c>
      <c r="AL25" s="37" t="s">
        <v>51</v>
      </c>
      <c r="AM25" s="37" t="s">
        <v>52</v>
      </c>
      <c r="AN25" s="37" t="s">
        <v>74</v>
      </c>
      <c r="AO25" s="37" t="s">
        <v>75</v>
      </c>
      <c r="AP25" s="37" t="s">
        <v>122</v>
      </c>
      <c r="AQ25" s="37" t="s">
        <v>123</v>
      </c>
      <c r="AR25" s="37" t="s">
        <v>124</v>
      </c>
      <c r="AS25" s="3" t="s">
        <v>125</v>
      </c>
    </row>
    <row r="26" spans="1:48" x14ac:dyDescent="0.2">
      <c r="A26" s="2"/>
      <c r="B26" s="2"/>
      <c r="C26" s="2"/>
      <c r="D26" s="122"/>
      <c r="E26" s="82">
        <v>2020</v>
      </c>
      <c r="F26" s="82">
        <v>2021</v>
      </c>
      <c r="G26" s="82">
        <v>2022</v>
      </c>
      <c r="H26" s="82">
        <v>2023</v>
      </c>
      <c r="I26" s="82">
        <v>2024</v>
      </c>
      <c r="J26" s="82">
        <v>2025</v>
      </c>
      <c r="K26" s="82">
        <v>2026</v>
      </c>
      <c r="L26" s="82">
        <v>2027</v>
      </c>
      <c r="M26" s="82">
        <v>2028</v>
      </c>
      <c r="N26" s="82">
        <v>2029</v>
      </c>
      <c r="O26" s="82">
        <v>2030</v>
      </c>
      <c r="P26" s="82">
        <v>2031</v>
      </c>
      <c r="Q26" s="82">
        <v>2032</v>
      </c>
      <c r="R26" s="82">
        <v>2033</v>
      </c>
      <c r="S26" s="82">
        <v>2034</v>
      </c>
      <c r="T26" s="82">
        <v>2035</v>
      </c>
      <c r="U26" s="82">
        <v>2036</v>
      </c>
      <c r="V26" s="82">
        <v>2037</v>
      </c>
      <c r="W26" s="82">
        <v>2038</v>
      </c>
      <c r="X26" s="82">
        <v>2039</v>
      </c>
      <c r="Y26" s="82">
        <v>2040</v>
      </c>
      <c r="Z26" s="82">
        <v>2041</v>
      </c>
      <c r="AA26" s="82">
        <v>2042</v>
      </c>
      <c r="AB26" s="82">
        <v>2043</v>
      </c>
      <c r="AC26" s="82">
        <v>2044</v>
      </c>
      <c r="AD26" s="82">
        <v>2045</v>
      </c>
      <c r="AE26" s="82">
        <v>2046</v>
      </c>
      <c r="AF26" s="82">
        <v>2047</v>
      </c>
      <c r="AG26" s="82">
        <v>2048</v>
      </c>
      <c r="AH26" s="82">
        <v>2049</v>
      </c>
      <c r="AI26" s="82">
        <v>2050</v>
      </c>
      <c r="AJ26" s="82">
        <v>2051</v>
      </c>
      <c r="AK26" s="82">
        <v>2052</v>
      </c>
      <c r="AL26" s="82">
        <v>2053</v>
      </c>
      <c r="AM26" s="82">
        <v>2054</v>
      </c>
      <c r="AN26" s="82">
        <v>2055</v>
      </c>
      <c r="AO26" s="82">
        <v>2056</v>
      </c>
      <c r="AP26" s="82">
        <v>2057</v>
      </c>
      <c r="AQ26" s="82">
        <v>2058</v>
      </c>
      <c r="AR26" s="82">
        <v>2059</v>
      </c>
      <c r="AS26" s="82">
        <v>2060</v>
      </c>
    </row>
    <row r="27" spans="1:48" x14ac:dyDescent="0.2">
      <c r="A27" s="157">
        <v>1</v>
      </c>
      <c r="B27" s="163" t="s">
        <v>156</v>
      </c>
      <c r="C27" s="163"/>
      <c r="D27" s="164"/>
      <c r="E27" s="165">
        <f>$F22*$F17</f>
        <v>1338566.3494807165</v>
      </c>
      <c r="F27" s="102">
        <f>$F22*$F17</f>
        <v>1338566.3494807165</v>
      </c>
      <c r="G27" s="102">
        <f t="shared" ref="G27:AR27" si="0">$F22*$F17</f>
        <v>1338566.3494807165</v>
      </c>
      <c r="H27" s="102">
        <f t="shared" si="0"/>
        <v>1338566.3494807165</v>
      </c>
      <c r="I27" s="102">
        <f t="shared" si="0"/>
        <v>1338566.3494807165</v>
      </c>
      <c r="J27" s="102">
        <f t="shared" si="0"/>
        <v>1338566.3494807165</v>
      </c>
      <c r="K27" s="102">
        <f t="shared" si="0"/>
        <v>1338566.3494807165</v>
      </c>
      <c r="L27" s="102">
        <f t="shared" si="0"/>
        <v>1338566.3494807165</v>
      </c>
      <c r="M27" s="102">
        <f t="shared" si="0"/>
        <v>1338566.3494807165</v>
      </c>
      <c r="N27" s="102">
        <f t="shared" si="0"/>
        <v>1338566.3494807165</v>
      </c>
      <c r="O27" s="102">
        <f t="shared" si="0"/>
        <v>1338566.3494807165</v>
      </c>
      <c r="P27" s="102">
        <f t="shared" si="0"/>
        <v>1338566.3494807165</v>
      </c>
      <c r="Q27" s="102">
        <f t="shared" si="0"/>
        <v>1338566.3494807165</v>
      </c>
      <c r="R27" s="102">
        <f t="shared" si="0"/>
        <v>1338566.3494807165</v>
      </c>
      <c r="S27" s="102">
        <f t="shared" si="0"/>
        <v>1338566.3494807165</v>
      </c>
      <c r="T27" s="102">
        <f t="shared" si="0"/>
        <v>1338566.3494807165</v>
      </c>
      <c r="U27" s="102">
        <f t="shared" si="0"/>
        <v>1338566.3494807165</v>
      </c>
      <c r="V27" s="102">
        <f t="shared" si="0"/>
        <v>1338566.3494807165</v>
      </c>
      <c r="W27" s="102">
        <f t="shared" si="0"/>
        <v>1338566.3494807165</v>
      </c>
      <c r="X27" s="102">
        <f t="shared" si="0"/>
        <v>1338566.3494807165</v>
      </c>
      <c r="Y27" s="102">
        <f t="shared" si="0"/>
        <v>1338566.3494807165</v>
      </c>
      <c r="Z27" s="102">
        <f t="shared" si="0"/>
        <v>1338566.3494807165</v>
      </c>
      <c r="AA27" s="102">
        <f t="shared" si="0"/>
        <v>1338566.3494807165</v>
      </c>
      <c r="AB27" s="102">
        <f t="shared" si="0"/>
        <v>1338566.3494807165</v>
      </c>
      <c r="AC27" s="102">
        <f t="shared" si="0"/>
        <v>1338566.3494807165</v>
      </c>
      <c r="AD27" s="102">
        <f t="shared" si="0"/>
        <v>1338566.3494807165</v>
      </c>
      <c r="AE27" s="102">
        <f t="shared" si="0"/>
        <v>1338566.3494807165</v>
      </c>
      <c r="AF27" s="102">
        <f t="shared" si="0"/>
        <v>1338566.3494807165</v>
      </c>
      <c r="AG27" s="102">
        <f t="shared" si="0"/>
        <v>1338566.3494807165</v>
      </c>
      <c r="AH27" s="102">
        <f t="shared" si="0"/>
        <v>1338566.3494807165</v>
      </c>
      <c r="AI27" s="102">
        <f t="shared" si="0"/>
        <v>1338566.3494807165</v>
      </c>
      <c r="AJ27" s="102">
        <f t="shared" si="0"/>
        <v>1338566.3494807165</v>
      </c>
      <c r="AK27" s="102">
        <f t="shared" si="0"/>
        <v>1338566.3494807165</v>
      </c>
      <c r="AL27" s="102">
        <f t="shared" si="0"/>
        <v>1338566.3494807165</v>
      </c>
      <c r="AM27" s="102">
        <f t="shared" si="0"/>
        <v>1338566.3494807165</v>
      </c>
      <c r="AN27" s="102">
        <f t="shared" si="0"/>
        <v>1338566.3494807165</v>
      </c>
      <c r="AO27" s="102">
        <f t="shared" si="0"/>
        <v>1338566.3494807165</v>
      </c>
      <c r="AP27" s="102">
        <f t="shared" si="0"/>
        <v>1338566.3494807165</v>
      </c>
      <c r="AQ27" s="102">
        <f t="shared" si="0"/>
        <v>1338566.3494807165</v>
      </c>
      <c r="AR27" s="102">
        <f t="shared" si="0"/>
        <v>1338566.3494807165</v>
      </c>
      <c r="AS27" s="102">
        <f>'CRM CAP Forecast'!G24</f>
        <v>0</v>
      </c>
      <c r="AT27" s="102"/>
      <c r="AU27" s="105">
        <f>SUM(D27:AT27)</f>
        <v>53542653.979228713</v>
      </c>
      <c r="AV27" s="22">
        <f>F22</f>
        <v>53737474.610000029</v>
      </c>
    </row>
    <row r="28" spans="1:48" x14ac:dyDescent="0.2">
      <c r="A28" s="2"/>
      <c r="B28" s="2"/>
      <c r="C28" s="2"/>
      <c r="D28" s="12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39"/>
      <c r="AN28" s="102"/>
      <c r="AO28" s="102"/>
      <c r="AP28" s="123"/>
    </row>
    <row r="29" spans="1:48" x14ac:dyDescent="0.2">
      <c r="A29" s="157">
        <f>A27+1</f>
        <v>2</v>
      </c>
      <c r="B29" s="2" t="s">
        <v>54</v>
      </c>
      <c r="C29" s="163"/>
      <c r="D29" s="164"/>
      <c r="E29" s="165">
        <f>E53</f>
        <v>642405.95509900642</v>
      </c>
      <c r="F29" s="102">
        <f t="shared" ref="F29:AT29" si="1">F53</f>
        <v>622085.60924214637</v>
      </c>
      <c r="G29" s="102">
        <f t="shared" si="1"/>
        <v>599763.34521912516</v>
      </c>
      <c r="H29" s="102">
        <f t="shared" si="1"/>
        <v>578153.7558558716</v>
      </c>
      <c r="I29" s="102">
        <f t="shared" si="1"/>
        <v>557203.49314522441</v>
      </c>
      <c r="J29" s="102">
        <f t="shared" si="1"/>
        <v>536863.31277288124</v>
      </c>
      <c r="K29" s="102">
        <f t="shared" si="1"/>
        <v>517087.39016858838</v>
      </c>
      <c r="L29" s="102">
        <f t="shared" si="1"/>
        <v>497833.32050614053</v>
      </c>
      <c r="M29" s="102">
        <f t="shared" si="1"/>
        <v>478870.61303664948</v>
      </c>
      <c r="N29" s="102">
        <f t="shared" si="1"/>
        <v>459949.62644455367</v>
      </c>
      <c r="O29" s="102">
        <f t="shared" si="1"/>
        <v>441028.6398524578</v>
      </c>
      <c r="P29" s="102">
        <f t="shared" si="1"/>
        <v>422107.6532603621</v>
      </c>
      <c r="Q29" s="102">
        <f t="shared" si="1"/>
        <v>403186.66666826617</v>
      </c>
      <c r="R29" s="102">
        <f t="shared" si="1"/>
        <v>384265.68007617048</v>
      </c>
      <c r="S29" s="102">
        <f t="shared" si="1"/>
        <v>365344.69348407455</v>
      </c>
      <c r="T29" s="102">
        <f t="shared" si="1"/>
        <v>346423.70689197874</v>
      </c>
      <c r="U29" s="102">
        <f t="shared" si="1"/>
        <v>327502.72029988293</v>
      </c>
      <c r="V29" s="102">
        <f t="shared" si="1"/>
        <v>308581.73370778706</v>
      </c>
      <c r="W29" s="102">
        <f t="shared" si="1"/>
        <v>289660.74711569125</v>
      </c>
      <c r="X29" s="102">
        <f t="shared" si="1"/>
        <v>270739.76052359538</v>
      </c>
      <c r="Y29" s="102">
        <f t="shared" si="1"/>
        <v>253344.66372606915</v>
      </c>
      <c r="Z29" s="102">
        <f t="shared" si="1"/>
        <v>239000.66256887221</v>
      </c>
      <c r="AA29" s="102">
        <f t="shared" si="1"/>
        <v>226182.55120624483</v>
      </c>
      <c r="AB29" s="102">
        <f t="shared" si="1"/>
        <v>213364.43984361753</v>
      </c>
      <c r="AC29" s="102">
        <f t="shared" si="1"/>
        <v>200546.32848099014</v>
      </c>
      <c r="AD29" s="102">
        <f t="shared" si="1"/>
        <v>187728.21711836278</v>
      </c>
      <c r="AE29" s="102">
        <f t="shared" si="1"/>
        <v>174910.10575573542</v>
      </c>
      <c r="AF29" s="102">
        <f t="shared" si="1"/>
        <v>162091.99439310806</v>
      </c>
      <c r="AG29" s="102">
        <f t="shared" si="1"/>
        <v>149273.88303048071</v>
      </c>
      <c r="AH29" s="102">
        <f t="shared" si="1"/>
        <v>136455.77166785332</v>
      </c>
      <c r="AI29" s="102">
        <f t="shared" si="1"/>
        <v>123637.66030522595</v>
      </c>
      <c r="AJ29" s="102">
        <f t="shared" si="1"/>
        <v>110819.5489425986</v>
      </c>
      <c r="AK29" s="102">
        <f t="shared" si="1"/>
        <v>98001.437579971229</v>
      </c>
      <c r="AL29" s="102">
        <f t="shared" si="1"/>
        <v>85183.326217343871</v>
      </c>
      <c r="AM29" s="102">
        <f t="shared" si="1"/>
        <v>72365.214854716498</v>
      </c>
      <c r="AN29" s="102">
        <f t="shared" si="1"/>
        <v>59547.103492089132</v>
      </c>
      <c r="AO29" s="102">
        <f t="shared" si="1"/>
        <v>46728.992129461767</v>
      </c>
      <c r="AP29" s="102">
        <f t="shared" si="1"/>
        <v>33910.880766834402</v>
      </c>
      <c r="AQ29" s="102">
        <f t="shared" si="1"/>
        <v>21092.769404207036</v>
      </c>
      <c r="AR29" s="102">
        <f t="shared" si="1"/>
        <v>8274.6580415796743</v>
      </c>
      <c r="AS29" s="102">
        <f t="shared" si="1"/>
        <v>1865.6023602659927</v>
      </c>
      <c r="AT29" s="102">
        <f t="shared" si="1"/>
        <v>1865.6023602659927</v>
      </c>
      <c r="AU29" s="105">
        <f>SUM(D29:AT29)</f>
        <v>11655249.837616347</v>
      </c>
    </row>
    <row r="30" spans="1:48" x14ac:dyDescent="0.2">
      <c r="A30" s="2"/>
      <c r="B30" s="2"/>
      <c r="C30" s="2"/>
      <c r="D30" s="122"/>
      <c r="E30" s="38"/>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row>
    <row r="31" spans="1:48" x14ac:dyDescent="0.2">
      <c r="A31" s="2"/>
      <c r="B31" s="2" t="s">
        <v>55</v>
      </c>
      <c r="C31" s="2"/>
      <c r="D31" s="122"/>
      <c r="E31" s="38">
        <f>+E30/0.79</f>
        <v>0</v>
      </c>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row>
    <row r="32" spans="1:48" x14ac:dyDescent="0.2">
      <c r="A32" s="157">
        <f>A29+1</f>
        <v>3</v>
      </c>
      <c r="B32" s="2"/>
      <c r="C32" s="2"/>
      <c r="D32" s="122"/>
      <c r="E32" s="38">
        <f>E49*$F10</f>
        <v>0</v>
      </c>
      <c r="F32" s="102">
        <f t="shared" ref="F32:AT32" si="2">F49*$F10</f>
        <v>0</v>
      </c>
      <c r="G32" s="102">
        <f t="shared" si="2"/>
        <v>0</v>
      </c>
      <c r="H32" s="102">
        <f t="shared" si="2"/>
        <v>0</v>
      </c>
      <c r="I32" s="102">
        <f t="shared" si="2"/>
        <v>0</v>
      </c>
      <c r="J32" s="102">
        <f t="shared" si="2"/>
        <v>0</v>
      </c>
      <c r="K32" s="102">
        <f t="shared" si="2"/>
        <v>0</v>
      </c>
      <c r="L32" s="102">
        <f t="shared" si="2"/>
        <v>0</v>
      </c>
      <c r="M32" s="102">
        <f t="shared" si="2"/>
        <v>0</v>
      </c>
      <c r="N32" s="102">
        <f t="shared" si="2"/>
        <v>0</v>
      </c>
      <c r="O32" s="102">
        <f t="shared" si="2"/>
        <v>0</v>
      </c>
      <c r="P32" s="102">
        <f t="shared" si="2"/>
        <v>0</v>
      </c>
      <c r="Q32" s="102">
        <f t="shared" si="2"/>
        <v>0</v>
      </c>
      <c r="R32" s="102">
        <f t="shared" si="2"/>
        <v>0</v>
      </c>
      <c r="S32" s="102">
        <f t="shared" si="2"/>
        <v>0</v>
      </c>
      <c r="T32" s="102">
        <f t="shared" si="2"/>
        <v>0</v>
      </c>
      <c r="U32" s="102">
        <f t="shared" si="2"/>
        <v>0</v>
      </c>
      <c r="V32" s="102">
        <f t="shared" si="2"/>
        <v>0</v>
      </c>
      <c r="W32" s="102">
        <f t="shared" si="2"/>
        <v>0</v>
      </c>
      <c r="X32" s="102">
        <f t="shared" si="2"/>
        <v>0</v>
      </c>
      <c r="Y32" s="102">
        <f t="shared" si="2"/>
        <v>0</v>
      </c>
      <c r="Z32" s="102">
        <f t="shared" si="2"/>
        <v>0</v>
      </c>
      <c r="AA32" s="102">
        <f t="shared" si="2"/>
        <v>0</v>
      </c>
      <c r="AB32" s="102">
        <f t="shared" si="2"/>
        <v>0</v>
      </c>
      <c r="AC32" s="102">
        <f t="shared" si="2"/>
        <v>0</v>
      </c>
      <c r="AD32" s="102">
        <f t="shared" si="2"/>
        <v>0</v>
      </c>
      <c r="AE32" s="102">
        <f t="shared" si="2"/>
        <v>0</v>
      </c>
      <c r="AF32" s="102">
        <f t="shared" si="2"/>
        <v>0</v>
      </c>
      <c r="AG32" s="102">
        <f t="shared" si="2"/>
        <v>0</v>
      </c>
      <c r="AH32" s="102">
        <f t="shared" si="2"/>
        <v>0</v>
      </c>
      <c r="AI32" s="102">
        <f t="shared" si="2"/>
        <v>0</v>
      </c>
      <c r="AJ32" s="102">
        <f t="shared" si="2"/>
        <v>0</v>
      </c>
      <c r="AK32" s="102">
        <f t="shared" si="2"/>
        <v>0</v>
      </c>
      <c r="AL32" s="102">
        <f t="shared" si="2"/>
        <v>0</v>
      </c>
      <c r="AM32" s="102">
        <f t="shared" si="2"/>
        <v>0</v>
      </c>
      <c r="AN32" s="102">
        <f t="shared" si="2"/>
        <v>0</v>
      </c>
      <c r="AO32" s="102">
        <f t="shared" si="2"/>
        <v>0</v>
      </c>
      <c r="AP32" s="102">
        <f t="shared" si="2"/>
        <v>0</v>
      </c>
      <c r="AQ32" s="102">
        <f t="shared" si="2"/>
        <v>0</v>
      </c>
      <c r="AR32" s="102">
        <f t="shared" si="2"/>
        <v>0</v>
      </c>
      <c r="AS32" s="102">
        <f t="shared" si="2"/>
        <v>0</v>
      </c>
      <c r="AT32" s="102">
        <f t="shared" si="2"/>
        <v>0</v>
      </c>
      <c r="AU32" s="105">
        <f t="shared" ref="AU32:AU42" si="3">SUM(D32:AT32)</f>
        <v>0</v>
      </c>
    </row>
    <row r="33" spans="1:47" x14ac:dyDescent="0.2">
      <c r="A33" s="157">
        <f>A32+1</f>
        <v>4</v>
      </c>
      <c r="B33" s="13"/>
      <c r="C33" s="13" t="s">
        <v>121</v>
      </c>
      <c r="D33" s="122"/>
      <c r="E33" s="38">
        <f>E49*$F11</f>
        <v>1499819.3335576949</v>
      </c>
      <c r="F33" s="102">
        <f t="shared" ref="F33:AT33" si="4">F49*$F11</f>
        <v>1452377.6071247561</v>
      </c>
      <c r="G33" s="102">
        <f t="shared" si="4"/>
        <v>1400262.0205789455</v>
      </c>
      <c r="H33" s="102">
        <f t="shared" si="4"/>
        <v>1349810.3090716084</v>
      </c>
      <c r="I33" s="102">
        <f t="shared" si="4"/>
        <v>1300897.9214962181</v>
      </c>
      <c r="J33" s="102">
        <f t="shared" si="4"/>
        <v>1253409.8876005961</v>
      </c>
      <c r="K33" s="102">
        <f t="shared" si="4"/>
        <v>1207239.2211778541</v>
      </c>
      <c r="L33" s="102">
        <f t="shared" si="4"/>
        <v>1162286.9200663934</v>
      </c>
      <c r="M33" s="102">
        <f t="shared" si="4"/>
        <v>1118014.8596136563</v>
      </c>
      <c r="N33" s="102">
        <f t="shared" si="4"/>
        <v>1073840.2045134592</v>
      </c>
      <c r="O33" s="102">
        <f t="shared" si="4"/>
        <v>1029665.5494132622</v>
      </c>
      <c r="P33" s="102">
        <f t="shared" si="4"/>
        <v>985490.89431306545</v>
      </c>
      <c r="Q33" s="102">
        <f t="shared" si="4"/>
        <v>941316.23921286839</v>
      </c>
      <c r="R33" s="102">
        <f t="shared" si="4"/>
        <v>897141.58411267144</v>
      </c>
      <c r="S33" s="102">
        <f t="shared" si="4"/>
        <v>852966.92901247437</v>
      </c>
      <c r="T33" s="102">
        <f t="shared" si="4"/>
        <v>808792.27391227742</v>
      </c>
      <c r="U33" s="102">
        <f t="shared" si="4"/>
        <v>764617.61881208047</v>
      </c>
      <c r="V33" s="102">
        <f t="shared" si="4"/>
        <v>720442.96371188341</v>
      </c>
      <c r="W33" s="102">
        <f t="shared" si="4"/>
        <v>676268.30861168646</v>
      </c>
      <c r="X33" s="102">
        <f t="shared" si="4"/>
        <v>632093.65351148939</v>
      </c>
      <c r="Y33" s="102">
        <f t="shared" si="4"/>
        <v>591481.47941977112</v>
      </c>
      <c r="Z33" s="102">
        <f t="shared" si="4"/>
        <v>557992.67053595197</v>
      </c>
      <c r="AA33" s="102">
        <f t="shared" si="4"/>
        <v>528066.3426606115</v>
      </c>
      <c r="AB33" s="102">
        <f t="shared" si="4"/>
        <v>498140.0147852712</v>
      </c>
      <c r="AC33" s="102">
        <f t="shared" si="4"/>
        <v>468213.68690993072</v>
      </c>
      <c r="AD33" s="102">
        <f t="shared" si="4"/>
        <v>438287.35903459031</v>
      </c>
      <c r="AE33" s="102">
        <f t="shared" si="4"/>
        <v>408361.03115924983</v>
      </c>
      <c r="AF33" s="102">
        <f t="shared" si="4"/>
        <v>378434.70328390942</v>
      </c>
      <c r="AG33" s="102">
        <f t="shared" si="4"/>
        <v>348508.375408569</v>
      </c>
      <c r="AH33" s="102">
        <f t="shared" si="4"/>
        <v>318582.04753322853</v>
      </c>
      <c r="AI33" s="102">
        <f t="shared" si="4"/>
        <v>288655.71965788811</v>
      </c>
      <c r="AJ33" s="102">
        <f t="shared" si="4"/>
        <v>258729.3917825477</v>
      </c>
      <c r="AK33" s="102">
        <f t="shared" si="4"/>
        <v>228803.06390720728</v>
      </c>
      <c r="AL33" s="102">
        <f t="shared" si="4"/>
        <v>198876.73603186684</v>
      </c>
      <c r="AM33" s="102">
        <f t="shared" si="4"/>
        <v>168950.40815652639</v>
      </c>
      <c r="AN33" s="102">
        <f t="shared" si="4"/>
        <v>139024.08028118595</v>
      </c>
      <c r="AO33" s="102">
        <f t="shared" si="4"/>
        <v>109097.75240584552</v>
      </c>
      <c r="AP33" s="102">
        <f t="shared" si="4"/>
        <v>79171.424530505086</v>
      </c>
      <c r="AQ33" s="102">
        <f t="shared" si="4"/>
        <v>49245.096655164656</v>
      </c>
      <c r="AR33" s="102">
        <f t="shared" si="4"/>
        <v>19318.768779824226</v>
      </c>
      <c r="AS33" s="102">
        <f t="shared" si="4"/>
        <v>4355.6048421540099</v>
      </c>
      <c r="AT33" s="102">
        <f t="shared" si="4"/>
        <v>4355.6048421540099</v>
      </c>
      <c r="AU33" s="105">
        <f t="shared" si="3"/>
        <v>27211405.66202889</v>
      </c>
    </row>
    <row r="34" spans="1:47" x14ac:dyDescent="0.2">
      <c r="A34" s="157">
        <f>A33+1</f>
        <v>5</v>
      </c>
      <c r="B34" s="2"/>
      <c r="C34" s="2" t="s">
        <v>9</v>
      </c>
      <c r="D34" s="122"/>
      <c r="E34" s="40">
        <f>E49*$F12</f>
        <v>2416670.0215629293</v>
      </c>
      <c r="F34" s="100">
        <f t="shared" ref="F34:AT34" si="5">F49*$F12</f>
        <v>2340226.8157204553</v>
      </c>
      <c r="G34" s="100">
        <f t="shared" si="5"/>
        <v>2256252.5843957569</v>
      </c>
      <c r="H34" s="100">
        <f t="shared" si="5"/>
        <v>2174959.3672673269</v>
      </c>
      <c r="I34" s="100">
        <f t="shared" si="5"/>
        <v>2096146.4742129873</v>
      </c>
      <c r="J34" s="100">
        <f t="shared" si="5"/>
        <v>2019628.6528122679</v>
      </c>
      <c r="K34" s="100">
        <f t="shared" si="5"/>
        <v>1945233.5153961184</v>
      </c>
      <c r="L34" s="100">
        <f t="shared" si="5"/>
        <v>1872801.5390469097</v>
      </c>
      <c r="M34" s="100">
        <f t="shared" si="5"/>
        <v>1801465.6395188244</v>
      </c>
      <c r="N34" s="100">
        <f t="shared" si="5"/>
        <v>1730286.6899580827</v>
      </c>
      <c r="O34" s="100">
        <f t="shared" si="5"/>
        <v>1659107.7403973413</v>
      </c>
      <c r="P34" s="100">
        <f t="shared" si="5"/>
        <v>1587928.7908366004</v>
      </c>
      <c r="Q34" s="100">
        <f t="shared" si="5"/>
        <v>1516749.8412758587</v>
      </c>
      <c r="R34" s="100">
        <f t="shared" si="5"/>
        <v>1445570.8917151175</v>
      </c>
      <c r="S34" s="100">
        <f t="shared" si="5"/>
        <v>1374391.9421543758</v>
      </c>
      <c r="T34" s="100">
        <f t="shared" si="5"/>
        <v>1303212.9925936344</v>
      </c>
      <c r="U34" s="100">
        <f t="shared" si="5"/>
        <v>1232034.043032893</v>
      </c>
      <c r="V34" s="100">
        <f t="shared" si="5"/>
        <v>1160855.0934721513</v>
      </c>
      <c r="W34" s="100">
        <f t="shared" si="5"/>
        <v>1089676.1439114101</v>
      </c>
      <c r="X34" s="100">
        <f t="shared" si="5"/>
        <v>1018497.1943506685</v>
      </c>
      <c r="Y34" s="100">
        <f t="shared" si="5"/>
        <v>953058.49687426013</v>
      </c>
      <c r="Z34" s="100">
        <f t="shared" si="5"/>
        <v>899097.73061623366</v>
      </c>
      <c r="AA34" s="100">
        <f t="shared" si="5"/>
        <v>850877.21644254017</v>
      </c>
      <c r="AB34" s="100">
        <f t="shared" si="5"/>
        <v>802656.70226884692</v>
      </c>
      <c r="AC34" s="100">
        <f t="shared" si="5"/>
        <v>754436.18809515343</v>
      </c>
      <c r="AD34" s="100">
        <f t="shared" si="5"/>
        <v>706215.67392146005</v>
      </c>
      <c r="AE34" s="100">
        <f t="shared" si="5"/>
        <v>657995.15974776656</v>
      </c>
      <c r="AF34" s="100">
        <f t="shared" si="5"/>
        <v>609774.64557407319</v>
      </c>
      <c r="AG34" s="100">
        <f t="shared" si="5"/>
        <v>561554.13140037982</v>
      </c>
      <c r="AH34" s="100">
        <f t="shared" si="5"/>
        <v>513333.61722668633</v>
      </c>
      <c r="AI34" s="100">
        <f t="shared" si="5"/>
        <v>465113.1030529929</v>
      </c>
      <c r="AJ34" s="100">
        <f t="shared" si="5"/>
        <v>416892.58887929952</v>
      </c>
      <c r="AK34" s="100">
        <f t="shared" si="5"/>
        <v>368672.07470560609</v>
      </c>
      <c r="AL34" s="100">
        <f t="shared" si="5"/>
        <v>320451.56053191266</v>
      </c>
      <c r="AM34" s="100">
        <f t="shared" si="5"/>
        <v>272231.04635821923</v>
      </c>
      <c r="AN34" s="100">
        <f t="shared" si="5"/>
        <v>224010.5321845258</v>
      </c>
      <c r="AO34" s="100">
        <f t="shared" si="5"/>
        <v>175790.01801083237</v>
      </c>
      <c r="AP34" s="100">
        <f t="shared" si="5"/>
        <v>127569.50383713895</v>
      </c>
      <c r="AQ34" s="100">
        <f t="shared" si="5"/>
        <v>79348.989663445522</v>
      </c>
      <c r="AR34" s="100">
        <f t="shared" si="5"/>
        <v>31128.475489752112</v>
      </c>
      <c r="AS34" s="100">
        <f t="shared" si="5"/>
        <v>7018.2184029054015</v>
      </c>
      <c r="AT34" s="100">
        <f t="shared" si="5"/>
        <v>7018.2184029054015</v>
      </c>
      <c r="AU34" s="105">
        <f t="shared" si="3"/>
        <v>43845939.865318649</v>
      </c>
    </row>
    <row r="35" spans="1:47" x14ac:dyDescent="0.2">
      <c r="A35" s="157">
        <f>A34+1</f>
        <v>6</v>
      </c>
      <c r="B35" s="2"/>
      <c r="C35" s="2" t="s">
        <v>58</v>
      </c>
      <c r="D35" s="122"/>
      <c r="E35" s="38">
        <f>E32+E33+E34</f>
        <v>3916489.3551206244</v>
      </c>
      <c r="F35" s="102">
        <f>F32+F33+F34</f>
        <v>3792604.4228452113</v>
      </c>
      <c r="G35" s="102">
        <f>G32+G33+G34</f>
        <v>3656514.6049747025</v>
      </c>
      <c r="H35" s="102">
        <f t="shared" ref="H35:AT35" si="6">H32+H33+H34</f>
        <v>3524769.6763389353</v>
      </c>
      <c r="I35" s="102">
        <f t="shared" si="6"/>
        <v>3397044.3957092054</v>
      </c>
      <c r="J35" s="102">
        <f t="shared" si="6"/>
        <v>3273038.5404128637</v>
      </c>
      <c r="K35" s="102">
        <f t="shared" si="6"/>
        <v>3152472.7365739727</v>
      </c>
      <c r="L35" s="102">
        <f t="shared" si="6"/>
        <v>3035088.4591133031</v>
      </c>
      <c r="M35" s="102">
        <f t="shared" si="6"/>
        <v>2919480.4991324805</v>
      </c>
      <c r="N35" s="102">
        <f t="shared" si="6"/>
        <v>2804126.894471542</v>
      </c>
      <c r="O35" s="102">
        <f t="shared" si="6"/>
        <v>2688773.2898106035</v>
      </c>
      <c r="P35" s="102">
        <f t="shared" si="6"/>
        <v>2573419.6851496659</v>
      </c>
      <c r="Q35" s="102">
        <f t="shared" si="6"/>
        <v>2458066.080488727</v>
      </c>
      <c r="R35" s="102">
        <f t="shared" si="6"/>
        <v>2342712.4758277889</v>
      </c>
      <c r="S35" s="102">
        <f t="shared" si="6"/>
        <v>2227358.8711668504</v>
      </c>
      <c r="T35" s="102">
        <f t="shared" si="6"/>
        <v>2112005.2665059119</v>
      </c>
      <c r="U35" s="102">
        <f t="shared" si="6"/>
        <v>1996651.6618449735</v>
      </c>
      <c r="V35" s="102">
        <f t="shared" si="6"/>
        <v>1881298.0571840347</v>
      </c>
      <c r="W35" s="102">
        <f t="shared" si="6"/>
        <v>1765944.4525230965</v>
      </c>
      <c r="X35" s="102">
        <f t="shared" si="6"/>
        <v>1650590.847862158</v>
      </c>
      <c r="Y35" s="102">
        <f t="shared" si="6"/>
        <v>1544539.9762940314</v>
      </c>
      <c r="Z35" s="102">
        <f t="shared" si="6"/>
        <v>1457090.4011521856</v>
      </c>
      <c r="AA35" s="102">
        <f t="shared" si="6"/>
        <v>1378943.5591031518</v>
      </c>
      <c r="AB35" s="102">
        <f t="shared" si="6"/>
        <v>1300796.7170541182</v>
      </c>
      <c r="AC35" s="102">
        <f t="shared" si="6"/>
        <v>1222649.8750050841</v>
      </c>
      <c r="AD35" s="102">
        <f t="shared" si="6"/>
        <v>1144503.0329560502</v>
      </c>
      <c r="AE35" s="102">
        <f t="shared" si="6"/>
        <v>1066356.1909070164</v>
      </c>
      <c r="AF35" s="102">
        <f t="shared" si="6"/>
        <v>988209.34885798255</v>
      </c>
      <c r="AG35" s="102">
        <f t="shared" si="6"/>
        <v>910062.50680894882</v>
      </c>
      <c r="AH35" s="102">
        <f t="shared" si="6"/>
        <v>831915.66475991486</v>
      </c>
      <c r="AI35" s="102">
        <f t="shared" si="6"/>
        <v>753768.82271088101</v>
      </c>
      <c r="AJ35" s="102">
        <f t="shared" si="6"/>
        <v>675621.98066184716</v>
      </c>
      <c r="AK35" s="102">
        <f t="shared" si="6"/>
        <v>597475.13861281332</v>
      </c>
      <c r="AL35" s="102">
        <f t="shared" si="6"/>
        <v>519328.29656377947</v>
      </c>
      <c r="AM35" s="102">
        <f t="shared" si="6"/>
        <v>441181.45451474562</v>
      </c>
      <c r="AN35" s="102">
        <f t="shared" si="6"/>
        <v>363034.61246571178</v>
      </c>
      <c r="AO35" s="102">
        <f t="shared" si="6"/>
        <v>284887.77041667787</v>
      </c>
      <c r="AP35" s="102">
        <f t="shared" si="6"/>
        <v>206740.92836764402</v>
      </c>
      <c r="AQ35" s="102">
        <f t="shared" si="6"/>
        <v>128594.08631861018</v>
      </c>
      <c r="AR35" s="102">
        <f t="shared" si="6"/>
        <v>50447.244269576338</v>
      </c>
      <c r="AS35" s="102">
        <f t="shared" si="6"/>
        <v>11373.823245059411</v>
      </c>
      <c r="AT35" s="102">
        <f t="shared" si="6"/>
        <v>11373.823245059411</v>
      </c>
      <c r="AU35" s="105">
        <f t="shared" si="3"/>
        <v>71057345.52734755</v>
      </c>
    </row>
    <row r="36" spans="1:47" x14ac:dyDescent="0.2">
      <c r="A36" s="2"/>
      <c r="B36" s="2"/>
      <c r="C36" s="2"/>
      <c r="D36" s="122"/>
      <c r="E36" s="38"/>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5">
        <f t="shared" si="3"/>
        <v>0</v>
      </c>
    </row>
    <row r="37" spans="1:47" x14ac:dyDescent="0.2">
      <c r="A37" s="157">
        <f>A35+1</f>
        <v>7</v>
      </c>
      <c r="B37" s="2" t="s">
        <v>59</v>
      </c>
      <c r="C37" s="2"/>
      <c r="D37" s="122"/>
      <c r="E37" s="41">
        <f>E27+E29+E35</f>
        <v>5897461.6597003471</v>
      </c>
      <c r="F37" s="99">
        <f>F27+F29+F35</f>
        <v>5753256.3815680742</v>
      </c>
      <c r="G37" s="99">
        <f t="shared" ref="G37:AT37" si="7">G27+G29+G35</f>
        <v>5594844.2996745445</v>
      </c>
      <c r="H37" s="99">
        <f t="shared" si="7"/>
        <v>5441489.7816755231</v>
      </c>
      <c r="I37" s="99">
        <f t="shared" si="7"/>
        <v>5292814.2383351466</v>
      </c>
      <c r="J37" s="99">
        <f t="shared" si="7"/>
        <v>5148468.2026664615</v>
      </c>
      <c r="K37" s="99">
        <f t="shared" si="7"/>
        <v>5008126.4762232779</v>
      </c>
      <c r="L37" s="99">
        <f t="shared" si="7"/>
        <v>4871488.1291001607</v>
      </c>
      <c r="M37" s="99">
        <f t="shared" si="7"/>
        <v>4736917.4616498463</v>
      </c>
      <c r="N37" s="99">
        <f t="shared" si="7"/>
        <v>4602642.8703968124</v>
      </c>
      <c r="O37" s="99">
        <f t="shared" si="7"/>
        <v>4468368.2791437777</v>
      </c>
      <c r="P37" s="99">
        <f t="shared" si="7"/>
        <v>4334093.6878907448</v>
      </c>
      <c r="Q37" s="99">
        <f t="shared" si="7"/>
        <v>4199819.0966377091</v>
      </c>
      <c r="R37" s="99">
        <f t="shared" si="7"/>
        <v>4065544.5053846762</v>
      </c>
      <c r="S37" s="99">
        <f t="shared" si="7"/>
        <v>3931269.9141316414</v>
      </c>
      <c r="T37" s="99">
        <f t="shared" si="7"/>
        <v>3796995.3228786071</v>
      </c>
      <c r="U37" s="99">
        <f t="shared" si="7"/>
        <v>3662720.7316255728</v>
      </c>
      <c r="V37" s="99">
        <f t="shared" si="7"/>
        <v>3528446.140372538</v>
      </c>
      <c r="W37" s="99">
        <f t="shared" si="7"/>
        <v>3394171.5491195042</v>
      </c>
      <c r="X37" s="99">
        <f t="shared" si="7"/>
        <v>3259896.9578664699</v>
      </c>
      <c r="Y37" s="99">
        <f t="shared" si="7"/>
        <v>3136450.9895008169</v>
      </c>
      <c r="Z37" s="99">
        <f t="shared" si="7"/>
        <v>3034657.4132017745</v>
      </c>
      <c r="AA37" s="99">
        <f t="shared" si="7"/>
        <v>2943692.4597901134</v>
      </c>
      <c r="AB37" s="99">
        <f t="shared" si="7"/>
        <v>2852727.5063784523</v>
      </c>
      <c r="AC37" s="99">
        <f t="shared" si="7"/>
        <v>2761762.5529667907</v>
      </c>
      <c r="AD37" s="99">
        <f t="shared" si="7"/>
        <v>2670797.5995551297</v>
      </c>
      <c r="AE37" s="99">
        <f t="shared" si="7"/>
        <v>2579832.6461434681</v>
      </c>
      <c r="AF37" s="99">
        <f t="shared" si="7"/>
        <v>2488867.692731807</v>
      </c>
      <c r="AG37" s="99">
        <f t="shared" si="7"/>
        <v>2397902.7393201459</v>
      </c>
      <c r="AH37" s="99">
        <f t="shared" si="7"/>
        <v>2306937.7859084848</v>
      </c>
      <c r="AI37" s="99">
        <f t="shared" si="7"/>
        <v>2215972.8324968237</v>
      </c>
      <c r="AJ37" s="99">
        <f t="shared" si="7"/>
        <v>2125007.8790851622</v>
      </c>
      <c r="AK37" s="99">
        <f t="shared" si="7"/>
        <v>2034042.9256735011</v>
      </c>
      <c r="AL37" s="99">
        <f t="shared" si="7"/>
        <v>1943077.9722618398</v>
      </c>
      <c r="AM37" s="99">
        <f t="shared" si="7"/>
        <v>1852113.0188501787</v>
      </c>
      <c r="AN37" s="99">
        <f t="shared" si="7"/>
        <v>1761148.0654385174</v>
      </c>
      <c r="AO37" s="99">
        <f t="shared" si="7"/>
        <v>1670183.1120268563</v>
      </c>
      <c r="AP37" s="99">
        <f t="shared" si="7"/>
        <v>1579218.158615195</v>
      </c>
      <c r="AQ37" s="99">
        <f t="shared" si="7"/>
        <v>1488253.2052035339</v>
      </c>
      <c r="AR37" s="99">
        <f t="shared" si="7"/>
        <v>1397288.2517918725</v>
      </c>
      <c r="AS37" s="99">
        <f t="shared" si="7"/>
        <v>13239.425605325405</v>
      </c>
      <c r="AT37" s="99">
        <f t="shared" si="7"/>
        <v>13239.425605325405</v>
      </c>
      <c r="AU37" s="105">
        <f t="shared" si="3"/>
        <v>136255249.34419262</v>
      </c>
    </row>
    <row r="38" spans="1:47" x14ac:dyDescent="0.2">
      <c r="A38" s="157">
        <f>A37+1</f>
        <v>8</v>
      </c>
      <c r="B38" s="2" t="s">
        <v>60</v>
      </c>
      <c r="C38" s="2"/>
      <c r="D38" s="122"/>
      <c r="E38" s="40">
        <f>E37/(1-$F16)-E37</f>
        <v>280782.67005436216</v>
      </c>
      <c r="F38" s="100">
        <f t="shared" ref="F38:AT38" si="8">F37/(1-$F16)-F37</f>
        <v>273916.94622836448</v>
      </c>
      <c r="G38" s="100">
        <f t="shared" si="8"/>
        <v>266374.82558570243</v>
      </c>
      <c r="H38" s="100">
        <f t="shared" si="8"/>
        <v>259073.49943670724</v>
      </c>
      <c r="I38" s="100">
        <f t="shared" si="8"/>
        <v>251994.94285766967</v>
      </c>
      <c r="J38" s="100">
        <f t="shared" si="8"/>
        <v>245122.51745747216</v>
      </c>
      <c r="K38" s="100">
        <f t="shared" si="8"/>
        <v>238440.74028882571</v>
      </c>
      <c r="L38" s="100">
        <f t="shared" si="8"/>
        <v>231935.28384826705</v>
      </c>
      <c r="M38" s="100">
        <f t="shared" si="8"/>
        <v>225528.2712218184</v>
      </c>
      <c r="N38" s="100">
        <f t="shared" si="8"/>
        <v>219135.35501006618</v>
      </c>
      <c r="O38" s="100">
        <f t="shared" si="8"/>
        <v>212742.43879831396</v>
      </c>
      <c r="P38" s="100">
        <f t="shared" si="8"/>
        <v>206349.52258656267</v>
      </c>
      <c r="Q38" s="100">
        <f t="shared" si="8"/>
        <v>199956.60637481045</v>
      </c>
      <c r="R38" s="100">
        <f t="shared" si="8"/>
        <v>193563.69016305823</v>
      </c>
      <c r="S38" s="100">
        <f t="shared" si="8"/>
        <v>187170.77395130554</v>
      </c>
      <c r="T38" s="100">
        <f t="shared" si="8"/>
        <v>180777.85773955379</v>
      </c>
      <c r="U38" s="100">
        <f t="shared" si="8"/>
        <v>174384.94152780157</v>
      </c>
      <c r="V38" s="100">
        <f t="shared" si="8"/>
        <v>167992.02531604934</v>
      </c>
      <c r="W38" s="100">
        <f t="shared" si="8"/>
        <v>161599.10910429712</v>
      </c>
      <c r="X38" s="100">
        <f t="shared" si="8"/>
        <v>155206.1928925449</v>
      </c>
      <c r="Y38" s="100">
        <f t="shared" si="8"/>
        <v>149328.83571665874</v>
      </c>
      <c r="Z38" s="100">
        <f t="shared" si="8"/>
        <v>144482.36552373832</v>
      </c>
      <c r="AA38" s="100">
        <f t="shared" si="8"/>
        <v>140151.45436668396</v>
      </c>
      <c r="AB38" s="100">
        <f t="shared" si="8"/>
        <v>135820.5432096296</v>
      </c>
      <c r="AC38" s="100">
        <f t="shared" si="8"/>
        <v>131489.63205257524</v>
      </c>
      <c r="AD38" s="100">
        <f t="shared" si="8"/>
        <v>127158.72089552088</v>
      </c>
      <c r="AE38" s="100">
        <f t="shared" si="8"/>
        <v>122827.80973846652</v>
      </c>
      <c r="AF38" s="100">
        <f t="shared" si="8"/>
        <v>118496.89858141169</v>
      </c>
      <c r="AG38" s="100">
        <f t="shared" si="8"/>
        <v>114165.98742435733</v>
      </c>
      <c r="AH38" s="100">
        <f t="shared" si="8"/>
        <v>109835.07626730297</v>
      </c>
      <c r="AI38" s="100">
        <f t="shared" si="8"/>
        <v>105504.16511024861</v>
      </c>
      <c r="AJ38" s="100">
        <f t="shared" si="8"/>
        <v>101173.25395319425</v>
      </c>
      <c r="AK38" s="100">
        <f t="shared" si="8"/>
        <v>96842.342796139885</v>
      </c>
      <c r="AL38" s="100">
        <f t="shared" si="8"/>
        <v>92511.431639085291</v>
      </c>
      <c r="AM38" s="100">
        <f t="shared" si="8"/>
        <v>88180.52048203093</v>
      </c>
      <c r="AN38" s="100">
        <f t="shared" si="8"/>
        <v>83849.609324976569</v>
      </c>
      <c r="AO38" s="100">
        <f t="shared" si="8"/>
        <v>79518.698167922208</v>
      </c>
      <c r="AP38" s="100">
        <f t="shared" si="8"/>
        <v>75187.787010867614</v>
      </c>
      <c r="AQ38" s="100">
        <f t="shared" si="8"/>
        <v>70856.875853813253</v>
      </c>
      <c r="AR38" s="100">
        <f t="shared" si="8"/>
        <v>66525.964696758892</v>
      </c>
      <c r="AS38" s="100">
        <f t="shared" si="8"/>
        <v>630.33920116035915</v>
      </c>
      <c r="AT38" s="100">
        <f t="shared" si="8"/>
        <v>630.33920116035915</v>
      </c>
      <c r="AU38" s="105">
        <f t="shared" si="3"/>
        <v>6487216.8616572544</v>
      </c>
    </row>
    <row r="39" spans="1:47" x14ac:dyDescent="0.2">
      <c r="A39" s="157">
        <f>A38+1</f>
        <v>9</v>
      </c>
      <c r="B39" s="2"/>
      <c r="C39" s="2" t="s">
        <v>61</v>
      </c>
      <c r="D39" s="122"/>
      <c r="E39" s="41">
        <f>SUM(E37:E38)</f>
        <v>6178244.3297547093</v>
      </c>
      <c r="F39" s="99">
        <f t="shared" ref="F39:AT39" si="9">SUM(F37:F38)</f>
        <v>6027173.3277964387</v>
      </c>
      <c r="G39" s="99">
        <f t="shared" si="9"/>
        <v>5861219.1252602469</v>
      </c>
      <c r="H39" s="99">
        <f t="shared" si="9"/>
        <v>5700563.2811122304</v>
      </c>
      <c r="I39" s="99">
        <f t="shared" si="9"/>
        <v>5544809.1811928162</v>
      </c>
      <c r="J39" s="99">
        <f t="shared" si="9"/>
        <v>5393590.7201239336</v>
      </c>
      <c r="K39" s="99">
        <f t="shared" si="9"/>
        <v>5246567.2165121036</v>
      </c>
      <c r="L39" s="99">
        <f t="shared" si="9"/>
        <v>5103423.4129484277</v>
      </c>
      <c r="M39" s="99">
        <f t="shared" si="9"/>
        <v>4962445.7328716647</v>
      </c>
      <c r="N39" s="99">
        <f t="shared" si="9"/>
        <v>4821778.2254068786</v>
      </c>
      <c r="O39" s="99">
        <f t="shared" si="9"/>
        <v>4681110.7179420916</v>
      </c>
      <c r="P39" s="99">
        <f t="shared" si="9"/>
        <v>4540443.2104773074</v>
      </c>
      <c r="Q39" s="99">
        <f t="shared" si="9"/>
        <v>4399775.7030125195</v>
      </c>
      <c r="R39" s="99">
        <f t="shared" si="9"/>
        <v>4259108.1955477344</v>
      </c>
      <c r="S39" s="99">
        <f t="shared" si="9"/>
        <v>4118440.6880829469</v>
      </c>
      <c r="T39" s="99">
        <f t="shared" si="9"/>
        <v>3977773.1806181609</v>
      </c>
      <c r="U39" s="99">
        <f t="shared" si="9"/>
        <v>3837105.6731533743</v>
      </c>
      <c r="V39" s="99">
        <f t="shared" si="9"/>
        <v>3696438.1656885874</v>
      </c>
      <c r="W39" s="99">
        <f t="shared" si="9"/>
        <v>3555770.6582238013</v>
      </c>
      <c r="X39" s="99">
        <f t="shared" si="9"/>
        <v>3415103.1507590148</v>
      </c>
      <c r="Y39" s="99">
        <f t="shared" si="9"/>
        <v>3285779.8252174756</v>
      </c>
      <c r="Z39" s="99">
        <f t="shared" si="9"/>
        <v>3179139.7787255128</v>
      </c>
      <c r="AA39" s="99">
        <f t="shared" si="9"/>
        <v>3083843.9141567973</v>
      </c>
      <c r="AB39" s="99">
        <f t="shared" si="9"/>
        <v>2988548.0495880819</v>
      </c>
      <c r="AC39" s="99">
        <f t="shared" si="9"/>
        <v>2893252.185019366</v>
      </c>
      <c r="AD39" s="99">
        <f t="shared" si="9"/>
        <v>2797956.3204506505</v>
      </c>
      <c r="AE39" s="99">
        <f t="shared" si="9"/>
        <v>2702660.4558819346</v>
      </c>
      <c r="AF39" s="99">
        <f t="shared" si="9"/>
        <v>2607364.5913132187</v>
      </c>
      <c r="AG39" s="99">
        <f t="shared" si="9"/>
        <v>2512068.7267445032</v>
      </c>
      <c r="AH39" s="99">
        <f t="shared" si="9"/>
        <v>2416772.8621757878</v>
      </c>
      <c r="AI39" s="99">
        <f t="shared" si="9"/>
        <v>2321476.9976070723</v>
      </c>
      <c r="AJ39" s="99">
        <f t="shared" si="9"/>
        <v>2226181.1330383564</v>
      </c>
      <c r="AK39" s="99">
        <f t="shared" si="9"/>
        <v>2130885.268469641</v>
      </c>
      <c r="AL39" s="99">
        <f t="shared" si="9"/>
        <v>2035589.4039009251</v>
      </c>
      <c r="AM39" s="99">
        <f t="shared" si="9"/>
        <v>1940293.5393322096</v>
      </c>
      <c r="AN39" s="99">
        <f t="shared" si="9"/>
        <v>1844997.6747634939</v>
      </c>
      <c r="AO39" s="99">
        <f t="shared" si="9"/>
        <v>1749701.8101947785</v>
      </c>
      <c r="AP39" s="99">
        <f t="shared" si="9"/>
        <v>1654405.9456260626</v>
      </c>
      <c r="AQ39" s="99">
        <f t="shared" si="9"/>
        <v>1559110.0810573471</v>
      </c>
      <c r="AR39" s="99">
        <f t="shared" si="9"/>
        <v>1463814.2164886314</v>
      </c>
      <c r="AS39" s="99">
        <f t="shared" si="9"/>
        <v>13869.764806485764</v>
      </c>
      <c r="AT39" s="99">
        <f t="shared" si="9"/>
        <v>13869.764806485764</v>
      </c>
      <c r="AU39" s="105">
        <f t="shared" si="3"/>
        <v>142742466.2058498</v>
      </c>
    </row>
    <row r="40" spans="1:47" x14ac:dyDescent="0.2">
      <c r="A40" s="157">
        <f t="shared" ref="A40:A66" si="10">A39+1</f>
        <v>10</v>
      </c>
      <c r="B40" s="2"/>
      <c r="C40" s="2"/>
      <c r="D40" s="122"/>
      <c r="E40" s="41"/>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105">
        <f t="shared" si="3"/>
        <v>0</v>
      </c>
    </row>
    <row r="41" spans="1:47" x14ac:dyDescent="0.2">
      <c r="A41" s="157">
        <f t="shared" si="10"/>
        <v>11</v>
      </c>
      <c r="B41" s="2"/>
      <c r="C41" s="2"/>
      <c r="D41" s="122"/>
      <c r="E41" s="38"/>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5">
        <f t="shared" si="3"/>
        <v>0</v>
      </c>
    </row>
    <row r="42" spans="1:47" x14ac:dyDescent="0.2">
      <c r="A42" s="157">
        <f t="shared" si="10"/>
        <v>12</v>
      </c>
      <c r="B42" s="163" t="s">
        <v>177</v>
      </c>
      <c r="C42" s="163"/>
      <c r="D42" s="164"/>
      <c r="E42" s="166">
        <f>E39</f>
        <v>6178244.3297547093</v>
      </c>
      <c r="F42" s="100">
        <f>F39</f>
        <v>6027173.3277964387</v>
      </c>
      <c r="G42" s="100">
        <f t="shared" ref="G42:AT42" si="11">G39</f>
        <v>5861219.1252602469</v>
      </c>
      <c r="H42" s="100">
        <f t="shared" si="11"/>
        <v>5700563.2811122304</v>
      </c>
      <c r="I42" s="100">
        <f t="shared" si="11"/>
        <v>5544809.1811928162</v>
      </c>
      <c r="J42" s="100">
        <f t="shared" si="11"/>
        <v>5393590.7201239336</v>
      </c>
      <c r="K42" s="100">
        <f t="shared" si="11"/>
        <v>5246567.2165121036</v>
      </c>
      <c r="L42" s="100">
        <f t="shared" si="11"/>
        <v>5103423.4129484277</v>
      </c>
      <c r="M42" s="100">
        <f t="shared" si="11"/>
        <v>4962445.7328716647</v>
      </c>
      <c r="N42" s="100">
        <f t="shared" si="11"/>
        <v>4821778.2254068786</v>
      </c>
      <c r="O42" s="100">
        <f t="shared" si="11"/>
        <v>4681110.7179420916</v>
      </c>
      <c r="P42" s="100">
        <f t="shared" si="11"/>
        <v>4540443.2104773074</v>
      </c>
      <c r="Q42" s="100">
        <f t="shared" si="11"/>
        <v>4399775.7030125195</v>
      </c>
      <c r="R42" s="100">
        <f t="shared" si="11"/>
        <v>4259108.1955477344</v>
      </c>
      <c r="S42" s="100">
        <f t="shared" si="11"/>
        <v>4118440.6880829469</v>
      </c>
      <c r="T42" s="100">
        <f t="shared" si="11"/>
        <v>3977773.1806181609</v>
      </c>
      <c r="U42" s="100">
        <f t="shared" si="11"/>
        <v>3837105.6731533743</v>
      </c>
      <c r="V42" s="100">
        <f t="shared" si="11"/>
        <v>3696438.1656885874</v>
      </c>
      <c r="W42" s="100">
        <f t="shared" si="11"/>
        <v>3555770.6582238013</v>
      </c>
      <c r="X42" s="100">
        <f t="shared" si="11"/>
        <v>3415103.1507590148</v>
      </c>
      <c r="Y42" s="100">
        <f t="shared" si="11"/>
        <v>3285779.8252174756</v>
      </c>
      <c r="Z42" s="100">
        <f t="shared" si="11"/>
        <v>3179139.7787255128</v>
      </c>
      <c r="AA42" s="100">
        <f t="shared" si="11"/>
        <v>3083843.9141567973</v>
      </c>
      <c r="AB42" s="100">
        <f t="shared" si="11"/>
        <v>2988548.0495880819</v>
      </c>
      <c r="AC42" s="100">
        <f t="shared" si="11"/>
        <v>2893252.185019366</v>
      </c>
      <c r="AD42" s="100">
        <f t="shared" si="11"/>
        <v>2797956.3204506505</v>
      </c>
      <c r="AE42" s="100">
        <f t="shared" si="11"/>
        <v>2702660.4558819346</v>
      </c>
      <c r="AF42" s="100">
        <f t="shared" si="11"/>
        <v>2607364.5913132187</v>
      </c>
      <c r="AG42" s="100">
        <f t="shared" si="11"/>
        <v>2512068.7267445032</v>
      </c>
      <c r="AH42" s="100">
        <f t="shared" si="11"/>
        <v>2416772.8621757878</v>
      </c>
      <c r="AI42" s="100">
        <f t="shared" si="11"/>
        <v>2321476.9976070723</v>
      </c>
      <c r="AJ42" s="100">
        <f t="shared" si="11"/>
        <v>2226181.1330383564</v>
      </c>
      <c r="AK42" s="100">
        <f t="shared" si="11"/>
        <v>2130885.268469641</v>
      </c>
      <c r="AL42" s="100">
        <f t="shared" si="11"/>
        <v>2035589.4039009251</v>
      </c>
      <c r="AM42" s="100">
        <f t="shared" si="11"/>
        <v>1940293.5393322096</v>
      </c>
      <c r="AN42" s="100">
        <f t="shared" si="11"/>
        <v>1844997.6747634939</v>
      </c>
      <c r="AO42" s="100">
        <f t="shared" si="11"/>
        <v>1749701.8101947785</v>
      </c>
      <c r="AP42" s="100">
        <f t="shared" si="11"/>
        <v>1654405.9456260626</v>
      </c>
      <c r="AQ42" s="100">
        <f t="shared" si="11"/>
        <v>1559110.0810573471</v>
      </c>
      <c r="AR42" s="100">
        <f t="shared" si="11"/>
        <v>1463814.2164886314</v>
      </c>
      <c r="AS42" s="100">
        <f t="shared" si="11"/>
        <v>13869.764806485764</v>
      </c>
      <c r="AT42" s="100">
        <f t="shared" si="11"/>
        <v>13869.764806485764</v>
      </c>
      <c r="AU42" s="105">
        <f t="shared" si="3"/>
        <v>142742466.2058498</v>
      </c>
    </row>
    <row r="43" spans="1:47" x14ac:dyDescent="0.2">
      <c r="A43" s="157">
        <f t="shared" si="10"/>
        <v>13</v>
      </c>
      <c r="B43" s="2"/>
      <c r="C43" s="2"/>
      <c r="D43" s="122"/>
      <c r="E43" s="83"/>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row>
    <row r="44" spans="1:47" outlineLevel="1" x14ac:dyDescent="0.2">
      <c r="A44" s="157">
        <f t="shared" si="10"/>
        <v>14</v>
      </c>
      <c r="B44" s="2"/>
      <c r="C44" s="2"/>
      <c r="D44" s="122"/>
      <c r="E44" s="43"/>
      <c r="F44" s="122"/>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row>
    <row r="45" spans="1:47" outlineLevel="1" x14ac:dyDescent="0.2">
      <c r="A45" s="157">
        <f t="shared" si="10"/>
        <v>15</v>
      </c>
      <c r="B45" s="2" t="s">
        <v>63</v>
      </c>
      <c r="C45" s="122"/>
      <c r="D45" s="122"/>
      <c r="E45" s="45">
        <f>+E42/$F$22</f>
        <v>0.11497087227476442</v>
      </c>
      <c r="F45" s="101">
        <f t="shared" ref="F45:AT45" si="12">+F42/$F$22</f>
        <v>0.11215959386887227</v>
      </c>
      <c r="G45" s="101">
        <f t="shared" si="12"/>
        <v>0.1090713541676097</v>
      </c>
      <c r="H45" s="101">
        <f t="shared" si="12"/>
        <v>0.10608171155202388</v>
      </c>
      <c r="I45" s="101">
        <f t="shared" si="12"/>
        <v>0.10318328543412757</v>
      </c>
      <c r="J45" s="101">
        <f t="shared" si="12"/>
        <v>0.1003692629634709</v>
      </c>
      <c r="K45" s="101">
        <f t="shared" si="12"/>
        <v>9.7633304404218649E-2</v>
      </c>
      <c r="L45" s="101">
        <f t="shared" si="12"/>
        <v>9.4969543135150034E-2</v>
      </c>
      <c r="M45" s="101">
        <f t="shared" si="12"/>
        <v>9.234609123124296E-2</v>
      </c>
      <c r="N45" s="101">
        <f t="shared" si="12"/>
        <v>8.9728411325633681E-2</v>
      </c>
      <c r="O45" s="101">
        <f t="shared" si="12"/>
        <v>8.7110731420024373E-2</v>
      </c>
      <c r="P45" s="101">
        <f t="shared" si="12"/>
        <v>8.4493051514415121E-2</v>
      </c>
      <c r="Q45" s="101">
        <f t="shared" si="12"/>
        <v>8.1875371608805814E-2</v>
      </c>
      <c r="R45" s="101">
        <f t="shared" si="12"/>
        <v>7.9257691703196548E-2</v>
      </c>
      <c r="S45" s="101">
        <f t="shared" si="12"/>
        <v>7.664001179758724E-2</v>
      </c>
      <c r="T45" s="101">
        <f t="shared" si="12"/>
        <v>7.402233189197796E-2</v>
      </c>
      <c r="U45" s="101">
        <f t="shared" si="12"/>
        <v>7.1404651986368667E-2</v>
      </c>
      <c r="V45" s="101">
        <f t="shared" si="12"/>
        <v>6.8786972080759373E-2</v>
      </c>
      <c r="W45" s="101">
        <f t="shared" si="12"/>
        <v>6.616929217515008E-2</v>
      </c>
      <c r="X45" s="101">
        <f t="shared" si="12"/>
        <v>6.35516122695408E-2</v>
      </c>
      <c r="Y45" s="101">
        <f t="shared" si="12"/>
        <v>6.1145036104953532E-2</v>
      </c>
      <c r="Z45" s="101">
        <f t="shared" si="12"/>
        <v>5.9160572799487408E-2</v>
      </c>
      <c r="AA45" s="101">
        <f t="shared" si="12"/>
        <v>5.7387213235043304E-2</v>
      </c>
      <c r="AB45" s="101">
        <f t="shared" si="12"/>
        <v>5.5613853670599206E-2</v>
      </c>
      <c r="AC45" s="101">
        <f t="shared" si="12"/>
        <v>5.3840494106155101E-2</v>
      </c>
      <c r="AD45" s="101">
        <f t="shared" si="12"/>
        <v>5.2067134541711003E-2</v>
      </c>
      <c r="AE45" s="101">
        <f t="shared" si="12"/>
        <v>5.0293774977266899E-2</v>
      </c>
      <c r="AF45" s="101">
        <f t="shared" si="12"/>
        <v>4.8520415412822787E-2</v>
      </c>
      <c r="AG45" s="101">
        <f t="shared" si="12"/>
        <v>4.6747055848378689E-2</v>
      </c>
      <c r="AH45" s="101">
        <f t="shared" si="12"/>
        <v>4.4973696283934592E-2</v>
      </c>
      <c r="AI45" s="101">
        <f t="shared" si="12"/>
        <v>4.3200336719490494E-2</v>
      </c>
      <c r="AJ45" s="101">
        <f t="shared" si="12"/>
        <v>4.1426977155046389E-2</v>
      </c>
      <c r="AK45" s="101">
        <f t="shared" si="12"/>
        <v>3.9653617590602291E-2</v>
      </c>
      <c r="AL45" s="101">
        <f t="shared" si="12"/>
        <v>3.788025802615818E-2</v>
      </c>
      <c r="AM45" s="101">
        <f t="shared" si="12"/>
        <v>3.6106898461714082E-2</v>
      </c>
      <c r="AN45" s="101">
        <f t="shared" si="12"/>
        <v>3.4333538897269977E-2</v>
      </c>
      <c r="AO45" s="101">
        <f t="shared" si="12"/>
        <v>3.256017933282588E-2</v>
      </c>
      <c r="AP45" s="101">
        <f t="shared" si="12"/>
        <v>3.0786819768381775E-2</v>
      </c>
      <c r="AQ45" s="101">
        <f t="shared" si="12"/>
        <v>2.9013460203937677E-2</v>
      </c>
      <c r="AR45" s="101">
        <f t="shared" si="12"/>
        <v>2.7240100639493572E-2</v>
      </c>
      <c r="AS45" s="101">
        <f t="shared" si="12"/>
        <v>2.5810228164136194E-4</v>
      </c>
      <c r="AT45" s="101">
        <f t="shared" si="12"/>
        <v>2.5810228164136194E-4</v>
      </c>
    </row>
    <row r="46" spans="1:47" outlineLevel="1" x14ac:dyDescent="0.2">
      <c r="A46" s="157">
        <f t="shared" si="10"/>
        <v>16</v>
      </c>
      <c r="B46" s="2"/>
      <c r="C46" s="2"/>
      <c r="D46" s="122"/>
      <c r="E46" s="43"/>
      <c r="F46" s="122"/>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row>
    <row r="47" spans="1:47" outlineLevel="1" x14ac:dyDescent="0.2">
      <c r="A47" s="157">
        <f t="shared" si="10"/>
        <v>17</v>
      </c>
      <c r="B47" s="2"/>
      <c r="C47" s="2"/>
      <c r="D47" s="122"/>
      <c r="E47" s="43">
        <f>+E27/2</f>
        <v>669283.17474035826</v>
      </c>
      <c r="F47" s="99"/>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row>
    <row r="48" spans="1:47" outlineLevel="1" x14ac:dyDescent="0.2">
      <c r="A48" s="157">
        <f t="shared" si="10"/>
        <v>18</v>
      </c>
      <c r="B48" s="2"/>
      <c r="C48" s="2"/>
      <c r="D48" s="122"/>
      <c r="E48" s="43">
        <f>+E60/2</f>
        <v>71041.83958139988</v>
      </c>
      <c r="F48" s="99"/>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row>
    <row r="49" spans="1:47" x14ac:dyDescent="0.2">
      <c r="A49" s="157">
        <f t="shared" si="10"/>
        <v>19</v>
      </c>
      <c r="B49" s="46" t="s">
        <v>64</v>
      </c>
      <c r="C49" s="2"/>
      <c r="D49" s="122"/>
      <c r="E49" s="41">
        <f>F22-E27/2-E60/2</f>
        <v>52997149.59567827</v>
      </c>
      <c r="F49" s="118">
        <f>$F$22-(SUM($E$27:E27)+F27/2)-(SUM($E$60:E60)+F60/2)</f>
        <v>51320763.502641559</v>
      </c>
      <c r="G49" s="118">
        <f>$F$22-(SUM($E$27:F27)+G27/2)-(SUM($E$60:F60)+G60/2)</f>
        <v>49479223.342012212</v>
      </c>
      <c r="H49" s="118">
        <f>$F$22-(SUM($E$27:G27)+H27/2)-(SUM($E$60:G60)+H60/2)</f>
        <v>47696477.352353655</v>
      </c>
      <c r="I49" s="118">
        <f>$F$22-(SUM($E$27:H27)+I27/2)-(SUM($E$60:H60)+I60/2)</f>
        <v>45968124.434495337</v>
      </c>
      <c r="J49" s="118">
        <f>$F$22-(SUM($E$27:I27)+J27/2)-(SUM($E$60:I60)+J60/2)</f>
        <v>44290102.035356753</v>
      </c>
      <c r="K49" s="118">
        <f>$F$22-(SUM($E$27:J27)+K27/2)-(SUM($E$60:J60)+K60/2)</f>
        <v>42658629.723599084</v>
      </c>
      <c r="L49" s="118">
        <f>$F$22-(SUM($E$27:K27)+L27/2)-(SUM($E$60:K60)+L60/2)</f>
        <v>41070209.189625211</v>
      </c>
      <c r="M49" s="118">
        <f>$F$22-(SUM($E$27:L27)+M27/2)-(SUM($E$60:L60)+M60/2)</f>
        <v>39505825.428044394</v>
      </c>
      <c r="N49" s="118">
        <f>$F$22-(SUM($E$27:M27)+N27/2)-(SUM($E$60:M60)+N60/2)</f>
        <v>37944883.551712342</v>
      </c>
      <c r="O49" s="118">
        <f>$F$22-(SUM($E$27:N27)+O27/2)-(SUM($E$60:N60)+O60/2)</f>
        <v>36383941.67538029</v>
      </c>
      <c r="P49" s="118">
        <f>$F$22-(SUM($E$27:O27)+P27/2)-(SUM($E$60:O60)+P60/2)</f>
        <v>34822999.799048252</v>
      </c>
      <c r="Q49" s="118">
        <f>$F$22-(SUM($E$27:P27)+Q27/2)-(SUM($E$60:P60)+Q60/2)</f>
        <v>33262057.9227162</v>
      </c>
      <c r="R49" s="118">
        <f>$F$22-(SUM($E$27:Q27)+R27/2)-(SUM($E$60:Q60)+R60/2)</f>
        <v>31701116.046384152</v>
      </c>
      <c r="S49" s="118">
        <f>$F$22-(SUM($E$27:R27)+S27/2)-(SUM($E$60:R60)+S60/2)</f>
        <v>30140174.1700521</v>
      </c>
      <c r="T49" s="118">
        <f>$F$22-(SUM($E$27:S27)+T27/2)-(SUM($E$60:S60)+T60/2)</f>
        <v>28579232.293720052</v>
      </c>
      <c r="U49" s="118">
        <f>$F$22-(SUM($E$27:T27)+U27/2)-(SUM($E$60:T60)+U60/2)</f>
        <v>27018290.417388003</v>
      </c>
      <c r="V49" s="118">
        <f>$F$22-(SUM($E$27:U27)+V27/2)-(SUM($E$60:U60)+V60/2)</f>
        <v>25457348.541055951</v>
      </c>
      <c r="W49" s="118">
        <f>$F$22-(SUM($E$27:V27)+W27/2)-(SUM($E$60:V60)+W60/2)</f>
        <v>23896406.664723903</v>
      </c>
      <c r="X49" s="118">
        <f>$F$22-(SUM($E$27:W27)+X27/2)-(SUM($E$60:W60)+X60/2)</f>
        <v>22335464.788391851</v>
      </c>
      <c r="Y49" s="118">
        <f>$F$22-(SUM($E$27:X27)+Y27/2)-(SUM($E$60:X60)+Y60/2)</f>
        <v>20900405.633207459</v>
      </c>
      <c r="Z49" s="118">
        <f>$F$22-(SUM($E$27:Y27)+Z27/2)-(SUM($E$60:Y60)+Z60/2)</f>
        <v>19717055.495970037</v>
      </c>
      <c r="AA49" s="118">
        <f>$F$22-(SUM($E$27:Z27)+AA27/2)-(SUM($E$60:Z60)+AA60/2)</f>
        <v>18659588.079880267</v>
      </c>
      <c r="AB49" s="118">
        <f>$F$22-(SUM($E$27:AA27)+AB27/2)-(SUM($E$60:AA60)+AB60/2)</f>
        <v>17602120.663790502</v>
      </c>
      <c r="AC49" s="118">
        <f>$F$22-(SUM($E$27:AB27)+AC27/2)-(SUM($E$60:AB60)+AC60/2)</f>
        <v>16544653.247700732</v>
      </c>
      <c r="AD49" s="118">
        <f>$F$22-(SUM($E$27:AC27)+AD27/2)-(SUM($E$60:AC60)+AD60/2)</f>
        <v>15487185.831610966</v>
      </c>
      <c r="AE49" s="118">
        <f>$F$22-(SUM($E$27:AD27)+AE27/2)-(SUM($E$60:AD60)+AE60/2)</f>
        <v>14429718.415521197</v>
      </c>
      <c r="AF49" s="118">
        <f>$F$22-(SUM($E$27:AE27)+AF27/2)-(SUM($E$60:AE60)+AF60/2)</f>
        <v>13372250.999431429</v>
      </c>
      <c r="AG49" s="118">
        <f>$F$22-(SUM($E$27:AF27)+AG27/2)-(SUM($E$60:AF60)+AG60/2)</f>
        <v>12314783.583341662</v>
      </c>
      <c r="AH49" s="118">
        <f>$F$22-(SUM($E$27:AG27)+AH27/2)-(SUM($E$60:AG60)+AH60/2)</f>
        <v>11257316.167251892</v>
      </c>
      <c r="AI49" s="118">
        <f>$F$22-(SUM($E$27:AH27)+AI27/2)-(SUM($E$60:AH60)+AI60/2)</f>
        <v>10199848.751162125</v>
      </c>
      <c r="AJ49" s="118">
        <f>$F$22-(SUM($E$27:AI27)+AJ27/2)-(SUM($E$60:AI60)+AJ60/2)</f>
        <v>9142381.3350723572</v>
      </c>
      <c r="AK49" s="118">
        <f>$F$22-(SUM($E$27:AJ27)+AK27/2)-(SUM($E$60:AJ60)+AK60/2)</f>
        <v>8084913.9189825896</v>
      </c>
      <c r="AL49" s="118">
        <f>$F$22-(SUM($E$27:AK27)+AL27/2)-(SUM($E$60:AK60)+AL60/2)</f>
        <v>7027446.5028928211</v>
      </c>
      <c r="AM49" s="118">
        <f>$F$22-(SUM($E$27:AL27)+AM27/2)-(SUM($E$60:AL60)+AM60/2)</f>
        <v>5969979.0868030526</v>
      </c>
      <c r="AN49" s="118">
        <f>$F$22-(SUM($E$27:AM27)+AN27/2)-(SUM($E$60:AM60)+AN60/2)</f>
        <v>4912511.670713285</v>
      </c>
      <c r="AO49" s="118">
        <f>$F$22-(SUM($E$27:AN27)+AO27/2)-(SUM($E$60:AN60)+AO60/2)</f>
        <v>3855044.2546235165</v>
      </c>
      <c r="AP49" s="118">
        <f>$F$22-(SUM($E$27:AO27)+AP27/2)-(SUM($E$60:AO60)+AP60/2)</f>
        <v>2797576.8385337489</v>
      </c>
      <c r="AQ49" s="118">
        <f>$F$22-(SUM($E$27:AP27)+AQ27/2)-(SUM($E$60:AP60)+AQ60/2)</f>
        <v>1740109.4224439808</v>
      </c>
      <c r="AR49" s="118">
        <f>$F$22-(SUM($E$27:AQ27)+AR27/2)-(SUM($E$60:AQ60)+AR60/2)</f>
        <v>682642.00635421299</v>
      </c>
      <c r="AS49" s="118">
        <f>$F$22-(SUM($E$27:AR27)+AS27/2)-(SUM($E$60:AR60)+AS60/2)</f>
        <v>153908.29830932897</v>
      </c>
      <c r="AT49" s="118">
        <f>$F$22-(SUM($E$27:AR27)+AT27/2)-(SUM($E$60:AR60)+AT60/2)</f>
        <v>153908.29830932897</v>
      </c>
      <c r="AU49" s="105">
        <f t="shared" ref="AU49:AU60" si="13">SUM(D49:AT49)</f>
        <v>961533768.97628582</v>
      </c>
    </row>
    <row r="50" spans="1:47" x14ac:dyDescent="0.2">
      <c r="A50" s="157">
        <f t="shared" si="10"/>
        <v>20</v>
      </c>
      <c r="B50" s="2"/>
      <c r="C50" s="2"/>
      <c r="D50" s="122"/>
      <c r="E50" s="84"/>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5">
        <f t="shared" si="13"/>
        <v>0</v>
      </c>
    </row>
    <row r="51" spans="1:47" x14ac:dyDescent="0.2">
      <c r="A51" s="157">
        <f t="shared" si="10"/>
        <v>21</v>
      </c>
      <c r="B51" s="2"/>
      <c r="C51" s="2"/>
      <c r="D51" s="122"/>
      <c r="E51" s="38"/>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5">
        <f t="shared" si="13"/>
        <v>0</v>
      </c>
    </row>
    <row r="52" spans="1:47" x14ac:dyDescent="0.2">
      <c r="A52" s="157">
        <f t="shared" si="10"/>
        <v>22</v>
      </c>
      <c r="B52" s="2" t="s">
        <v>65</v>
      </c>
      <c r="C52" s="2"/>
      <c r="D52" s="122"/>
      <c r="E52" s="38">
        <f>(E34)/(1-$F$15)</f>
        <v>3059075.9766619354</v>
      </c>
      <c r="F52" s="102">
        <f t="shared" ref="F52:AT52" si="14">(F34)/(1-$F$15)</f>
        <v>2962312.4249626016</v>
      </c>
      <c r="G52" s="102">
        <f t="shared" si="14"/>
        <v>2856015.929614882</v>
      </c>
      <c r="H52" s="102">
        <f t="shared" si="14"/>
        <v>2753113.1231231983</v>
      </c>
      <c r="I52" s="102">
        <f t="shared" si="14"/>
        <v>2653349.9673582115</v>
      </c>
      <c r="J52" s="102">
        <f t="shared" si="14"/>
        <v>2556491.9655851489</v>
      </c>
      <c r="K52" s="102">
        <f t="shared" si="14"/>
        <v>2462320.9055647068</v>
      </c>
      <c r="L52" s="102">
        <f t="shared" si="14"/>
        <v>2370634.8595530502</v>
      </c>
      <c r="M52" s="102">
        <f t="shared" si="14"/>
        <v>2280336.2525554737</v>
      </c>
      <c r="N52" s="102">
        <f t="shared" si="14"/>
        <v>2190236.3164026365</v>
      </c>
      <c r="O52" s="102">
        <f t="shared" si="14"/>
        <v>2100136.3802497992</v>
      </c>
      <c r="P52" s="102">
        <f t="shared" si="14"/>
        <v>2010036.4440969625</v>
      </c>
      <c r="Q52" s="102">
        <f t="shared" si="14"/>
        <v>1919936.5079441248</v>
      </c>
      <c r="R52" s="102">
        <f t="shared" si="14"/>
        <v>1829836.571791288</v>
      </c>
      <c r="S52" s="102">
        <f t="shared" si="14"/>
        <v>1739736.6356384503</v>
      </c>
      <c r="T52" s="102">
        <f t="shared" si="14"/>
        <v>1649636.699485613</v>
      </c>
      <c r="U52" s="102">
        <f t="shared" si="14"/>
        <v>1559536.7633327758</v>
      </c>
      <c r="V52" s="102">
        <f t="shared" si="14"/>
        <v>1469436.8271799383</v>
      </c>
      <c r="W52" s="102">
        <f t="shared" si="14"/>
        <v>1379336.8910271013</v>
      </c>
      <c r="X52" s="102">
        <f t="shared" si="14"/>
        <v>1289236.9548742638</v>
      </c>
      <c r="Y52" s="102">
        <f t="shared" si="14"/>
        <v>1206403.1606003293</v>
      </c>
      <c r="Z52" s="102">
        <f t="shared" si="14"/>
        <v>1138098.3931851059</v>
      </c>
      <c r="AA52" s="102">
        <f t="shared" si="14"/>
        <v>1077059.7676487849</v>
      </c>
      <c r="AB52" s="102">
        <f t="shared" si="14"/>
        <v>1016021.1421124644</v>
      </c>
      <c r="AC52" s="102">
        <f t="shared" si="14"/>
        <v>954982.51657614356</v>
      </c>
      <c r="AD52" s="102">
        <f t="shared" si="14"/>
        <v>893943.89103982283</v>
      </c>
      <c r="AE52" s="102">
        <f t="shared" si="14"/>
        <v>832905.26550350199</v>
      </c>
      <c r="AF52" s="102">
        <f t="shared" si="14"/>
        <v>771866.63996718125</v>
      </c>
      <c r="AG52" s="102">
        <f t="shared" si="14"/>
        <v>710828.01443086052</v>
      </c>
      <c r="AH52" s="102">
        <f t="shared" si="14"/>
        <v>649789.38889453968</v>
      </c>
      <c r="AI52" s="102">
        <f t="shared" si="14"/>
        <v>588750.76335821883</v>
      </c>
      <c r="AJ52" s="102">
        <f t="shared" si="14"/>
        <v>527712.1378218981</v>
      </c>
      <c r="AK52" s="102">
        <f t="shared" si="14"/>
        <v>466673.51228557731</v>
      </c>
      <c r="AL52" s="102">
        <f t="shared" si="14"/>
        <v>405634.88674925652</v>
      </c>
      <c r="AM52" s="102">
        <f t="shared" si="14"/>
        <v>344596.26121293573</v>
      </c>
      <c r="AN52" s="102">
        <f t="shared" si="14"/>
        <v>283557.63567661494</v>
      </c>
      <c r="AO52" s="102">
        <f t="shared" si="14"/>
        <v>222519.01014029412</v>
      </c>
      <c r="AP52" s="102">
        <f t="shared" si="14"/>
        <v>161480.38460397336</v>
      </c>
      <c r="AQ52" s="102">
        <f t="shared" si="14"/>
        <v>100441.75906765256</v>
      </c>
      <c r="AR52" s="102">
        <f t="shared" si="14"/>
        <v>39403.133531331783</v>
      </c>
      <c r="AS52" s="102">
        <f t="shared" si="14"/>
        <v>8883.820763171394</v>
      </c>
      <c r="AT52" s="102">
        <f t="shared" si="14"/>
        <v>8883.820763171394</v>
      </c>
      <c r="AU52" s="105">
        <f t="shared" si="13"/>
        <v>55501189.702935003</v>
      </c>
    </row>
    <row r="53" spans="1:47" x14ac:dyDescent="0.2">
      <c r="A53" s="157">
        <f t="shared" si="10"/>
        <v>23</v>
      </c>
      <c r="B53" s="2" t="s">
        <v>66</v>
      </c>
      <c r="C53" s="2"/>
      <c r="D53" s="122"/>
      <c r="E53" s="40">
        <f t="shared" ref="E53:AT53" si="15">E52*$F15</f>
        <v>642405.95509900642</v>
      </c>
      <c r="F53" s="100">
        <f t="shared" si="15"/>
        <v>622085.60924214637</v>
      </c>
      <c r="G53" s="100">
        <f t="shared" si="15"/>
        <v>599763.34521912516</v>
      </c>
      <c r="H53" s="100">
        <f t="shared" si="15"/>
        <v>578153.7558558716</v>
      </c>
      <c r="I53" s="100">
        <f t="shared" si="15"/>
        <v>557203.49314522441</v>
      </c>
      <c r="J53" s="100">
        <f t="shared" si="15"/>
        <v>536863.31277288124</v>
      </c>
      <c r="K53" s="100">
        <f t="shared" si="15"/>
        <v>517087.39016858838</v>
      </c>
      <c r="L53" s="100">
        <f t="shared" si="15"/>
        <v>497833.32050614053</v>
      </c>
      <c r="M53" s="100">
        <f t="shared" si="15"/>
        <v>478870.61303664948</v>
      </c>
      <c r="N53" s="100">
        <f t="shared" si="15"/>
        <v>459949.62644455367</v>
      </c>
      <c r="O53" s="100">
        <f t="shared" si="15"/>
        <v>441028.6398524578</v>
      </c>
      <c r="P53" s="100">
        <f t="shared" si="15"/>
        <v>422107.6532603621</v>
      </c>
      <c r="Q53" s="100">
        <f t="shared" si="15"/>
        <v>403186.66666826617</v>
      </c>
      <c r="R53" s="100">
        <f t="shared" si="15"/>
        <v>384265.68007617048</v>
      </c>
      <c r="S53" s="100">
        <f t="shared" si="15"/>
        <v>365344.69348407455</v>
      </c>
      <c r="T53" s="100">
        <f t="shared" si="15"/>
        <v>346423.70689197874</v>
      </c>
      <c r="U53" s="100">
        <f t="shared" si="15"/>
        <v>327502.72029988293</v>
      </c>
      <c r="V53" s="100">
        <f t="shared" si="15"/>
        <v>308581.73370778706</v>
      </c>
      <c r="W53" s="100">
        <f t="shared" si="15"/>
        <v>289660.74711569125</v>
      </c>
      <c r="X53" s="100">
        <f t="shared" si="15"/>
        <v>270739.76052359538</v>
      </c>
      <c r="Y53" s="100">
        <f t="shared" si="15"/>
        <v>253344.66372606915</v>
      </c>
      <c r="Z53" s="100">
        <f t="shared" si="15"/>
        <v>239000.66256887221</v>
      </c>
      <c r="AA53" s="100">
        <f t="shared" si="15"/>
        <v>226182.55120624483</v>
      </c>
      <c r="AB53" s="100">
        <f t="shared" si="15"/>
        <v>213364.43984361753</v>
      </c>
      <c r="AC53" s="100">
        <f t="shared" si="15"/>
        <v>200546.32848099014</v>
      </c>
      <c r="AD53" s="100">
        <f t="shared" si="15"/>
        <v>187728.21711836278</v>
      </c>
      <c r="AE53" s="100">
        <f t="shared" si="15"/>
        <v>174910.10575573542</v>
      </c>
      <c r="AF53" s="100">
        <f t="shared" si="15"/>
        <v>162091.99439310806</v>
      </c>
      <c r="AG53" s="100">
        <f t="shared" si="15"/>
        <v>149273.88303048071</v>
      </c>
      <c r="AH53" s="100">
        <f t="shared" si="15"/>
        <v>136455.77166785332</v>
      </c>
      <c r="AI53" s="100">
        <f t="shared" si="15"/>
        <v>123637.66030522595</v>
      </c>
      <c r="AJ53" s="100">
        <f t="shared" si="15"/>
        <v>110819.5489425986</v>
      </c>
      <c r="AK53" s="100">
        <f t="shared" si="15"/>
        <v>98001.437579971229</v>
      </c>
      <c r="AL53" s="100">
        <f t="shared" si="15"/>
        <v>85183.326217343871</v>
      </c>
      <c r="AM53" s="100">
        <f t="shared" si="15"/>
        <v>72365.214854716498</v>
      </c>
      <c r="AN53" s="100">
        <f t="shared" si="15"/>
        <v>59547.103492089132</v>
      </c>
      <c r="AO53" s="100">
        <f t="shared" si="15"/>
        <v>46728.992129461767</v>
      </c>
      <c r="AP53" s="100">
        <f t="shared" si="15"/>
        <v>33910.880766834402</v>
      </c>
      <c r="AQ53" s="100">
        <f t="shared" si="15"/>
        <v>21092.769404207036</v>
      </c>
      <c r="AR53" s="100">
        <f t="shared" si="15"/>
        <v>8274.6580415796743</v>
      </c>
      <c r="AS53" s="100">
        <f t="shared" si="15"/>
        <v>1865.6023602659927</v>
      </c>
      <c r="AT53" s="100">
        <f t="shared" si="15"/>
        <v>1865.6023602659927</v>
      </c>
      <c r="AU53" s="105">
        <f t="shared" si="13"/>
        <v>11655249.837616347</v>
      </c>
    </row>
    <row r="54" spans="1:47" x14ac:dyDescent="0.2">
      <c r="A54" s="157">
        <f t="shared" si="10"/>
        <v>24</v>
      </c>
      <c r="B54" s="2" t="s">
        <v>67</v>
      </c>
      <c r="C54" s="2"/>
      <c r="D54" s="122"/>
      <c r="E54" s="38">
        <f>E52-E53</f>
        <v>2416670.0215629293</v>
      </c>
      <c r="F54" s="102">
        <f t="shared" ref="F54:AT54" si="16">F52-F53</f>
        <v>2340226.8157204553</v>
      </c>
      <c r="G54" s="102">
        <f t="shared" si="16"/>
        <v>2256252.5843957569</v>
      </c>
      <c r="H54" s="102">
        <f t="shared" si="16"/>
        <v>2174959.3672673265</v>
      </c>
      <c r="I54" s="102">
        <f t="shared" si="16"/>
        <v>2096146.4742129871</v>
      </c>
      <c r="J54" s="102">
        <f t="shared" si="16"/>
        <v>2019628.6528122677</v>
      </c>
      <c r="K54" s="102">
        <f t="shared" si="16"/>
        <v>1945233.5153961184</v>
      </c>
      <c r="L54" s="102">
        <f t="shared" si="16"/>
        <v>1872801.5390469097</v>
      </c>
      <c r="M54" s="102">
        <f t="shared" si="16"/>
        <v>1801465.6395188242</v>
      </c>
      <c r="N54" s="102">
        <f t="shared" si="16"/>
        <v>1730286.6899580827</v>
      </c>
      <c r="O54" s="102">
        <f t="shared" si="16"/>
        <v>1659107.7403973415</v>
      </c>
      <c r="P54" s="102">
        <f t="shared" si="16"/>
        <v>1587928.7908366004</v>
      </c>
      <c r="Q54" s="102">
        <f t="shared" si="16"/>
        <v>1516749.8412758587</v>
      </c>
      <c r="R54" s="102">
        <f t="shared" si="16"/>
        <v>1445570.8917151175</v>
      </c>
      <c r="S54" s="102">
        <f t="shared" si="16"/>
        <v>1374391.9421543758</v>
      </c>
      <c r="T54" s="102">
        <f t="shared" si="16"/>
        <v>1303212.9925936344</v>
      </c>
      <c r="U54" s="102">
        <f t="shared" si="16"/>
        <v>1232034.043032893</v>
      </c>
      <c r="V54" s="102">
        <f t="shared" si="16"/>
        <v>1160855.0934721513</v>
      </c>
      <c r="W54" s="102">
        <f t="shared" si="16"/>
        <v>1089676.1439114101</v>
      </c>
      <c r="X54" s="102">
        <f t="shared" si="16"/>
        <v>1018497.1943506685</v>
      </c>
      <c r="Y54" s="102">
        <f t="shared" si="16"/>
        <v>953058.49687426013</v>
      </c>
      <c r="Z54" s="102">
        <f t="shared" si="16"/>
        <v>899097.73061623366</v>
      </c>
      <c r="AA54" s="102">
        <f t="shared" si="16"/>
        <v>850877.21644254006</v>
      </c>
      <c r="AB54" s="102">
        <f t="shared" si="16"/>
        <v>802656.70226884692</v>
      </c>
      <c r="AC54" s="102">
        <f t="shared" si="16"/>
        <v>754436.18809515343</v>
      </c>
      <c r="AD54" s="102">
        <f t="shared" si="16"/>
        <v>706215.67392146005</v>
      </c>
      <c r="AE54" s="102">
        <f t="shared" si="16"/>
        <v>657995.15974776656</v>
      </c>
      <c r="AF54" s="102">
        <f t="shared" si="16"/>
        <v>609774.64557407319</v>
      </c>
      <c r="AG54" s="102">
        <f t="shared" si="16"/>
        <v>561554.13140037982</v>
      </c>
      <c r="AH54" s="102">
        <f t="shared" si="16"/>
        <v>513333.61722668633</v>
      </c>
      <c r="AI54" s="102">
        <f t="shared" si="16"/>
        <v>465113.1030529929</v>
      </c>
      <c r="AJ54" s="102">
        <f t="shared" si="16"/>
        <v>416892.58887929947</v>
      </c>
      <c r="AK54" s="102">
        <f t="shared" si="16"/>
        <v>368672.07470560609</v>
      </c>
      <c r="AL54" s="102">
        <f t="shared" si="16"/>
        <v>320451.56053191266</v>
      </c>
      <c r="AM54" s="102">
        <f t="shared" si="16"/>
        <v>272231.04635821923</v>
      </c>
      <c r="AN54" s="102">
        <f t="shared" si="16"/>
        <v>224010.5321845258</v>
      </c>
      <c r="AO54" s="102">
        <f t="shared" si="16"/>
        <v>175790.01801083237</v>
      </c>
      <c r="AP54" s="102">
        <f t="shared" si="16"/>
        <v>127569.50383713897</v>
      </c>
      <c r="AQ54" s="102">
        <f t="shared" si="16"/>
        <v>79348.989663445522</v>
      </c>
      <c r="AR54" s="102">
        <f t="shared" si="16"/>
        <v>31128.475489752109</v>
      </c>
      <c r="AS54" s="102">
        <f t="shared" si="16"/>
        <v>7018.2184029054015</v>
      </c>
      <c r="AT54" s="102">
        <f t="shared" si="16"/>
        <v>7018.2184029054015</v>
      </c>
      <c r="AU54" s="105">
        <f t="shared" si="13"/>
        <v>43845939.865318649</v>
      </c>
    </row>
    <row r="55" spans="1:47" x14ac:dyDescent="0.2">
      <c r="A55" s="157">
        <f t="shared" si="10"/>
        <v>25</v>
      </c>
      <c r="B55" s="2"/>
      <c r="C55" s="2"/>
      <c r="D55" s="122"/>
      <c r="E55" s="124"/>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05">
        <f t="shared" si="13"/>
        <v>0</v>
      </c>
    </row>
    <row r="56" spans="1:47" x14ac:dyDescent="0.2">
      <c r="A56" s="157">
        <f t="shared" si="10"/>
        <v>26</v>
      </c>
      <c r="B56" s="2"/>
      <c r="C56" s="2"/>
      <c r="D56" s="122"/>
      <c r="E56" s="84"/>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05">
        <f t="shared" si="13"/>
        <v>0</v>
      </c>
    </row>
    <row r="57" spans="1:47" x14ac:dyDescent="0.2">
      <c r="A57" s="157">
        <f t="shared" si="10"/>
        <v>27</v>
      </c>
      <c r="B57" s="163" t="s">
        <v>68</v>
      </c>
      <c r="C57" s="163"/>
      <c r="D57" s="164"/>
      <c r="E57" s="165">
        <f>E27+E28</f>
        <v>1338566.3494807165</v>
      </c>
      <c r="F57" s="102">
        <f>F27</f>
        <v>1338566.3494807165</v>
      </c>
      <c r="G57" s="102">
        <f>G27</f>
        <v>1338566.3494807165</v>
      </c>
      <c r="H57" s="102">
        <f t="shared" ref="H57:AT57" si="17">H27</f>
        <v>1338566.3494807165</v>
      </c>
      <c r="I57" s="102">
        <f t="shared" si="17"/>
        <v>1338566.3494807165</v>
      </c>
      <c r="J57" s="102">
        <f t="shared" si="17"/>
        <v>1338566.3494807165</v>
      </c>
      <c r="K57" s="102">
        <f t="shared" si="17"/>
        <v>1338566.3494807165</v>
      </c>
      <c r="L57" s="102">
        <f t="shared" si="17"/>
        <v>1338566.3494807165</v>
      </c>
      <c r="M57" s="102">
        <f t="shared" si="17"/>
        <v>1338566.3494807165</v>
      </c>
      <c r="N57" s="102">
        <f t="shared" si="17"/>
        <v>1338566.3494807165</v>
      </c>
      <c r="O57" s="102">
        <f t="shared" si="17"/>
        <v>1338566.3494807165</v>
      </c>
      <c r="P57" s="102">
        <f t="shared" si="17"/>
        <v>1338566.3494807165</v>
      </c>
      <c r="Q57" s="102">
        <f t="shared" si="17"/>
        <v>1338566.3494807165</v>
      </c>
      <c r="R57" s="102">
        <f t="shared" si="17"/>
        <v>1338566.3494807165</v>
      </c>
      <c r="S57" s="102">
        <f t="shared" si="17"/>
        <v>1338566.3494807165</v>
      </c>
      <c r="T57" s="102">
        <f t="shared" si="17"/>
        <v>1338566.3494807165</v>
      </c>
      <c r="U57" s="102">
        <f t="shared" si="17"/>
        <v>1338566.3494807165</v>
      </c>
      <c r="V57" s="102">
        <f t="shared" si="17"/>
        <v>1338566.3494807165</v>
      </c>
      <c r="W57" s="102">
        <f t="shared" si="17"/>
        <v>1338566.3494807165</v>
      </c>
      <c r="X57" s="102">
        <f t="shared" si="17"/>
        <v>1338566.3494807165</v>
      </c>
      <c r="Y57" s="102">
        <f t="shared" si="17"/>
        <v>1338566.3494807165</v>
      </c>
      <c r="Z57" s="102">
        <f t="shared" si="17"/>
        <v>1338566.3494807165</v>
      </c>
      <c r="AA57" s="102">
        <f t="shared" si="17"/>
        <v>1338566.3494807165</v>
      </c>
      <c r="AB57" s="102">
        <f t="shared" si="17"/>
        <v>1338566.3494807165</v>
      </c>
      <c r="AC57" s="102">
        <f t="shared" si="17"/>
        <v>1338566.3494807165</v>
      </c>
      <c r="AD57" s="102">
        <f t="shared" si="17"/>
        <v>1338566.3494807165</v>
      </c>
      <c r="AE57" s="102">
        <f t="shared" si="17"/>
        <v>1338566.3494807165</v>
      </c>
      <c r="AF57" s="102">
        <f t="shared" si="17"/>
        <v>1338566.3494807165</v>
      </c>
      <c r="AG57" s="102">
        <f t="shared" si="17"/>
        <v>1338566.3494807165</v>
      </c>
      <c r="AH57" s="102">
        <f t="shared" si="17"/>
        <v>1338566.3494807165</v>
      </c>
      <c r="AI57" s="102">
        <f t="shared" si="17"/>
        <v>1338566.3494807165</v>
      </c>
      <c r="AJ57" s="102">
        <f t="shared" si="17"/>
        <v>1338566.3494807165</v>
      </c>
      <c r="AK57" s="102">
        <f t="shared" si="17"/>
        <v>1338566.3494807165</v>
      </c>
      <c r="AL57" s="102">
        <f t="shared" si="17"/>
        <v>1338566.3494807165</v>
      </c>
      <c r="AM57" s="102">
        <f t="shared" si="17"/>
        <v>1338566.3494807165</v>
      </c>
      <c r="AN57" s="102">
        <f t="shared" si="17"/>
        <v>1338566.3494807165</v>
      </c>
      <c r="AO57" s="102">
        <f t="shared" si="17"/>
        <v>1338566.3494807165</v>
      </c>
      <c r="AP57" s="102">
        <f t="shared" si="17"/>
        <v>1338566.3494807165</v>
      </c>
      <c r="AQ57" s="102">
        <f t="shared" si="17"/>
        <v>1338566.3494807165</v>
      </c>
      <c r="AR57" s="102">
        <f t="shared" si="17"/>
        <v>1338566.3494807165</v>
      </c>
      <c r="AS57" s="102">
        <f t="shared" si="17"/>
        <v>0</v>
      </c>
      <c r="AT57" s="102">
        <f t="shared" si="17"/>
        <v>0</v>
      </c>
      <c r="AU57" s="105">
        <f t="shared" si="13"/>
        <v>53542653.979228713</v>
      </c>
    </row>
    <row r="58" spans="1:47" x14ac:dyDescent="0.2">
      <c r="A58" s="157">
        <f t="shared" si="10"/>
        <v>28</v>
      </c>
      <c r="B58" s="2" t="s">
        <v>69</v>
      </c>
      <c r="C58" s="2"/>
      <c r="D58" s="122"/>
      <c r="E58" s="38">
        <f>$F22*E62</f>
        <v>2015155.2978750011</v>
      </c>
      <c r="F58" s="102">
        <f t="shared" ref="F58:AT58" si="18">$F22*F62</f>
        <v>3879308.2920959024</v>
      </c>
      <c r="G58" s="102">
        <f t="shared" si="18"/>
        <v>3588051.1797097018</v>
      </c>
      <c r="H58" s="102">
        <f t="shared" si="18"/>
        <v>3319363.8066597017</v>
      </c>
      <c r="I58" s="102">
        <f t="shared" si="18"/>
        <v>3070021.9244693015</v>
      </c>
      <c r="J58" s="102">
        <f t="shared" si="18"/>
        <v>2840025.5331385015</v>
      </c>
      <c r="K58" s="102">
        <f t="shared" si="18"/>
        <v>2626687.7589368015</v>
      </c>
      <c r="L58" s="102">
        <f t="shared" si="18"/>
        <v>2430008.6018642015</v>
      </c>
      <c r="M58" s="102">
        <f t="shared" si="18"/>
        <v>2397766.1170982015</v>
      </c>
      <c r="N58" s="102">
        <f t="shared" si="18"/>
        <v>2397228.7423521015</v>
      </c>
      <c r="O58" s="102">
        <f t="shared" si="18"/>
        <v>2397766.1170982015</v>
      </c>
      <c r="P58" s="102">
        <f t="shared" si="18"/>
        <v>2397228.7423521015</v>
      </c>
      <c r="Q58" s="102">
        <f t="shared" si="18"/>
        <v>2397766.1170982015</v>
      </c>
      <c r="R58" s="102">
        <f t="shared" si="18"/>
        <v>2397228.7423521015</v>
      </c>
      <c r="S58" s="102">
        <f t="shared" si="18"/>
        <v>2397766.1170982015</v>
      </c>
      <c r="T58" s="102">
        <f t="shared" si="18"/>
        <v>2397228.7423521015</v>
      </c>
      <c r="U58" s="102">
        <f t="shared" si="18"/>
        <v>2397766.1170982015</v>
      </c>
      <c r="V58" s="102">
        <f t="shared" si="18"/>
        <v>2397228.7423521015</v>
      </c>
      <c r="W58" s="102">
        <f t="shared" si="18"/>
        <v>2397766.1170982015</v>
      </c>
      <c r="X58" s="102">
        <f t="shared" si="18"/>
        <v>2397228.7423521015</v>
      </c>
      <c r="Y58" s="102">
        <f t="shared" si="18"/>
        <v>1198883.0585491008</v>
      </c>
      <c r="Z58" s="102">
        <f t="shared" si="18"/>
        <v>0</v>
      </c>
      <c r="AA58" s="102">
        <f t="shared" si="18"/>
        <v>0</v>
      </c>
      <c r="AB58" s="102">
        <f t="shared" si="18"/>
        <v>0</v>
      </c>
      <c r="AC58" s="102">
        <f t="shared" si="18"/>
        <v>0</v>
      </c>
      <c r="AD58" s="102">
        <f t="shared" si="18"/>
        <v>0</v>
      </c>
      <c r="AE58" s="102">
        <f t="shared" si="18"/>
        <v>0</v>
      </c>
      <c r="AF58" s="102">
        <f t="shared" si="18"/>
        <v>0</v>
      </c>
      <c r="AG58" s="102">
        <f t="shared" si="18"/>
        <v>0</v>
      </c>
      <c r="AH58" s="102">
        <f t="shared" si="18"/>
        <v>0</v>
      </c>
      <c r="AI58" s="102">
        <f t="shared" si="18"/>
        <v>0</v>
      </c>
      <c r="AJ58" s="102">
        <f t="shared" si="18"/>
        <v>0</v>
      </c>
      <c r="AK58" s="102">
        <f t="shared" si="18"/>
        <v>0</v>
      </c>
      <c r="AL58" s="102">
        <f t="shared" si="18"/>
        <v>0</v>
      </c>
      <c r="AM58" s="102">
        <f t="shared" si="18"/>
        <v>0</v>
      </c>
      <c r="AN58" s="102">
        <f t="shared" si="18"/>
        <v>0</v>
      </c>
      <c r="AO58" s="102">
        <f t="shared" si="18"/>
        <v>0</v>
      </c>
      <c r="AP58" s="102">
        <f t="shared" si="18"/>
        <v>0</v>
      </c>
      <c r="AQ58" s="102">
        <f t="shared" si="18"/>
        <v>0</v>
      </c>
      <c r="AR58" s="102">
        <f t="shared" si="18"/>
        <v>0</v>
      </c>
      <c r="AS58" s="102">
        <f t="shared" si="18"/>
        <v>0</v>
      </c>
      <c r="AT58" s="102">
        <f t="shared" si="18"/>
        <v>0</v>
      </c>
      <c r="AU58" s="105">
        <f t="shared" si="13"/>
        <v>53737474.610000022</v>
      </c>
    </row>
    <row r="59" spans="1:47" x14ac:dyDescent="0.2">
      <c r="A59" s="157">
        <f t="shared" si="10"/>
        <v>29</v>
      </c>
      <c r="B59" s="2" t="s">
        <v>70</v>
      </c>
      <c r="C59" s="2"/>
      <c r="D59" s="122"/>
      <c r="E59" s="38">
        <f>E58-E57</f>
        <v>676588.94839428458</v>
      </c>
      <c r="F59" s="102">
        <f>F58-F57</f>
        <v>2540741.9426151859</v>
      </c>
      <c r="G59" s="102">
        <f>G58-G57</f>
        <v>2249484.8302289853</v>
      </c>
      <c r="H59" s="102">
        <f t="shared" ref="H59:AT59" si="19">H58-H57</f>
        <v>1980797.4571789852</v>
      </c>
      <c r="I59" s="102">
        <f t="shared" si="19"/>
        <v>1731455.574988585</v>
      </c>
      <c r="J59" s="102">
        <f t="shared" si="19"/>
        <v>1501459.1836577849</v>
      </c>
      <c r="K59" s="102">
        <f t="shared" si="19"/>
        <v>1288121.4094560849</v>
      </c>
      <c r="L59" s="102">
        <f t="shared" si="19"/>
        <v>1091442.252383485</v>
      </c>
      <c r="M59" s="102">
        <f t="shared" si="19"/>
        <v>1059199.767617485</v>
      </c>
      <c r="N59" s="102">
        <f t="shared" si="19"/>
        <v>1058662.392871385</v>
      </c>
      <c r="O59" s="102">
        <f t="shared" si="19"/>
        <v>1059199.767617485</v>
      </c>
      <c r="P59" s="102">
        <f t="shared" si="19"/>
        <v>1058662.392871385</v>
      </c>
      <c r="Q59" s="102">
        <f t="shared" si="19"/>
        <v>1059199.767617485</v>
      </c>
      <c r="R59" s="102">
        <f t="shared" si="19"/>
        <v>1058662.392871385</v>
      </c>
      <c r="S59" s="102">
        <f t="shared" si="19"/>
        <v>1059199.767617485</v>
      </c>
      <c r="T59" s="102">
        <f t="shared" si="19"/>
        <v>1058662.392871385</v>
      </c>
      <c r="U59" s="102">
        <f t="shared" si="19"/>
        <v>1059199.767617485</v>
      </c>
      <c r="V59" s="102">
        <f t="shared" si="19"/>
        <v>1058662.392871385</v>
      </c>
      <c r="W59" s="102">
        <f t="shared" si="19"/>
        <v>1059199.767617485</v>
      </c>
      <c r="X59" s="102">
        <f t="shared" si="19"/>
        <v>1058662.392871385</v>
      </c>
      <c r="Y59" s="102">
        <f t="shared" si="19"/>
        <v>-139683.29093161575</v>
      </c>
      <c r="Z59" s="102">
        <f t="shared" si="19"/>
        <v>-1338566.3494807165</v>
      </c>
      <c r="AA59" s="102">
        <f t="shared" si="19"/>
        <v>-1338566.3494807165</v>
      </c>
      <c r="AB59" s="102">
        <f t="shared" si="19"/>
        <v>-1338566.3494807165</v>
      </c>
      <c r="AC59" s="102">
        <f t="shared" si="19"/>
        <v>-1338566.3494807165</v>
      </c>
      <c r="AD59" s="102">
        <f t="shared" si="19"/>
        <v>-1338566.3494807165</v>
      </c>
      <c r="AE59" s="102">
        <f t="shared" si="19"/>
        <v>-1338566.3494807165</v>
      </c>
      <c r="AF59" s="102">
        <f t="shared" si="19"/>
        <v>-1338566.3494807165</v>
      </c>
      <c r="AG59" s="102">
        <f t="shared" si="19"/>
        <v>-1338566.3494807165</v>
      </c>
      <c r="AH59" s="102">
        <f t="shared" si="19"/>
        <v>-1338566.3494807165</v>
      </c>
      <c r="AI59" s="102">
        <f t="shared" si="19"/>
        <v>-1338566.3494807165</v>
      </c>
      <c r="AJ59" s="102">
        <f t="shared" si="19"/>
        <v>-1338566.3494807165</v>
      </c>
      <c r="AK59" s="102">
        <f t="shared" si="19"/>
        <v>-1338566.3494807165</v>
      </c>
      <c r="AL59" s="102">
        <f t="shared" si="19"/>
        <v>-1338566.3494807165</v>
      </c>
      <c r="AM59" s="102">
        <f t="shared" si="19"/>
        <v>-1338566.3494807165</v>
      </c>
      <c r="AN59" s="102">
        <f t="shared" si="19"/>
        <v>-1338566.3494807165</v>
      </c>
      <c r="AO59" s="102">
        <f t="shared" si="19"/>
        <v>-1338566.3494807165</v>
      </c>
      <c r="AP59" s="102">
        <f t="shared" si="19"/>
        <v>-1338566.3494807165</v>
      </c>
      <c r="AQ59" s="102">
        <f t="shared" si="19"/>
        <v>-1338566.3494807165</v>
      </c>
      <c r="AR59" s="102">
        <f t="shared" si="19"/>
        <v>-1338566.3494807165</v>
      </c>
      <c r="AS59" s="102">
        <f t="shared" si="19"/>
        <v>0</v>
      </c>
      <c r="AT59" s="102">
        <f t="shared" si="19"/>
        <v>0</v>
      </c>
      <c r="AU59" s="105">
        <f t="shared" si="13"/>
        <v>194820.63077136315</v>
      </c>
    </row>
    <row r="60" spans="1:47" x14ac:dyDescent="0.2">
      <c r="A60" s="157">
        <f t="shared" si="10"/>
        <v>30</v>
      </c>
      <c r="B60" s="2" t="s">
        <v>71</v>
      </c>
      <c r="C60" s="2"/>
      <c r="D60" s="122"/>
      <c r="E60" s="38">
        <f>E59*F15</f>
        <v>142083.67916279976</v>
      </c>
      <c r="F60" s="102">
        <f t="shared" ref="F60:AT60" si="20">F59*$F$15</f>
        <v>533555.80794918898</v>
      </c>
      <c r="G60" s="102">
        <f t="shared" si="20"/>
        <v>472391.81434808689</v>
      </c>
      <c r="H60" s="102">
        <f t="shared" si="20"/>
        <v>415967.46600758686</v>
      </c>
      <c r="I60" s="102">
        <f t="shared" si="20"/>
        <v>363605.67074760282</v>
      </c>
      <c r="J60" s="102">
        <f t="shared" si="20"/>
        <v>315306.42856813484</v>
      </c>
      <c r="K60" s="102">
        <f t="shared" si="20"/>
        <v>270505.49598577782</v>
      </c>
      <c r="L60" s="102">
        <f t="shared" si="20"/>
        <v>229202.87300053184</v>
      </c>
      <c r="M60" s="102">
        <f t="shared" si="20"/>
        <v>222431.95119967184</v>
      </c>
      <c r="N60" s="102">
        <f t="shared" si="20"/>
        <v>222319.10250299083</v>
      </c>
      <c r="O60" s="102">
        <f t="shared" si="20"/>
        <v>222431.95119967184</v>
      </c>
      <c r="P60" s="102">
        <f t="shared" si="20"/>
        <v>222319.10250299083</v>
      </c>
      <c r="Q60" s="102">
        <f t="shared" si="20"/>
        <v>222431.95119967184</v>
      </c>
      <c r="R60" s="102">
        <f t="shared" si="20"/>
        <v>222319.10250299083</v>
      </c>
      <c r="S60" s="102">
        <f t="shared" si="20"/>
        <v>222431.95119967184</v>
      </c>
      <c r="T60" s="102">
        <f t="shared" si="20"/>
        <v>222319.10250299083</v>
      </c>
      <c r="U60" s="102">
        <f t="shared" si="20"/>
        <v>222431.95119967184</v>
      </c>
      <c r="V60" s="102">
        <f t="shared" si="20"/>
        <v>222319.10250299083</v>
      </c>
      <c r="W60" s="102">
        <f t="shared" si="20"/>
        <v>222431.95119967184</v>
      </c>
      <c r="X60" s="102">
        <f t="shared" si="20"/>
        <v>222319.10250299083</v>
      </c>
      <c r="Y60" s="102">
        <f t="shared" si="20"/>
        <v>-29333.491095639307</v>
      </c>
      <c r="Z60" s="102">
        <f t="shared" si="20"/>
        <v>-281098.93339095043</v>
      </c>
      <c r="AA60" s="102">
        <f t="shared" si="20"/>
        <v>-281098.93339095043</v>
      </c>
      <c r="AB60" s="102">
        <f t="shared" si="20"/>
        <v>-281098.93339095043</v>
      </c>
      <c r="AC60" s="102">
        <f t="shared" si="20"/>
        <v>-281098.93339095043</v>
      </c>
      <c r="AD60" s="102">
        <f t="shared" si="20"/>
        <v>-281098.93339095043</v>
      </c>
      <c r="AE60" s="102">
        <f t="shared" si="20"/>
        <v>-281098.93339095043</v>
      </c>
      <c r="AF60" s="102">
        <f t="shared" si="20"/>
        <v>-281098.93339095043</v>
      </c>
      <c r="AG60" s="102">
        <f t="shared" si="20"/>
        <v>-281098.93339095043</v>
      </c>
      <c r="AH60" s="102">
        <f t="shared" si="20"/>
        <v>-281098.93339095043</v>
      </c>
      <c r="AI60" s="102">
        <f t="shared" si="20"/>
        <v>-281098.93339095043</v>
      </c>
      <c r="AJ60" s="102">
        <f t="shared" si="20"/>
        <v>-281098.93339095043</v>
      </c>
      <c r="AK60" s="102">
        <f t="shared" si="20"/>
        <v>-281098.93339095043</v>
      </c>
      <c r="AL60" s="102">
        <f t="shared" si="20"/>
        <v>-281098.93339095043</v>
      </c>
      <c r="AM60" s="102">
        <f t="shared" si="20"/>
        <v>-281098.93339095043</v>
      </c>
      <c r="AN60" s="102">
        <f t="shared" si="20"/>
        <v>-281098.93339095043</v>
      </c>
      <c r="AO60" s="102">
        <f t="shared" si="20"/>
        <v>-281098.93339095043</v>
      </c>
      <c r="AP60" s="102">
        <f t="shared" si="20"/>
        <v>-281098.93339095043</v>
      </c>
      <c r="AQ60" s="102">
        <f t="shared" si="20"/>
        <v>-281098.93339095043</v>
      </c>
      <c r="AR60" s="102">
        <f t="shared" si="20"/>
        <v>-281098.93339095043</v>
      </c>
      <c r="AS60" s="102">
        <f t="shared" si="20"/>
        <v>0</v>
      </c>
      <c r="AT60" s="102">
        <f t="shared" si="20"/>
        <v>0</v>
      </c>
      <c r="AU60" s="105">
        <f t="shared" si="13"/>
        <v>40912.332461987622</v>
      </c>
    </row>
    <row r="61" spans="1:47" x14ac:dyDescent="0.2">
      <c r="A61" s="157">
        <f t="shared" si="10"/>
        <v>31</v>
      </c>
      <c r="B61" s="2"/>
      <c r="C61" s="2"/>
      <c r="D61" s="122"/>
      <c r="E61" s="84"/>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22"/>
    </row>
    <row r="62" spans="1:47" s="50" customFormat="1" x14ac:dyDescent="0.2">
      <c r="A62" s="157">
        <f t="shared" si="10"/>
        <v>32</v>
      </c>
      <c r="B62" s="2" t="str">
        <f t="shared" ref="B62" si="21">IF($F$18=1,B66,B65)</f>
        <v>MACRS Depreciation - 20</v>
      </c>
      <c r="C62" s="2"/>
      <c r="D62" s="47"/>
      <c r="E62" s="62">
        <f t="shared" ref="E62:Y62" si="22">IF($F$18=1,E66,E65)</f>
        <v>3.7499999999999999E-2</v>
      </c>
      <c r="F62" s="58">
        <f t="shared" si="22"/>
        <v>7.2190000000000004E-2</v>
      </c>
      <c r="G62" s="58">
        <f t="shared" si="22"/>
        <v>6.6769999999999996E-2</v>
      </c>
      <c r="H62" s="61">
        <f t="shared" si="22"/>
        <v>6.1769999999999999E-2</v>
      </c>
      <c r="I62" s="61">
        <f t="shared" si="22"/>
        <v>5.713E-2</v>
      </c>
      <c r="J62" s="61">
        <f t="shared" si="22"/>
        <v>5.2850000000000001E-2</v>
      </c>
      <c r="K62" s="61">
        <f t="shared" si="22"/>
        <v>4.888E-2</v>
      </c>
      <c r="L62" s="61">
        <f t="shared" si="22"/>
        <v>4.5220000000000003E-2</v>
      </c>
      <c r="M62" s="61">
        <f t="shared" si="22"/>
        <v>4.462E-2</v>
      </c>
      <c r="N62" s="61">
        <f t="shared" si="22"/>
        <v>4.4610000000000004E-2</v>
      </c>
      <c r="O62" s="61">
        <f t="shared" si="22"/>
        <v>4.462E-2</v>
      </c>
      <c r="P62" s="61">
        <f t="shared" si="22"/>
        <v>4.4610000000000004E-2</v>
      </c>
      <c r="Q62" s="61">
        <f t="shared" si="22"/>
        <v>4.462E-2</v>
      </c>
      <c r="R62" s="61">
        <f t="shared" si="22"/>
        <v>4.4610000000000004E-2</v>
      </c>
      <c r="S62" s="61">
        <f t="shared" si="22"/>
        <v>4.462E-2</v>
      </c>
      <c r="T62" s="61">
        <f t="shared" si="22"/>
        <v>4.4610000000000004E-2</v>
      </c>
      <c r="U62" s="61">
        <f t="shared" si="22"/>
        <v>4.462E-2</v>
      </c>
      <c r="V62" s="61">
        <f t="shared" si="22"/>
        <v>4.4610000000000004E-2</v>
      </c>
      <c r="W62" s="61">
        <f t="shared" si="22"/>
        <v>4.462E-2</v>
      </c>
      <c r="X62" s="61">
        <f t="shared" si="22"/>
        <v>4.4610000000000004E-2</v>
      </c>
      <c r="Y62" s="61">
        <f t="shared" si="22"/>
        <v>2.231E-2</v>
      </c>
      <c r="Z62" s="48"/>
      <c r="AA62" s="48"/>
      <c r="AB62" s="48"/>
      <c r="AC62" s="48"/>
      <c r="AD62" s="48"/>
      <c r="AE62" s="48"/>
      <c r="AF62" s="48"/>
      <c r="AG62" s="48"/>
      <c r="AH62" s="48"/>
      <c r="AI62" s="48"/>
      <c r="AJ62" s="48"/>
      <c r="AK62" s="48"/>
      <c r="AL62" s="48"/>
      <c r="AM62" s="48"/>
      <c r="AN62" s="48"/>
      <c r="AO62" s="48"/>
      <c r="AP62" s="47"/>
    </row>
    <row r="63" spans="1:47" outlineLevel="1" x14ac:dyDescent="0.25">
      <c r="A63" s="157">
        <f t="shared" si="10"/>
        <v>33</v>
      </c>
      <c r="B63" s="2"/>
      <c r="C63" s="125"/>
      <c r="E63" s="126"/>
      <c r="F63" s="127"/>
      <c r="G63" s="127"/>
      <c r="H63" s="127"/>
      <c r="I63" s="127"/>
      <c r="J63" s="127"/>
      <c r="K63" s="127"/>
      <c r="L63" s="127"/>
      <c r="M63" s="128"/>
      <c r="N63" s="128"/>
      <c r="O63" s="128"/>
      <c r="P63" s="128"/>
      <c r="Q63" s="128"/>
      <c r="R63" s="128"/>
      <c r="S63" s="128"/>
      <c r="T63" s="128"/>
      <c r="U63" s="128"/>
      <c r="V63" s="128"/>
      <c r="W63" s="128"/>
      <c r="X63" s="128"/>
      <c r="Y63" s="128"/>
      <c r="Z63" s="122"/>
      <c r="AA63" s="122"/>
      <c r="AB63" s="122"/>
      <c r="AC63" s="122"/>
      <c r="AD63" s="122"/>
      <c r="AE63" s="122"/>
      <c r="AF63" s="122"/>
      <c r="AG63" s="122"/>
      <c r="AH63" s="122"/>
      <c r="AI63" s="122"/>
      <c r="AJ63" s="122"/>
      <c r="AK63" s="122"/>
      <c r="AL63" s="122"/>
      <c r="AM63" s="122"/>
      <c r="AN63" s="122"/>
      <c r="AO63" s="3"/>
    </row>
    <row r="64" spans="1:47" outlineLevel="1" x14ac:dyDescent="0.25">
      <c r="A64" s="157">
        <f t="shared" si="10"/>
        <v>34</v>
      </c>
      <c r="B64" s="2"/>
      <c r="C64" s="125"/>
      <c r="E64" s="126"/>
      <c r="F64" s="127"/>
      <c r="G64" s="127"/>
      <c r="H64" s="127"/>
      <c r="I64" s="127"/>
      <c r="J64" s="127"/>
      <c r="K64" s="127"/>
      <c r="L64" s="127"/>
      <c r="M64" s="128"/>
      <c r="N64" s="128"/>
      <c r="O64" s="128"/>
      <c r="P64" s="128"/>
      <c r="Q64" s="128"/>
      <c r="R64" s="128"/>
      <c r="S64" s="128"/>
      <c r="T64" s="128"/>
      <c r="U64" s="128"/>
      <c r="V64" s="128"/>
      <c r="W64" s="128"/>
      <c r="X64" s="128"/>
      <c r="Y64" s="128"/>
      <c r="Z64" s="122"/>
      <c r="AA64" s="122"/>
      <c r="AB64" s="122"/>
      <c r="AC64" s="122"/>
      <c r="AD64" s="122"/>
      <c r="AE64" s="122"/>
      <c r="AF64" s="122"/>
      <c r="AG64" s="122"/>
      <c r="AH64" s="122"/>
      <c r="AI64" s="122"/>
      <c r="AJ64" s="122"/>
      <c r="AK64" s="122"/>
      <c r="AL64" s="122"/>
      <c r="AM64" s="122"/>
      <c r="AN64" s="122"/>
      <c r="AO64" s="3"/>
    </row>
    <row r="65" spans="1:42" s="50" customFormat="1" x14ac:dyDescent="0.25">
      <c r="A65" s="157">
        <f t="shared" si="10"/>
        <v>35</v>
      </c>
      <c r="B65" s="2" t="s">
        <v>72</v>
      </c>
      <c r="C65" s="2"/>
      <c r="D65" s="51">
        <v>0</v>
      </c>
      <c r="E65" s="59">
        <f>'MACRS 20'!B5</f>
        <v>3.7499999999999999E-2</v>
      </c>
      <c r="F65" s="58">
        <f>'MACRS 20'!C5</f>
        <v>7.2190000000000004E-2</v>
      </c>
      <c r="G65" s="58">
        <f>'MACRS 20'!D5</f>
        <v>6.6769999999999996E-2</v>
      </c>
      <c r="H65" s="60">
        <f>'MACRS 20'!E5</f>
        <v>6.1769999999999999E-2</v>
      </c>
      <c r="I65" s="60">
        <f>'MACRS 20'!F5</f>
        <v>5.713E-2</v>
      </c>
      <c r="J65" s="60">
        <f>'MACRS 20'!G5</f>
        <v>5.2850000000000001E-2</v>
      </c>
      <c r="K65" s="60">
        <f>'MACRS 20'!H5</f>
        <v>4.888E-2</v>
      </c>
      <c r="L65" s="60">
        <f>'MACRS 20'!I5</f>
        <v>4.5220000000000003E-2</v>
      </c>
      <c r="M65" s="60">
        <f>'MACRS 20'!J5</f>
        <v>4.462E-2</v>
      </c>
      <c r="N65" s="60">
        <f>'MACRS 20'!K5</f>
        <v>4.4610000000000004E-2</v>
      </c>
      <c r="O65" s="60">
        <f>'MACRS 20'!L5</f>
        <v>4.462E-2</v>
      </c>
      <c r="P65" s="60">
        <f>'MACRS 20'!M5</f>
        <v>4.4610000000000004E-2</v>
      </c>
      <c r="Q65" s="60">
        <f>'MACRS 20'!N5</f>
        <v>4.462E-2</v>
      </c>
      <c r="R65" s="60">
        <f>'MACRS 20'!O5</f>
        <v>4.4610000000000004E-2</v>
      </c>
      <c r="S65" s="60">
        <f>'MACRS 20'!P5</f>
        <v>4.462E-2</v>
      </c>
      <c r="T65" s="60">
        <f>'MACRS 20'!Q5</f>
        <v>4.4610000000000004E-2</v>
      </c>
      <c r="U65" s="60">
        <f>'MACRS 20'!R5</f>
        <v>4.462E-2</v>
      </c>
      <c r="V65" s="60">
        <f>'MACRS 20'!S5</f>
        <v>4.4610000000000004E-2</v>
      </c>
      <c r="W65" s="60">
        <f>'MACRS 20'!T5</f>
        <v>4.462E-2</v>
      </c>
      <c r="X65" s="60">
        <f>'MACRS 20'!U5</f>
        <v>4.4610000000000004E-2</v>
      </c>
      <c r="Y65" s="60">
        <f>'MACRS 20'!V5</f>
        <v>2.231E-2</v>
      </c>
      <c r="Z65" s="52"/>
      <c r="AA65" s="48"/>
      <c r="AB65" s="48"/>
      <c r="AC65" s="48"/>
      <c r="AD65" s="48"/>
      <c r="AE65" s="48"/>
      <c r="AF65" s="48"/>
      <c r="AG65" s="48"/>
      <c r="AH65" s="48"/>
      <c r="AI65" s="48"/>
      <c r="AJ65" s="48"/>
      <c r="AK65" s="48"/>
      <c r="AL65" s="48"/>
      <c r="AM65" s="48"/>
      <c r="AN65" s="47"/>
      <c r="AP65" s="53"/>
    </row>
    <row r="66" spans="1:42" x14ac:dyDescent="0.2">
      <c r="A66" s="157">
        <f t="shared" si="10"/>
        <v>36</v>
      </c>
      <c r="B66" s="2" t="s">
        <v>73</v>
      </c>
      <c r="C66" s="2"/>
      <c r="D66" s="51">
        <v>0</v>
      </c>
      <c r="E66" s="59">
        <f>'MACRS 20'!B6</f>
        <v>0.51875000000000004</v>
      </c>
      <c r="F66" s="58">
        <f>'MACRS 20'!C6</f>
        <v>3.6095000000000002E-2</v>
      </c>
      <c r="G66" s="58">
        <f>'MACRS 20'!D6</f>
        <v>3.3384999999999998E-2</v>
      </c>
      <c r="H66" s="61">
        <f>'MACRS 20'!E6</f>
        <v>3.0884999999999999E-2</v>
      </c>
      <c r="I66" s="61">
        <f>'MACRS 20'!F6</f>
        <v>2.8565E-2</v>
      </c>
      <c r="J66" s="61">
        <f>'MACRS 20'!G6</f>
        <v>2.6425000000000001E-2</v>
      </c>
      <c r="K66" s="61">
        <f>'MACRS 20'!H6</f>
        <v>2.444E-2</v>
      </c>
      <c r="L66" s="61">
        <f>'MACRS 20'!I6</f>
        <v>2.2610000000000002E-2</v>
      </c>
      <c r="M66" s="61">
        <f>'MACRS 20'!J6</f>
        <v>2.231E-2</v>
      </c>
      <c r="N66" s="61">
        <f>'MACRS 20'!K6</f>
        <v>2.2305000000000002E-2</v>
      </c>
      <c r="O66" s="61">
        <f>'MACRS 20'!L6</f>
        <v>2.231E-2</v>
      </c>
      <c r="P66" s="61">
        <f>'MACRS 20'!M6</f>
        <v>2.2305000000000002E-2</v>
      </c>
      <c r="Q66" s="61">
        <f>'MACRS 20'!N6</f>
        <v>2.231E-2</v>
      </c>
      <c r="R66" s="61">
        <f>'MACRS 20'!O6</f>
        <v>2.2305000000000002E-2</v>
      </c>
      <c r="S66" s="61">
        <f>'MACRS 20'!P6</f>
        <v>2.231E-2</v>
      </c>
      <c r="T66" s="61">
        <f>'MACRS 20'!Q6</f>
        <v>2.2305000000000002E-2</v>
      </c>
      <c r="U66" s="61">
        <f>'MACRS 20'!R6</f>
        <v>2.231E-2</v>
      </c>
      <c r="V66" s="61">
        <f>'MACRS 20'!S6</f>
        <v>2.2305000000000002E-2</v>
      </c>
      <c r="W66" s="61">
        <f>'MACRS 20'!T6</f>
        <v>2.231E-2</v>
      </c>
      <c r="X66" s="61">
        <f>'MACRS 20'!U6</f>
        <v>2.2305000000000002E-2</v>
      </c>
      <c r="Y66" s="61">
        <f>'MACRS 20'!V6</f>
        <v>1.1155E-2</v>
      </c>
      <c r="Z66" s="49"/>
      <c r="AA66" s="49"/>
      <c r="AB66" s="54"/>
      <c r="AC66" s="54"/>
      <c r="AD66" s="54"/>
      <c r="AE66" s="54"/>
      <c r="AF66" s="54"/>
      <c r="AG66" s="54"/>
      <c r="AH66" s="54"/>
      <c r="AI66" s="54"/>
      <c r="AJ66" s="54"/>
      <c r="AK66" s="54"/>
      <c r="AL66" s="54"/>
      <c r="AM66" s="54"/>
      <c r="AN66" s="122"/>
      <c r="AO66" s="3"/>
      <c r="AP66" s="53">
        <f>SUM(D66:AO66)</f>
        <v>1.0000000000000004</v>
      </c>
    </row>
    <row r="69" spans="1:42" x14ac:dyDescent="0.25">
      <c r="B69" s="55"/>
    </row>
  </sheetData>
  <mergeCells count="1">
    <mergeCell ref="E1:F1"/>
  </mergeCells>
  <printOptions horizontalCentered="1"/>
  <pageMargins left="0.75" right="0.5" top="0.5" bottom="0.5" header="0.5" footer="0.25"/>
  <pageSetup scale="15" orientation="portrait" blackAndWhite="1" r:id="rId1"/>
  <headerFooter alignWithMargins="0"/>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3"/>
  <sheetViews>
    <sheetView workbookViewId="0">
      <selection activeCell="G23" sqref="G23"/>
    </sheetView>
  </sheetViews>
  <sheetFormatPr defaultColWidth="8.85546875" defaultRowHeight="15" x14ac:dyDescent="0.25"/>
  <cols>
    <col min="1" max="1" width="8.85546875" style="168"/>
    <col min="2" max="2" width="29.5703125" style="168" customWidth="1"/>
    <col min="3" max="3" width="15.7109375" style="168" customWidth="1"/>
    <col min="4" max="4" width="15.42578125" style="293" customWidth="1"/>
    <col min="5" max="5" width="14.5703125" style="293" customWidth="1"/>
    <col min="6" max="6" width="15.42578125" style="293" customWidth="1"/>
    <col min="7" max="7" width="16.7109375" style="293" customWidth="1"/>
    <col min="8" max="8" width="19.5703125" style="293" bestFit="1" customWidth="1"/>
    <col min="9" max="9" width="40.28515625" style="168" customWidth="1"/>
    <col min="10" max="16384" width="8.85546875" style="168"/>
  </cols>
  <sheetData>
    <row r="2" spans="2:9" x14ac:dyDescent="0.25">
      <c r="B2" s="219" t="s">
        <v>168</v>
      </c>
    </row>
    <row r="3" spans="2:9" ht="45" x14ac:dyDescent="0.25">
      <c r="B3" s="221" t="s">
        <v>175</v>
      </c>
      <c r="C3" s="222" t="s">
        <v>160</v>
      </c>
      <c r="D3" s="294" t="s">
        <v>235</v>
      </c>
      <c r="E3" s="294" t="s">
        <v>236</v>
      </c>
      <c r="F3" s="295" t="s">
        <v>90</v>
      </c>
      <c r="G3" s="294" t="s">
        <v>13</v>
      </c>
      <c r="H3" s="295" t="s">
        <v>174</v>
      </c>
    </row>
    <row r="4" spans="2:9" x14ac:dyDescent="0.25">
      <c r="B4" s="169" t="s">
        <v>169</v>
      </c>
      <c r="C4" s="170" t="s">
        <v>170</v>
      </c>
      <c r="D4" s="296">
        <f>'Summary Prog Orders'!D14</f>
        <v>3145687.3699999936</v>
      </c>
      <c r="E4" s="296">
        <f>'Summary Prog Orders'!E14</f>
        <v>276000</v>
      </c>
      <c r="F4" s="296">
        <f>+D4+E4</f>
        <v>3421687.3699999936</v>
      </c>
      <c r="G4" s="297">
        <f>'CRM CAP Forecast'!B20</f>
        <v>3.1950138602539598E-2</v>
      </c>
      <c r="H4" s="298">
        <f>+G4*F4</f>
        <v>109323.38572605899</v>
      </c>
    </row>
    <row r="5" spans="2:9" x14ac:dyDescent="0.25">
      <c r="B5" s="169" t="s">
        <v>171</v>
      </c>
      <c r="C5" s="170" t="s">
        <v>95</v>
      </c>
      <c r="D5" s="299">
        <f>'Summary Prog Orders'!D13</f>
        <v>46594045.240000039</v>
      </c>
      <c r="E5" s="299">
        <f>'Summary Prog Orders'!E13</f>
        <v>3721742</v>
      </c>
      <c r="F5" s="299">
        <f>+D5+E5</f>
        <v>50315787.240000039</v>
      </c>
      <c r="G5" s="297">
        <f>'CRM CAP Forecast'!B19</f>
        <v>2.443056207967733E-2</v>
      </c>
      <c r="H5" s="300">
        <f>+G5*F5</f>
        <v>1229242.9637546574</v>
      </c>
    </row>
    <row r="6" spans="2:9" ht="15.75" thickBot="1" x14ac:dyDescent="0.3">
      <c r="B6" s="171" t="s">
        <v>90</v>
      </c>
      <c r="C6" s="172"/>
      <c r="D6" s="301">
        <f>SUM(D4:D5)</f>
        <v>49739732.610000029</v>
      </c>
      <c r="E6" s="301">
        <f t="shared" ref="E6:F6" si="0">SUM(E4:E5)</f>
        <v>3997742</v>
      </c>
      <c r="F6" s="301">
        <f t="shared" si="0"/>
        <v>53737474.610000029</v>
      </c>
      <c r="G6" s="302"/>
      <c r="H6" s="301">
        <f>SUM(H4:H5)</f>
        <v>1338566.3494807165</v>
      </c>
    </row>
    <row r="7" spans="2:9" ht="15.75" thickTop="1" x14ac:dyDescent="0.25">
      <c r="B7" s="156" t="s">
        <v>93</v>
      </c>
      <c r="D7" s="303"/>
      <c r="E7" s="303"/>
      <c r="F7" s="303"/>
      <c r="G7" s="297">
        <f>+H6/F6</f>
        <v>2.4909364632323495E-2</v>
      </c>
      <c r="H7" s="303"/>
    </row>
    <row r="8" spans="2:9" x14ac:dyDescent="0.25">
      <c r="B8" s="156" t="s">
        <v>197</v>
      </c>
      <c r="C8" s="293"/>
      <c r="D8" s="303"/>
      <c r="E8" s="303"/>
      <c r="F8" s="303"/>
      <c r="G8" s="304"/>
      <c r="H8" s="303"/>
    </row>
    <row r="9" spans="2:9" x14ac:dyDescent="0.25">
      <c r="B9" s="155" t="s">
        <v>83</v>
      </c>
      <c r="C9" s="316"/>
      <c r="D9" s="302"/>
      <c r="E9" s="302"/>
      <c r="F9" s="297">
        <f>+F4/F6</f>
        <v>6.3674137923914464E-2</v>
      </c>
      <c r="G9" s="297"/>
      <c r="H9" s="297">
        <f>+H4/H6</f>
        <v>8.1671996138607483E-2</v>
      </c>
    </row>
    <row r="10" spans="2:9" x14ac:dyDescent="0.25">
      <c r="B10" s="316" t="s">
        <v>84</v>
      </c>
      <c r="C10" s="316"/>
      <c r="D10" s="302"/>
      <c r="E10" s="302"/>
      <c r="F10" s="297">
        <f>+F5/F6</f>
        <v>0.93632586207608559</v>
      </c>
      <c r="G10" s="297"/>
      <c r="H10" s="297">
        <f>+H5/H6</f>
        <v>0.91832800386139246</v>
      </c>
    </row>
    <row r="11" spans="2:9" x14ac:dyDescent="0.25">
      <c r="B11" s="230"/>
      <c r="D11" s="303"/>
      <c r="E11" s="303"/>
      <c r="F11" s="303"/>
      <c r="G11" s="304"/>
      <c r="H11" s="303"/>
    </row>
    <row r="12" spans="2:9" x14ac:dyDescent="0.25">
      <c r="D12" s="303"/>
      <c r="E12" s="303"/>
      <c r="F12" s="303"/>
      <c r="G12" s="303"/>
      <c r="H12" s="303"/>
      <c r="I12"/>
    </row>
    <row r="13" spans="2:9" x14ac:dyDescent="0.25">
      <c r="B13" s="220" t="s">
        <v>159</v>
      </c>
      <c r="C13" s="222" t="s">
        <v>160</v>
      </c>
      <c r="D13" s="305" t="s">
        <v>173</v>
      </c>
      <c r="E13" s="305" t="s">
        <v>161</v>
      </c>
      <c r="F13" s="305" t="s">
        <v>90</v>
      </c>
      <c r="G13" s="305" t="s">
        <v>193</v>
      </c>
      <c r="H13" s="305" t="s">
        <v>194</v>
      </c>
      <c r="I13"/>
    </row>
    <row r="14" spans="2:9" x14ac:dyDescent="0.25">
      <c r="B14" s="399" t="s">
        <v>162</v>
      </c>
      <c r="C14" s="399" t="s">
        <v>163</v>
      </c>
      <c r="D14" s="296">
        <v>0</v>
      </c>
      <c r="E14" s="296">
        <v>0</v>
      </c>
      <c r="F14" s="400">
        <f>+D14+E14</f>
        <v>0</v>
      </c>
      <c r="G14" s="306">
        <v>878</v>
      </c>
      <c r="H14" s="306" t="s">
        <v>195</v>
      </c>
      <c r="I14" s="407" t="s">
        <v>242</v>
      </c>
    </row>
    <row r="15" spans="2:9" x14ac:dyDescent="0.25">
      <c r="B15" s="169" t="s">
        <v>164</v>
      </c>
      <c r="C15" s="169" t="s">
        <v>165</v>
      </c>
      <c r="D15" s="307">
        <f>'Summary Prog Orders'!D6</f>
        <v>3207980.4099998274</v>
      </c>
      <c r="E15" s="307">
        <f>'Summary Prog Orders'!E6</f>
        <v>79500</v>
      </c>
      <c r="F15" s="307">
        <f>+D15+E15</f>
        <v>3287480.4099998274</v>
      </c>
      <c r="G15" s="306">
        <v>874</v>
      </c>
      <c r="H15" s="306" t="s">
        <v>196</v>
      </c>
      <c r="I15"/>
    </row>
    <row r="16" spans="2:9" x14ac:dyDescent="0.25">
      <c r="B16" s="169" t="s">
        <v>166</v>
      </c>
      <c r="C16" s="169" t="s">
        <v>167</v>
      </c>
      <c r="D16" s="308">
        <f>'Summary Prog Orders'!D7</f>
        <v>27107.89</v>
      </c>
      <c r="E16" s="308">
        <f>'Summary Prog Orders'!E7</f>
        <v>50000</v>
      </c>
      <c r="F16" s="308">
        <f>+D16+E16</f>
        <v>77107.89</v>
      </c>
      <c r="G16" s="309">
        <v>887</v>
      </c>
      <c r="H16" s="306" t="s">
        <v>195</v>
      </c>
      <c r="I16" t="s">
        <v>240</v>
      </c>
    </row>
    <row r="17" spans="1:9" x14ac:dyDescent="0.25">
      <c r="B17" s="169" t="s">
        <v>245</v>
      </c>
      <c r="C17" s="169"/>
      <c r="D17" s="308"/>
      <c r="E17" s="308">
        <f>'Summary Prog Orders'!E8</f>
        <v>-82000</v>
      </c>
      <c r="F17" s="308">
        <f>+D17+E17</f>
        <v>-82000</v>
      </c>
      <c r="G17" s="309">
        <v>874</v>
      </c>
      <c r="H17" s="306" t="s">
        <v>196</v>
      </c>
      <c r="I17" s="407" t="s">
        <v>244</v>
      </c>
    </row>
    <row r="18" spans="1:9" ht="15.75" thickBot="1" x14ac:dyDescent="0.3">
      <c r="B18" s="171" t="s">
        <v>90</v>
      </c>
      <c r="C18" s="172"/>
      <c r="D18" s="301">
        <f>SUM(D14:D17)</f>
        <v>3235088.2999998275</v>
      </c>
      <c r="E18" s="301">
        <f>SUM(E14:E17)</f>
        <v>47500</v>
      </c>
      <c r="F18" s="301">
        <f>SUM(F14:F17)</f>
        <v>3282588.2999998275</v>
      </c>
      <c r="G18" s="303"/>
      <c r="H18" s="303"/>
      <c r="I18"/>
    </row>
    <row r="19" spans="1:9" ht="15.75" thickTop="1" x14ac:dyDescent="0.25">
      <c r="D19" s="303"/>
      <c r="E19" s="303"/>
      <c r="F19" s="303"/>
      <c r="G19" s="303"/>
      <c r="H19" s="303"/>
      <c r="I19"/>
    </row>
    <row r="20" spans="1:9" x14ac:dyDescent="0.25">
      <c r="B20" s="173" t="s">
        <v>172</v>
      </c>
      <c r="C20" s="174"/>
      <c r="D20" s="310">
        <f>+D6+D18</f>
        <v>52974820.909999855</v>
      </c>
      <c r="E20" s="310">
        <f>+E6+E18</f>
        <v>4045242</v>
      </c>
      <c r="F20" s="310">
        <f>SUM(D20:E20)</f>
        <v>57020062.909999855</v>
      </c>
      <c r="G20" s="303"/>
      <c r="H20" s="303"/>
      <c r="I20"/>
    </row>
    <row r="21" spans="1:9" x14ac:dyDescent="0.25">
      <c r="D21" s="303"/>
      <c r="E21" s="303"/>
      <c r="F21" s="303"/>
      <c r="G21" s="303"/>
      <c r="H21" s="303"/>
      <c r="I21"/>
    </row>
    <row r="22" spans="1:9" x14ac:dyDescent="0.25">
      <c r="D22" s="303"/>
      <c r="E22" s="303"/>
      <c r="F22" s="303"/>
      <c r="G22" s="303"/>
      <c r="H22" s="303"/>
      <c r="I22"/>
    </row>
    <row r="23" spans="1:9" x14ac:dyDescent="0.25">
      <c r="D23" s="303"/>
      <c r="E23" s="303"/>
      <c r="F23" s="303"/>
      <c r="G23" s="303"/>
      <c r="H23" s="303"/>
      <c r="I23"/>
    </row>
    <row r="24" spans="1:9" x14ac:dyDescent="0.25">
      <c r="B24" s="167" t="s">
        <v>60</v>
      </c>
      <c r="C24" s="167"/>
      <c r="D24" s="302"/>
      <c r="E24" s="302"/>
      <c r="F24" s="311">
        <f>'2019 GRC'!J16</f>
        <v>4.5447000000000001E-2</v>
      </c>
      <c r="G24" s="303"/>
      <c r="H24" s="303"/>
      <c r="I24"/>
    </row>
    <row r="25" spans="1:9" x14ac:dyDescent="0.25">
      <c r="B25" s="167" t="s">
        <v>176</v>
      </c>
      <c r="C25" s="167"/>
      <c r="D25" s="302"/>
      <c r="E25" s="302"/>
      <c r="F25" s="307">
        <f>+(F18)/(1-$F$24)</f>
        <v>3438874.8450843771</v>
      </c>
      <c r="G25" s="312"/>
      <c r="H25" s="303"/>
    </row>
    <row r="26" spans="1:9" x14ac:dyDescent="0.25">
      <c r="B26" s="167" t="s">
        <v>178</v>
      </c>
      <c r="C26" s="167"/>
      <c r="D26" s="302"/>
      <c r="E26" s="302"/>
      <c r="F26" s="313">
        <f>'2020 CAP CRM'!$E$39</f>
        <v>6178244.3297547093</v>
      </c>
      <c r="G26" s="303"/>
      <c r="H26" s="303"/>
    </row>
    <row r="27" spans="1:9" ht="30.75" thickBot="1" x14ac:dyDescent="0.3">
      <c r="B27" s="175" t="s">
        <v>179</v>
      </c>
      <c r="C27" s="176"/>
      <c r="D27" s="314"/>
      <c r="E27" s="314"/>
      <c r="F27" s="315">
        <f>SUM(F25:F26)</f>
        <v>9617119.1748390868</v>
      </c>
      <c r="G27" s="303"/>
      <c r="H27" s="303"/>
    </row>
    <row r="29" spans="1:9" x14ac:dyDescent="0.25">
      <c r="A29" s="401" t="s">
        <v>243</v>
      </c>
    </row>
    <row r="30" spans="1:9" x14ac:dyDescent="0.25">
      <c r="A30" s="408" t="s">
        <v>242</v>
      </c>
      <c r="B30" s="403" t="s">
        <v>246</v>
      </c>
      <c r="C30" s="403"/>
      <c r="D30" s="403"/>
      <c r="E30" s="403"/>
      <c r="F30" s="403"/>
      <c r="G30" s="403"/>
      <c r="H30" s="403"/>
      <c r="I30" s="403"/>
    </row>
    <row r="31" spans="1:9" x14ac:dyDescent="0.25">
      <c r="A31" s="409"/>
      <c r="B31" s="403"/>
      <c r="C31" s="403"/>
      <c r="D31" s="403"/>
      <c r="E31" s="403"/>
      <c r="F31" s="403"/>
      <c r="G31" s="403"/>
      <c r="H31" s="403"/>
      <c r="I31" s="403"/>
    </row>
    <row r="32" spans="1:9" x14ac:dyDescent="0.25">
      <c r="A32" s="408" t="s">
        <v>244</v>
      </c>
      <c r="B32" s="403" t="s">
        <v>247</v>
      </c>
      <c r="C32" s="403"/>
      <c r="D32" s="403"/>
      <c r="E32" s="403"/>
      <c r="F32" s="403"/>
      <c r="G32" s="403"/>
      <c r="H32" s="403"/>
      <c r="I32" s="403"/>
    </row>
    <row r="33" spans="1:9" x14ac:dyDescent="0.25">
      <c r="A33" s="409"/>
      <c r="B33" s="403"/>
      <c r="C33" s="403"/>
      <c r="D33" s="403"/>
      <c r="E33" s="403"/>
      <c r="F33" s="403"/>
      <c r="G33" s="403"/>
      <c r="H33" s="403"/>
      <c r="I33" s="403"/>
    </row>
  </sheetData>
  <mergeCells count="2">
    <mergeCell ref="B30:I31"/>
    <mergeCell ref="B32:I33"/>
  </mergeCells>
  <pageMargins left="0.7" right="0.7" top="0.75" bottom="0.75" header="0.3" footer="0.3"/>
  <pageSetup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7"/>
  <sheetViews>
    <sheetView topLeftCell="B1" workbookViewId="0">
      <selection activeCell="E8" sqref="E8"/>
    </sheetView>
  </sheetViews>
  <sheetFormatPr defaultColWidth="9.140625" defaultRowHeight="15" x14ac:dyDescent="0.25"/>
  <cols>
    <col min="1" max="1" width="9.140625" style="348"/>
    <col min="2" max="2" width="27.7109375" style="348" bestFit="1" customWidth="1"/>
    <col min="3" max="3" width="15.5703125" style="348" bestFit="1" customWidth="1"/>
    <col min="4" max="4" width="26.140625" style="348" customWidth="1"/>
    <col min="5" max="5" width="16.7109375" style="348" customWidth="1"/>
    <col min="6" max="6" width="23" style="348" customWidth="1"/>
    <col min="7" max="7" width="17.85546875" style="348" customWidth="1"/>
    <col min="8" max="9" width="14.28515625" style="348" bestFit="1" customWidth="1"/>
    <col min="10" max="16384" width="9.140625" style="348"/>
  </cols>
  <sheetData>
    <row r="2" spans="2:9" ht="15.75" x14ac:dyDescent="0.25">
      <c r="B2" s="347" t="s">
        <v>223</v>
      </c>
    </row>
    <row r="3" spans="2:9" ht="15.75" thickBot="1" x14ac:dyDescent="0.3">
      <c r="B3" s="397" t="s">
        <v>238</v>
      </c>
    </row>
    <row r="4" spans="2:9" ht="15.75" thickBot="1" x14ac:dyDescent="0.3">
      <c r="B4" s="349" t="s">
        <v>224</v>
      </c>
      <c r="C4" s="350"/>
      <c r="D4" s="350"/>
      <c r="E4" s="350"/>
      <c r="F4" s="351"/>
    </row>
    <row r="5" spans="2:9" ht="30" x14ac:dyDescent="0.25">
      <c r="B5" s="352" t="s">
        <v>175</v>
      </c>
      <c r="C5" s="353" t="s">
        <v>160</v>
      </c>
      <c r="D5" s="354" t="s">
        <v>225</v>
      </c>
      <c r="E5" s="355" t="s">
        <v>226</v>
      </c>
      <c r="F5" s="356" t="s">
        <v>227</v>
      </c>
      <c r="H5" s="357"/>
      <c r="I5" s="357"/>
    </row>
    <row r="6" spans="2:9" x14ac:dyDescent="0.25">
      <c r="B6" s="358" t="s">
        <v>164</v>
      </c>
      <c r="C6" s="359" t="s">
        <v>165</v>
      </c>
      <c r="D6" s="360">
        <f>[1]Summary!$D$6</f>
        <v>3207980.4099998274</v>
      </c>
      <c r="E6" s="361">
        <f>[1]Summary!$E$6</f>
        <v>79500</v>
      </c>
      <c r="F6" s="362">
        <f>+E6+D6</f>
        <v>3287480.4099998274</v>
      </c>
      <c r="G6" s="363"/>
      <c r="H6" s="364"/>
      <c r="I6" s="365"/>
    </row>
    <row r="7" spans="2:9" x14ac:dyDescent="0.25">
      <c r="B7" s="358" t="s">
        <v>166</v>
      </c>
      <c r="C7" s="359" t="s">
        <v>167</v>
      </c>
      <c r="D7" s="360">
        <f>[1]Summary!$D$7</f>
        <v>27107.89</v>
      </c>
      <c r="E7" s="361">
        <f>[1]Summary!$E$7</f>
        <v>50000</v>
      </c>
      <c r="F7" s="362">
        <f>+E7+D7</f>
        <v>77107.89</v>
      </c>
      <c r="G7" t="s">
        <v>240</v>
      </c>
    </row>
    <row r="8" spans="2:9" ht="15.75" thickBot="1" x14ac:dyDescent="0.3">
      <c r="B8" s="169" t="s">
        <v>241</v>
      </c>
      <c r="C8" s="398" t="s">
        <v>163</v>
      </c>
      <c r="D8" s="367">
        <v>0</v>
      </c>
      <c r="E8" s="368">
        <f>[1]Summary!$E$8</f>
        <v>-82000</v>
      </c>
      <c r="F8" s="369">
        <f>D8+E8</f>
        <v>-82000</v>
      </c>
      <c r="G8" s="363"/>
    </row>
    <row r="9" spans="2:9" x14ac:dyDescent="0.25">
      <c r="B9" s="370" t="s">
        <v>228</v>
      </c>
      <c r="C9" s="371"/>
      <c r="D9" s="372">
        <f>SUM(D6:D8)</f>
        <v>3235088.2999998275</v>
      </c>
      <c r="E9" s="373">
        <f>SUM(E6:E8)</f>
        <v>47500</v>
      </c>
      <c r="F9" s="374">
        <f>SUM(F6:F8)</f>
        <v>3282588.2999998275</v>
      </c>
      <c r="G9" s="363"/>
    </row>
    <row r="10" spans="2:9" ht="15.75" thickBot="1" x14ac:dyDescent="0.3">
      <c r="B10" s="375"/>
      <c r="C10" s="376"/>
      <c r="D10" s="376"/>
      <c r="E10" s="376"/>
      <c r="F10" s="377"/>
      <c r="G10" s="363"/>
    </row>
    <row r="11" spans="2:9" ht="15.75" thickBot="1" x14ac:dyDescent="0.3">
      <c r="B11" s="349" t="s">
        <v>229</v>
      </c>
      <c r="C11" s="350"/>
      <c r="D11" s="350"/>
      <c r="E11" s="350"/>
      <c r="F11" s="351"/>
    </row>
    <row r="12" spans="2:9" ht="30" x14ac:dyDescent="0.25">
      <c r="B12" s="378" t="s">
        <v>175</v>
      </c>
      <c r="C12" s="379" t="s">
        <v>160</v>
      </c>
      <c r="D12" s="354" t="s">
        <v>225</v>
      </c>
      <c r="E12" s="355" t="s">
        <v>226</v>
      </c>
      <c r="F12" s="356" t="s">
        <v>227</v>
      </c>
    </row>
    <row r="13" spans="2:9" x14ac:dyDescent="0.25">
      <c r="B13" s="380" t="s">
        <v>230</v>
      </c>
      <c r="C13" s="381" t="s">
        <v>95</v>
      </c>
      <c r="D13" s="382">
        <f>'[1]Dupont '!O5044</f>
        <v>46594045.240000039</v>
      </c>
      <c r="E13" s="383">
        <v>3721742</v>
      </c>
      <c r="F13" s="384">
        <f>SUM(D13:E13)</f>
        <v>50315787.240000039</v>
      </c>
      <c r="G13" s="385"/>
    </row>
    <row r="14" spans="2:9" ht="15.75" thickBot="1" x14ac:dyDescent="0.3">
      <c r="B14" s="366" t="s">
        <v>231</v>
      </c>
      <c r="C14" s="386" t="s">
        <v>232</v>
      </c>
      <c r="D14" s="387">
        <f>'[1]Buried Meters '!O4705</f>
        <v>3145687.3699999936</v>
      </c>
      <c r="E14" s="368">
        <v>276000</v>
      </c>
      <c r="F14" s="384">
        <f>SUM(D14:E14)</f>
        <v>3421687.3699999936</v>
      </c>
      <c r="G14" s="357"/>
    </row>
    <row r="15" spans="2:9" x14ac:dyDescent="0.25">
      <c r="B15" s="370" t="s">
        <v>233</v>
      </c>
      <c r="C15" s="388"/>
      <c r="D15" s="389">
        <f>SUM(D13:D14)</f>
        <v>49739732.610000029</v>
      </c>
      <c r="E15" s="389">
        <f>SUM(E13:E14)</f>
        <v>3997742</v>
      </c>
      <c r="F15" s="390">
        <f>SUM(F13:F14)</f>
        <v>53737474.610000029</v>
      </c>
    </row>
    <row r="16" spans="2:9" x14ac:dyDescent="0.25">
      <c r="B16" s="375"/>
      <c r="C16" s="391"/>
      <c r="D16" s="391"/>
      <c r="E16" s="391"/>
      <c r="F16" s="392"/>
    </row>
    <row r="17" spans="2:6" ht="15.75" thickBot="1" x14ac:dyDescent="0.3">
      <c r="B17" s="393" t="s">
        <v>234</v>
      </c>
      <c r="C17" s="394"/>
      <c r="D17" s="395">
        <f>D9+D15</f>
        <v>52974820.909999855</v>
      </c>
      <c r="E17" s="395">
        <f>E9+E15</f>
        <v>4045242</v>
      </c>
      <c r="F17" s="396">
        <f>F9+F15</f>
        <v>57020062.909999855</v>
      </c>
    </row>
  </sheetData>
  <pageMargins left="0.7" right="0.7" top="0.75" bottom="0.75" header="0.3" footer="0.3"/>
  <pageSetup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1"/>
  <sheetViews>
    <sheetView workbookViewId="0">
      <selection activeCell="E14" sqref="E14"/>
    </sheetView>
  </sheetViews>
  <sheetFormatPr defaultColWidth="9.140625" defaultRowHeight="15" outlineLevelRow="1" x14ac:dyDescent="0.25"/>
  <cols>
    <col min="1" max="1" width="17" style="125" customWidth="1"/>
    <col min="2" max="2" width="46" style="125" bestFit="1" customWidth="1"/>
    <col min="3" max="3" width="14.5703125" style="125" bestFit="1" customWidth="1"/>
    <col min="4" max="4" width="15.7109375" style="125" bestFit="1" customWidth="1"/>
    <col min="5" max="5" width="16" style="125" bestFit="1" customWidth="1"/>
    <col min="6" max="6" width="12.28515625" style="125" customWidth="1"/>
    <col min="7" max="7" width="28.5703125" style="129" bestFit="1" customWidth="1"/>
    <col min="8" max="8" width="11" style="129" customWidth="1"/>
    <col min="9" max="16384" width="9.140625" style="129"/>
  </cols>
  <sheetData>
    <row r="1" spans="1:8" x14ac:dyDescent="0.25">
      <c r="A1" s="317"/>
      <c r="B1" s="317"/>
      <c r="C1" s="317"/>
      <c r="D1" s="317"/>
      <c r="E1" s="317"/>
      <c r="F1" s="317"/>
      <c r="G1"/>
      <c r="H1"/>
    </row>
    <row r="2" spans="1:8" x14ac:dyDescent="0.25">
      <c r="B2" s="150" t="s">
        <v>78</v>
      </c>
      <c r="C2" s="318"/>
      <c r="D2" s="318"/>
      <c r="E2" s="318"/>
    </row>
    <row r="4" spans="1:8" ht="15.75" thickBot="1" x14ac:dyDescent="0.3"/>
    <row r="5" spans="1:8" ht="15.75" thickBot="1" x14ac:dyDescent="0.3">
      <c r="A5" s="138"/>
      <c r="B5" s="139">
        <v>43739</v>
      </c>
      <c r="C5" s="140"/>
      <c r="D5" s="140"/>
      <c r="E5" s="141"/>
      <c r="F5" s="319"/>
      <c r="G5" s="135"/>
    </row>
    <row r="6" spans="1:8" ht="82.9" customHeight="1" x14ac:dyDescent="0.25">
      <c r="A6" s="142" t="s">
        <v>79</v>
      </c>
      <c r="B6" s="142" t="s">
        <v>80</v>
      </c>
      <c r="C6" s="143" t="s">
        <v>152</v>
      </c>
      <c r="D6" s="143" t="s">
        <v>180</v>
      </c>
      <c r="E6" s="144" t="s">
        <v>81</v>
      </c>
      <c r="F6" s="319"/>
      <c r="G6" s="135"/>
    </row>
    <row r="7" spans="1:8" ht="15.75" x14ac:dyDescent="0.25">
      <c r="A7" s="227" t="s">
        <v>95</v>
      </c>
      <c r="B7" s="145" t="s">
        <v>96</v>
      </c>
      <c r="C7" s="119">
        <v>49985039.879999995</v>
      </c>
      <c r="D7" s="119">
        <v>10065397.379999999</v>
      </c>
      <c r="E7" s="146">
        <f>SUM(C7:D7)</f>
        <v>60050437.25999999</v>
      </c>
      <c r="F7" s="319"/>
      <c r="G7" s="135"/>
    </row>
    <row r="8" spans="1:8" ht="15.75" x14ac:dyDescent="0.25">
      <c r="A8" s="227" t="s">
        <v>97</v>
      </c>
      <c r="B8" s="145" t="s">
        <v>98</v>
      </c>
      <c r="C8" s="119">
        <v>479737.33</v>
      </c>
      <c r="D8" s="119">
        <v>1588.01</v>
      </c>
      <c r="E8" s="146">
        <f>SUM(C8:D8)</f>
        <v>481325.34</v>
      </c>
      <c r="F8" s="319"/>
      <c r="G8" s="135"/>
    </row>
    <row r="9" spans="1:8" ht="15.75" x14ac:dyDescent="0.25">
      <c r="A9" s="227" t="s">
        <v>99</v>
      </c>
      <c r="B9" s="145" t="s">
        <v>100</v>
      </c>
      <c r="C9" s="119">
        <v>105950.33000000002</v>
      </c>
      <c r="D9" s="119">
        <v>1879.9500000000003</v>
      </c>
      <c r="E9" s="146">
        <f>SUM(C9:D9)</f>
        <v>107830.28000000001</v>
      </c>
      <c r="F9" s="319"/>
      <c r="G9" s="135"/>
    </row>
    <row r="10" spans="1:8" x14ac:dyDescent="0.25">
      <c r="A10" s="147" t="s">
        <v>82</v>
      </c>
      <c r="B10" s="147"/>
      <c r="C10" s="146">
        <f>SUM(C7:C9)</f>
        <v>50570727.539999992</v>
      </c>
      <c r="D10" s="146">
        <f t="shared" ref="D10:E10" si="0">SUM(D7:D9)</f>
        <v>10068865.339999998</v>
      </c>
      <c r="E10" s="146">
        <f t="shared" si="0"/>
        <v>60639592.879999995</v>
      </c>
      <c r="F10" s="319"/>
      <c r="G10" s="135"/>
    </row>
    <row r="11" spans="1:8" x14ac:dyDescent="0.25">
      <c r="F11" s="319"/>
      <c r="G11" s="135"/>
    </row>
    <row r="12" spans="1:8" x14ac:dyDescent="0.25">
      <c r="B12" s="148" t="s">
        <v>83</v>
      </c>
      <c r="C12" s="148"/>
      <c r="D12" s="148"/>
      <c r="E12" s="228">
        <f>+E7+E8</f>
        <v>60531762.599999994</v>
      </c>
      <c r="F12" s="319"/>
      <c r="G12" s="135"/>
    </row>
    <row r="13" spans="1:8" x14ac:dyDescent="0.25">
      <c r="B13" s="148" t="s">
        <v>84</v>
      </c>
      <c r="C13" s="148"/>
      <c r="D13" s="148"/>
      <c r="E13" s="228">
        <f>+E9</f>
        <v>107830.28000000001</v>
      </c>
      <c r="F13" s="319"/>
      <c r="G13" s="135"/>
    </row>
    <row r="14" spans="1:8" x14ac:dyDescent="0.25">
      <c r="E14" s="229">
        <f>+E12/E10</f>
        <v>0.99822178423569918</v>
      </c>
      <c r="F14" s="319"/>
      <c r="G14" s="135"/>
    </row>
    <row r="15" spans="1:8" x14ac:dyDescent="0.25">
      <c r="E15" s="229">
        <f>+E13/E10</f>
        <v>1.7782157643008243E-3</v>
      </c>
      <c r="F15" s="319"/>
      <c r="G15" s="135"/>
    </row>
    <row r="16" spans="1:8" x14ac:dyDescent="0.25">
      <c r="E16" s="133"/>
      <c r="F16" s="319"/>
      <c r="G16" s="135"/>
    </row>
    <row r="17" spans="1:8" x14ac:dyDescent="0.25">
      <c r="A17" s="149"/>
      <c r="B17" s="150" t="s">
        <v>85</v>
      </c>
      <c r="C17" s="150"/>
      <c r="D17" s="150"/>
      <c r="E17" s="150"/>
      <c r="F17" s="319"/>
      <c r="G17" s="135"/>
    </row>
    <row r="18" spans="1:8" x14ac:dyDescent="0.25">
      <c r="A18" s="151" t="s">
        <v>86</v>
      </c>
      <c r="B18" s="152" t="s">
        <v>135</v>
      </c>
      <c r="C18" s="153" t="s">
        <v>136</v>
      </c>
      <c r="D18" s="153" t="s">
        <v>137</v>
      </c>
      <c r="E18" s="153" t="s">
        <v>90</v>
      </c>
      <c r="F18" s="319"/>
      <c r="G18" s="135"/>
    </row>
    <row r="19" spans="1:8" x14ac:dyDescent="0.25">
      <c r="A19" s="147" t="s">
        <v>91</v>
      </c>
      <c r="B19" s="120">
        <f>D30</f>
        <v>2.443056207967733E-2</v>
      </c>
      <c r="C19" s="154">
        <f>E12*B19</f>
        <v>1478824.9839915903</v>
      </c>
      <c r="D19" s="154"/>
      <c r="E19" s="154">
        <f>SUM(C19:D19)</f>
        <v>1478824.9839915903</v>
      </c>
      <c r="F19" s="319"/>
      <c r="G19" s="135"/>
    </row>
    <row r="20" spans="1:8" x14ac:dyDescent="0.25">
      <c r="A20" s="148" t="s">
        <v>84</v>
      </c>
      <c r="B20" s="120">
        <f>D31</f>
        <v>3.1950138602539598E-2</v>
      </c>
      <c r="C20" s="154"/>
      <c r="D20" s="154">
        <f>E13*B20</f>
        <v>3445.1923915506541</v>
      </c>
      <c r="E20" s="154">
        <f>SUM(C20:D20)</f>
        <v>3445.1923915506541</v>
      </c>
      <c r="F20" s="319"/>
      <c r="G20" s="135"/>
    </row>
    <row r="21" spans="1:8" x14ac:dyDescent="0.25">
      <c r="A21" s="147" t="s">
        <v>92</v>
      </c>
      <c r="B21" s="155"/>
      <c r="C21" s="154">
        <f>SUM(C19:C20)</f>
        <v>1478824.9839915903</v>
      </c>
      <c r="D21" s="154">
        <f>SUM(D19:D20)</f>
        <v>3445.1923915506541</v>
      </c>
      <c r="E21" s="154">
        <f>SUM(C21:D21)</f>
        <v>1482270.176383141</v>
      </c>
      <c r="F21" s="319"/>
      <c r="G21" s="135"/>
    </row>
    <row r="22" spans="1:8" x14ac:dyDescent="0.25">
      <c r="A22" s="155"/>
      <c r="B22" s="156" t="s">
        <v>93</v>
      </c>
      <c r="C22" s="155"/>
      <c r="D22" s="155"/>
      <c r="E22" s="120">
        <f>+E21/E10</f>
        <v>2.4443933509191149E-2</v>
      </c>
      <c r="F22" s="320" t="s">
        <v>150</v>
      </c>
      <c r="G22" s="135"/>
    </row>
    <row r="23" spans="1:8" ht="60" x14ac:dyDescent="0.25">
      <c r="E23" s="133">
        <f>E19/E21</f>
        <v>0.99767573250380226</v>
      </c>
      <c r="F23" s="321" t="s">
        <v>151</v>
      </c>
      <c r="G23" s="135"/>
      <c r="H23" s="135"/>
    </row>
    <row r="24" spans="1:8" x14ac:dyDescent="0.25">
      <c r="E24" s="133">
        <f>E20/E21</f>
        <v>2.3242674961977592E-3</v>
      </c>
      <c r="F24" s="319"/>
      <c r="G24" s="135"/>
      <c r="H24" s="135"/>
    </row>
    <row r="25" spans="1:8" ht="15.75" thickBot="1" x14ac:dyDescent="0.3">
      <c r="F25" s="319"/>
      <c r="G25" s="135"/>
      <c r="H25" s="135"/>
    </row>
    <row r="26" spans="1:8" x14ac:dyDescent="0.25">
      <c r="A26" s="322" t="s">
        <v>127</v>
      </c>
      <c r="B26" s="323"/>
      <c r="C26" s="323"/>
      <c r="D26" s="324"/>
      <c r="E26" s="133"/>
    </row>
    <row r="27" spans="1:8" ht="24.75" x14ac:dyDescent="0.25">
      <c r="A27" s="325" t="s">
        <v>128</v>
      </c>
      <c r="B27" s="326" t="s">
        <v>110</v>
      </c>
      <c r="C27" s="327" t="s">
        <v>129</v>
      </c>
      <c r="D27" s="328" t="s">
        <v>130</v>
      </c>
      <c r="E27" s="329"/>
      <c r="F27" s="319"/>
    </row>
    <row r="28" spans="1:8" x14ac:dyDescent="0.25">
      <c r="A28" s="325" t="s">
        <v>131</v>
      </c>
      <c r="B28" s="326"/>
      <c r="C28" s="330" t="s">
        <v>111</v>
      </c>
      <c r="D28" s="331" t="s">
        <v>111</v>
      </c>
      <c r="E28" s="319"/>
      <c r="F28" s="332"/>
    </row>
    <row r="29" spans="1:8" x14ac:dyDescent="0.25">
      <c r="A29" s="333"/>
      <c r="B29" s="334"/>
      <c r="C29" s="330" t="s">
        <v>132</v>
      </c>
      <c r="D29" s="335"/>
    </row>
    <row r="30" spans="1:8" x14ac:dyDescent="0.25">
      <c r="A30" s="336">
        <v>376.2</v>
      </c>
      <c r="B30" s="334" t="s">
        <v>133</v>
      </c>
      <c r="C30" s="337">
        <v>2.7700000000000002E-2</v>
      </c>
      <c r="D30" s="338">
        <v>2.443056207967733E-2</v>
      </c>
    </row>
    <row r="31" spans="1:8" ht="15.75" thickBot="1" x14ac:dyDescent="0.3">
      <c r="A31" s="339">
        <v>380.2</v>
      </c>
      <c r="B31" s="340" t="s">
        <v>134</v>
      </c>
      <c r="C31" s="341">
        <v>4.58E-2</v>
      </c>
      <c r="D31" s="342">
        <v>3.1950138602539598E-2</v>
      </c>
    </row>
    <row r="33" spans="1:8" x14ac:dyDescent="0.25">
      <c r="A33" s="149"/>
      <c r="B33" s="150" t="s">
        <v>85</v>
      </c>
      <c r="C33" s="150"/>
      <c r="D33" s="150"/>
      <c r="E33" s="133"/>
    </row>
    <row r="34" spans="1:8" x14ac:dyDescent="0.25">
      <c r="A34" s="151" t="s">
        <v>86</v>
      </c>
      <c r="B34" s="152" t="s">
        <v>87</v>
      </c>
      <c r="C34" s="153" t="s">
        <v>88</v>
      </c>
      <c r="D34" s="153" t="s">
        <v>89</v>
      </c>
      <c r="E34" s="153" t="s">
        <v>90</v>
      </c>
    </row>
    <row r="35" spans="1:8" x14ac:dyDescent="0.25">
      <c r="A35" s="147" t="s">
        <v>91</v>
      </c>
      <c r="B35" s="120">
        <f>D30</f>
        <v>2.443056207967733E-2</v>
      </c>
      <c r="C35" s="154">
        <f>E80*B35</f>
        <v>1026649.0141054934</v>
      </c>
      <c r="D35" s="154"/>
      <c r="E35" s="154">
        <f>SUM(C35:D35)</f>
        <v>1026649.0141054934</v>
      </c>
    </row>
    <row r="36" spans="1:8" x14ac:dyDescent="0.25">
      <c r="A36" s="147" t="s">
        <v>84</v>
      </c>
      <c r="B36" s="120">
        <f>D31</f>
        <v>3.1950138602539598E-2</v>
      </c>
      <c r="C36" s="154"/>
      <c r="D36" s="154">
        <f>E81*B36</f>
        <v>111651.69744198215</v>
      </c>
      <c r="E36" s="154">
        <f>SUM(C36:D36)</f>
        <v>111651.69744198215</v>
      </c>
    </row>
    <row r="37" spans="1:8" x14ac:dyDescent="0.25">
      <c r="A37" s="147" t="s">
        <v>92</v>
      </c>
      <c r="B37" s="155"/>
      <c r="C37" s="154">
        <f>SUM(C35:C36)</f>
        <v>1026649.0141054934</v>
      </c>
      <c r="D37" s="154">
        <f>SUM(D35:D36)</f>
        <v>111651.69744198215</v>
      </c>
      <c r="E37" s="154">
        <f>SUM(C37:D37)</f>
        <v>1138300.7115474755</v>
      </c>
    </row>
    <row r="38" spans="1:8" x14ac:dyDescent="0.25">
      <c r="A38" s="155"/>
      <c r="B38" s="156" t="s">
        <v>93</v>
      </c>
      <c r="C38" s="155"/>
      <c r="D38" s="155"/>
      <c r="E38" s="120">
        <f>+E37/E78</f>
        <v>2.5007867478263991E-2</v>
      </c>
    </row>
    <row r="41" spans="1:8" ht="15.75" thickBot="1" x14ac:dyDescent="0.3"/>
    <row r="42" spans="1:8" ht="15.75" thickBot="1" x14ac:dyDescent="0.3">
      <c r="A42" s="138"/>
      <c r="B42" s="343">
        <v>2018</v>
      </c>
      <c r="C42" s="140"/>
      <c r="D42" s="140"/>
      <c r="E42" s="141"/>
      <c r="G42" s="286"/>
      <c r="H42" s="286"/>
    </row>
    <row r="43" spans="1:8" ht="75" x14ac:dyDescent="0.25">
      <c r="A43" s="142" t="s">
        <v>79</v>
      </c>
      <c r="B43" s="142" t="s">
        <v>80</v>
      </c>
      <c r="C43" s="143" t="s">
        <v>147</v>
      </c>
      <c r="D43" s="143" t="s">
        <v>148</v>
      </c>
      <c r="E43" s="144" t="s">
        <v>81</v>
      </c>
      <c r="G43" s="287"/>
      <c r="H43" s="287"/>
    </row>
    <row r="44" spans="1:8" ht="15.75" x14ac:dyDescent="0.25">
      <c r="A44" s="125" t="s">
        <v>95</v>
      </c>
      <c r="B44" s="145" t="s">
        <v>96</v>
      </c>
      <c r="C44" s="119">
        <v>50181798.259999998</v>
      </c>
      <c r="D44" s="119">
        <v>4644023.4099999992</v>
      </c>
      <c r="E44" s="146">
        <f>SUM(C44:D44)</f>
        <v>54825821.669999994</v>
      </c>
      <c r="G44" s="288"/>
      <c r="H44" s="288"/>
    </row>
    <row r="45" spans="1:8" ht="15.75" x14ac:dyDescent="0.25">
      <c r="A45" s="125" t="s">
        <v>97</v>
      </c>
      <c r="B45" s="145" t="s">
        <v>98</v>
      </c>
      <c r="C45" s="119">
        <v>4782276.53</v>
      </c>
      <c r="D45" s="119"/>
      <c r="E45" s="146">
        <f>SUM(C45:D45)</f>
        <v>4782276.53</v>
      </c>
      <c r="G45" s="288"/>
      <c r="H45" s="288"/>
    </row>
    <row r="46" spans="1:8" ht="15.75" x14ac:dyDescent="0.25">
      <c r="A46" s="125" t="s">
        <v>99</v>
      </c>
      <c r="B46" s="145" t="s">
        <v>100</v>
      </c>
      <c r="C46" s="119">
        <v>676665.87999999989</v>
      </c>
      <c r="D46" s="119"/>
      <c r="E46" s="146">
        <f>SUM(C46:D46)</f>
        <v>676665.87999999989</v>
      </c>
      <c r="G46" s="288"/>
      <c r="H46" s="288"/>
    </row>
    <row r="47" spans="1:8" x14ac:dyDescent="0.25">
      <c r="A47" s="147" t="s">
        <v>82</v>
      </c>
      <c r="B47" s="147"/>
      <c r="C47" s="146">
        <f t="shared" ref="C47:D47" si="1">SUM(C44:C46)</f>
        <v>55640740.670000002</v>
      </c>
      <c r="D47" s="146">
        <f t="shared" si="1"/>
        <v>4644023.4099999992</v>
      </c>
      <c r="E47" s="146">
        <f>SUM(E44:E46)</f>
        <v>60284764.079999998</v>
      </c>
      <c r="F47" s="344"/>
      <c r="G47" s="289"/>
      <c r="H47" s="289"/>
    </row>
    <row r="48" spans="1:8" x14ac:dyDescent="0.25">
      <c r="G48" s="290"/>
      <c r="H48" s="290"/>
    </row>
    <row r="49" spans="1:8" x14ac:dyDescent="0.25">
      <c r="B49" s="148" t="s">
        <v>83</v>
      </c>
      <c r="C49" s="148"/>
      <c r="D49" s="148"/>
      <c r="E49" s="345">
        <f>+E44+E45</f>
        <v>59608098.199999996</v>
      </c>
      <c r="G49" s="290"/>
      <c r="H49" s="290"/>
    </row>
    <row r="50" spans="1:8" x14ac:dyDescent="0.25">
      <c r="B50" s="148" t="s">
        <v>84</v>
      </c>
      <c r="C50" s="148"/>
      <c r="D50" s="148"/>
      <c r="E50" s="345">
        <f>+E46</f>
        <v>676665.87999999989</v>
      </c>
      <c r="G50" s="290"/>
      <c r="H50" s="290"/>
    </row>
    <row r="51" spans="1:8" x14ac:dyDescent="0.25">
      <c r="E51" s="133">
        <f>+E49/E47</f>
        <v>0.98877550753782428</v>
      </c>
      <c r="G51" s="290"/>
      <c r="H51" s="290"/>
    </row>
    <row r="52" spans="1:8" x14ac:dyDescent="0.25">
      <c r="E52" s="133">
        <f>+E50/E47</f>
        <v>1.1224492462175693E-2</v>
      </c>
      <c r="G52" s="290"/>
      <c r="H52" s="290"/>
    </row>
    <row r="53" spans="1:8" x14ac:dyDescent="0.25">
      <c r="E53" s="133"/>
      <c r="G53" s="290"/>
      <c r="H53" s="290"/>
    </row>
    <row r="54" spans="1:8" x14ac:dyDescent="0.25">
      <c r="A54" s="149"/>
      <c r="B54" s="150" t="s">
        <v>85</v>
      </c>
      <c r="C54" s="150"/>
      <c r="D54" s="150"/>
      <c r="E54" s="150"/>
      <c r="G54" s="290"/>
      <c r="H54" s="290"/>
    </row>
    <row r="55" spans="1:8" x14ac:dyDescent="0.25">
      <c r="A55" s="151" t="s">
        <v>86</v>
      </c>
      <c r="B55" s="152" t="s">
        <v>144</v>
      </c>
      <c r="C55" s="153" t="s">
        <v>136</v>
      </c>
      <c r="D55" s="153" t="s">
        <v>137</v>
      </c>
      <c r="E55" s="153" t="s">
        <v>90</v>
      </c>
      <c r="G55" s="290"/>
      <c r="H55" s="290"/>
    </row>
    <row r="56" spans="1:8" x14ac:dyDescent="0.25">
      <c r="A56" s="147" t="s">
        <v>91</v>
      </c>
      <c r="B56" s="120">
        <f>C30</f>
        <v>2.7700000000000002E-2</v>
      </c>
      <c r="C56" s="154">
        <f>E49*B56</f>
        <v>1651144.32014</v>
      </c>
      <c r="D56" s="154"/>
      <c r="E56" s="154">
        <f>SUM(C56:D56)</f>
        <v>1651144.32014</v>
      </c>
      <c r="G56" s="290"/>
      <c r="H56" s="290"/>
    </row>
    <row r="57" spans="1:8" x14ac:dyDescent="0.25">
      <c r="A57" s="147" t="s">
        <v>84</v>
      </c>
      <c r="B57" s="120">
        <f>C31</f>
        <v>4.58E-2</v>
      </c>
      <c r="C57" s="154"/>
      <c r="D57" s="154">
        <f>E50*B57</f>
        <v>30991.297303999996</v>
      </c>
      <c r="E57" s="154">
        <f>SUM(C57:D57)</f>
        <v>30991.297303999996</v>
      </c>
      <c r="G57" s="290"/>
      <c r="H57" s="290"/>
    </row>
    <row r="58" spans="1:8" x14ac:dyDescent="0.25">
      <c r="A58" s="147" t="s">
        <v>92</v>
      </c>
      <c r="B58" s="155"/>
      <c r="C58" s="154">
        <f>SUM(C56:C57)</f>
        <v>1651144.32014</v>
      </c>
      <c r="D58" s="154">
        <f>SUM(D56:D57)</f>
        <v>30991.297303999996</v>
      </c>
      <c r="E58" s="154">
        <f>SUM(C58:D58)</f>
        <v>1682135.617444</v>
      </c>
      <c r="G58" s="290"/>
      <c r="H58" s="290"/>
    </row>
    <row r="59" spans="1:8" x14ac:dyDescent="0.25">
      <c r="A59" s="155"/>
      <c r="B59" s="156" t="s">
        <v>93</v>
      </c>
      <c r="C59" s="155"/>
      <c r="D59" s="155"/>
      <c r="E59" s="120">
        <f>+E58/E47</f>
        <v>2.790316331356538E-2</v>
      </c>
      <c r="G59" s="290"/>
      <c r="H59" s="290"/>
    </row>
    <row r="60" spans="1:8" x14ac:dyDescent="0.25">
      <c r="E60" s="133">
        <f>E56/E58</f>
        <v>0.98157621954935403</v>
      </c>
      <c r="G60" s="290"/>
      <c r="H60" s="290"/>
    </row>
    <row r="61" spans="1:8" x14ac:dyDescent="0.25">
      <c r="E61" s="133">
        <f>E57/E58</f>
        <v>1.8423780450645934E-2</v>
      </c>
      <c r="G61" s="290"/>
      <c r="H61" s="290"/>
    </row>
    <row r="62" spans="1:8" x14ac:dyDescent="0.25">
      <c r="A62" s="149"/>
      <c r="B62" s="150" t="s">
        <v>85</v>
      </c>
      <c r="C62" s="150"/>
      <c r="D62" s="150"/>
      <c r="E62" s="150"/>
      <c r="G62" s="290"/>
      <c r="H62" s="290"/>
    </row>
    <row r="63" spans="1:8" x14ac:dyDescent="0.25">
      <c r="A63" s="151" t="s">
        <v>86</v>
      </c>
      <c r="B63" s="152" t="s">
        <v>135</v>
      </c>
      <c r="C63" s="153" t="s">
        <v>136</v>
      </c>
      <c r="D63" s="153" t="s">
        <v>137</v>
      </c>
      <c r="E63" s="153" t="s">
        <v>90</v>
      </c>
      <c r="G63" s="290"/>
      <c r="H63" s="290"/>
    </row>
    <row r="64" spans="1:8" x14ac:dyDescent="0.25">
      <c r="A64" s="147" t="s">
        <v>91</v>
      </c>
      <c r="B64" s="120">
        <f>D30</f>
        <v>2.443056207967733E-2</v>
      </c>
      <c r="C64" s="154">
        <f>E49*B64</f>
        <v>1456259.3435266025</v>
      </c>
      <c r="D64" s="154"/>
      <c r="E64" s="154">
        <f>SUM(C64:D64)</f>
        <v>1456259.3435266025</v>
      </c>
      <c r="F64" s="319"/>
      <c r="G64" s="290"/>
      <c r="H64" s="290"/>
    </row>
    <row r="65" spans="1:8" x14ac:dyDescent="0.25">
      <c r="A65" s="147" t="s">
        <v>84</v>
      </c>
      <c r="B65" s="120">
        <f>D31</f>
        <v>3.1950138602539598E-2</v>
      </c>
      <c r="C65" s="154"/>
      <c r="D65" s="154">
        <f>E50*B65</f>
        <v>21619.568653609422</v>
      </c>
      <c r="E65" s="154">
        <f>SUM(C65:D65)</f>
        <v>21619.568653609422</v>
      </c>
      <c r="F65" s="319"/>
      <c r="G65" s="290"/>
      <c r="H65" s="290"/>
    </row>
    <row r="66" spans="1:8" x14ac:dyDescent="0.25">
      <c r="A66" s="147" t="s">
        <v>92</v>
      </c>
      <c r="B66" s="155"/>
      <c r="C66" s="154">
        <f>SUM(C64:C65)</f>
        <v>1456259.3435266025</v>
      </c>
      <c r="D66" s="154">
        <f>SUM(D64:D65)</f>
        <v>21619.568653609422</v>
      </c>
      <c r="E66" s="154">
        <f>SUM(C66:D66)</f>
        <v>1477878.9121802119</v>
      </c>
      <c r="F66" s="319"/>
      <c r="G66" s="290"/>
      <c r="H66" s="290"/>
    </row>
    <row r="67" spans="1:8" x14ac:dyDescent="0.25">
      <c r="A67" s="155"/>
      <c r="B67" s="156" t="s">
        <v>93</v>
      </c>
      <c r="C67" s="155"/>
      <c r="D67" s="155"/>
      <c r="E67" s="120">
        <f>+E66/E47</f>
        <v>2.451496550967695E-2</v>
      </c>
      <c r="G67" s="292"/>
      <c r="H67" s="292"/>
    </row>
    <row r="68" spans="1:8" x14ac:dyDescent="0.25">
      <c r="E68" s="133">
        <f>E64/E66</f>
        <v>0.98537121784780357</v>
      </c>
      <c r="F68" s="319"/>
      <c r="G68" s="291"/>
      <c r="H68" s="291"/>
    </row>
    <row r="69" spans="1:8" x14ac:dyDescent="0.25">
      <c r="E69" s="133">
        <f>E65/E66</f>
        <v>1.4628782152196472E-2</v>
      </c>
      <c r="F69" s="319"/>
      <c r="G69" s="291"/>
      <c r="H69" s="291"/>
    </row>
    <row r="70" spans="1:8" x14ac:dyDescent="0.25">
      <c r="F70" s="319"/>
      <c r="G70" s="291"/>
      <c r="H70" s="291"/>
    </row>
    <row r="71" spans="1:8" x14ac:dyDescent="0.25">
      <c r="E71" s="319">
        <f>E66/12*F71</f>
        <v>50237.303400000004</v>
      </c>
      <c r="F71" s="319">
        <f>0.01/E67</f>
        <v>0.40791409623042857</v>
      </c>
      <c r="G71" s="290"/>
      <c r="H71" s="290"/>
    </row>
    <row r="72" spans="1:8" ht="15.75" thickBot="1" x14ac:dyDescent="0.3">
      <c r="E72" s="319"/>
      <c r="G72" s="290"/>
      <c r="H72" s="290"/>
    </row>
    <row r="73" spans="1:8" ht="15.75" outlineLevel="1" thickBot="1" x14ac:dyDescent="0.3">
      <c r="A73" s="138"/>
      <c r="B73" s="343">
        <v>2017</v>
      </c>
      <c r="C73" s="140"/>
      <c r="D73" s="140"/>
      <c r="E73" s="141"/>
      <c r="G73" s="285"/>
      <c r="H73" s="285"/>
    </row>
    <row r="74" spans="1:8" ht="30" outlineLevel="1" x14ac:dyDescent="0.25">
      <c r="A74" s="142" t="s">
        <v>79</v>
      </c>
      <c r="B74" s="142" t="s">
        <v>80</v>
      </c>
      <c r="C74" s="144" t="s">
        <v>94</v>
      </c>
      <c r="D74" s="144" t="s">
        <v>126</v>
      </c>
      <c r="E74" s="144" t="s">
        <v>81</v>
      </c>
      <c r="G74" s="285"/>
      <c r="H74" s="285"/>
    </row>
    <row r="75" spans="1:8" ht="15.75" outlineLevel="1" x14ac:dyDescent="0.25">
      <c r="A75" s="125" t="s">
        <v>95</v>
      </c>
      <c r="B75" s="145" t="s">
        <v>96</v>
      </c>
      <c r="C75" s="146">
        <v>32093652.129999988</v>
      </c>
      <c r="D75" s="146">
        <v>2505759</v>
      </c>
      <c r="E75" s="146">
        <f>SUM(C75:D75)</f>
        <v>34599411.129999988</v>
      </c>
      <c r="G75" s="285"/>
      <c r="H75" s="285"/>
    </row>
    <row r="76" spans="1:8" ht="15.75" outlineLevel="1" x14ac:dyDescent="0.25">
      <c r="A76" s="125" t="s">
        <v>97</v>
      </c>
      <c r="B76" s="145" t="s">
        <v>98</v>
      </c>
      <c r="C76" s="146">
        <v>7251539.2899999935</v>
      </c>
      <c r="D76" s="146">
        <v>172193</v>
      </c>
      <c r="E76" s="146">
        <f>SUM(C76:D76)</f>
        <v>7423732.2899999935</v>
      </c>
      <c r="G76" s="285"/>
      <c r="H76" s="285"/>
    </row>
    <row r="77" spans="1:8" ht="15.75" outlineLevel="1" x14ac:dyDescent="0.25">
      <c r="A77" s="125" t="s">
        <v>99</v>
      </c>
      <c r="B77" s="145" t="s">
        <v>100</v>
      </c>
      <c r="C77" s="146">
        <v>3437688.6599999969</v>
      </c>
      <c r="D77" s="146">
        <v>56872</v>
      </c>
      <c r="E77" s="146">
        <f>SUM(C77:D77)</f>
        <v>3494560.6599999969</v>
      </c>
      <c r="G77" s="285"/>
      <c r="H77" s="285"/>
    </row>
    <row r="78" spans="1:8" outlineLevel="1" x14ac:dyDescent="0.25">
      <c r="A78" s="147" t="s">
        <v>82</v>
      </c>
      <c r="B78" s="147"/>
      <c r="C78" s="146">
        <f t="shared" ref="C78:D78" si="2">SUM(C75:C77)</f>
        <v>42782880.079999976</v>
      </c>
      <c r="D78" s="146">
        <f t="shared" si="2"/>
        <v>2734824</v>
      </c>
      <c r="E78" s="146">
        <f>SUM(E75:E77)</f>
        <v>45517704.079999976</v>
      </c>
      <c r="F78" s="130"/>
      <c r="G78" s="285"/>
      <c r="H78" s="285"/>
    </row>
    <row r="79" spans="1:8" outlineLevel="1" x14ac:dyDescent="0.25">
      <c r="F79" s="346"/>
      <c r="G79" s="285"/>
      <c r="H79" s="285"/>
    </row>
    <row r="80" spans="1:8" outlineLevel="1" x14ac:dyDescent="0.25">
      <c r="B80" s="148" t="s">
        <v>83</v>
      </c>
      <c r="C80" s="148"/>
      <c r="D80" s="148"/>
      <c r="E80" s="345">
        <f>+E75+E76</f>
        <v>42023143.419999979</v>
      </c>
      <c r="G80" s="285"/>
      <c r="H80" s="285"/>
    </row>
    <row r="81" spans="1:8" outlineLevel="1" x14ac:dyDescent="0.25">
      <c r="B81" s="148" t="s">
        <v>84</v>
      </c>
      <c r="C81" s="148"/>
      <c r="D81" s="148"/>
      <c r="E81" s="345">
        <f>+E77</f>
        <v>3494560.6599999969</v>
      </c>
    </row>
    <row r="82" spans="1:8" outlineLevel="1" x14ac:dyDescent="0.25">
      <c r="D82" s="125" t="s">
        <v>142</v>
      </c>
      <c r="E82" s="133">
        <f>+E80/E78</f>
        <v>0.92322634169205664</v>
      </c>
    </row>
    <row r="83" spans="1:8" outlineLevel="1" x14ac:dyDescent="0.25">
      <c r="D83" s="125" t="s">
        <v>143</v>
      </c>
      <c r="E83" s="133">
        <f>+E81/E78</f>
        <v>7.6773658307943346E-2</v>
      </c>
    </row>
    <row r="84" spans="1:8" outlineLevel="1" x14ac:dyDescent="0.25">
      <c r="A84" s="149"/>
      <c r="B84" s="150" t="s">
        <v>85</v>
      </c>
      <c r="C84" s="150"/>
      <c r="D84" s="150"/>
    </row>
    <row r="85" spans="1:8" outlineLevel="1" x14ac:dyDescent="0.25">
      <c r="A85" s="151" t="s">
        <v>86</v>
      </c>
      <c r="B85" s="152" t="s">
        <v>87</v>
      </c>
      <c r="C85" s="153" t="s">
        <v>88</v>
      </c>
      <c r="D85" s="153" t="s">
        <v>89</v>
      </c>
      <c r="E85" s="153" t="s">
        <v>90</v>
      </c>
    </row>
    <row r="86" spans="1:8" outlineLevel="1" x14ac:dyDescent="0.25">
      <c r="A86" s="147" t="s">
        <v>91</v>
      </c>
      <c r="B86" s="120">
        <f>C30</f>
        <v>2.7700000000000002E-2</v>
      </c>
      <c r="C86" s="154">
        <f>E80*B86</f>
        <v>1164041.0727339995</v>
      </c>
      <c r="D86" s="154"/>
      <c r="E86" s="154">
        <f>SUM(C86:D86)</f>
        <v>1164041.0727339995</v>
      </c>
      <c r="F86" s="319"/>
    </row>
    <row r="87" spans="1:8" outlineLevel="1" x14ac:dyDescent="0.25">
      <c r="A87" s="147" t="s">
        <v>84</v>
      </c>
      <c r="B87" s="120">
        <f>C31</f>
        <v>4.58E-2</v>
      </c>
      <c r="C87" s="154"/>
      <c r="D87" s="154">
        <f>E81*B87</f>
        <v>160050.87822799987</v>
      </c>
      <c r="E87" s="154">
        <f>SUM(C87:D87)</f>
        <v>160050.87822799987</v>
      </c>
      <c r="F87" s="319"/>
    </row>
    <row r="88" spans="1:8" outlineLevel="1" x14ac:dyDescent="0.25">
      <c r="A88" s="147" t="s">
        <v>92</v>
      </c>
      <c r="B88" s="155"/>
      <c r="C88" s="154">
        <f>SUM(C86:C87)</f>
        <v>1164041.0727339995</v>
      </c>
      <c r="D88" s="154">
        <f>SUM(D86:D87)</f>
        <v>160050.87822799987</v>
      </c>
      <c r="E88" s="154">
        <f>SUM(C88:D88)</f>
        <v>1324091.9509619994</v>
      </c>
      <c r="F88" s="319"/>
    </row>
    <row r="89" spans="1:8" outlineLevel="1" x14ac:dyDescent="0.25">
      <c r="A89" s="155"/>
      <c r="B89" s="156" t="s">
        <v>93</v>
      </c>
      <c r="C89" s="155"/>
      <c r="D89" s="155"/>
      <c r="E89" s="120">
        <f>+E88/E78</f>
        <v>2.9089603215373776E-2</v>
      </c>
      <c r="F89" s="319"/>
    </row>
    <row r="90" spans="1:8" outlineLevel="1" x14ac:dyDescent="0.25">
      <c r="E90" s="133">
        <f>E86/E88</f>
        <v>0.87912404564372038</v>
      </c>
      <c r="F90" s="319"/>
      <c r="G90" s="135"/>
      <c r="H90" s="135"/>
    </row>
    <row r="91" spans="1:8" outlineLevel="1" x14ac:dyDescent="0.25">
      <c r="E91" s="133">
        <f>E87/E88</f>
        <v>0.12087595435627962</v>
      </c>
      <c r="F91" s="319"/>
      <c r="G91" s="135"/>
      <c r="H91" s="135"/>
    </row>
  </sheetData>
  <pageMargins left="0.7" right="0.7" top="0.75" bottom="0.75" header="0.3" footer="0.3"/>
  <pageSetup scale="52"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9"/>
  <sheetViews>
    <sheetView zoomScaleNormal="100" workbookViewId="0">
      <pane xSplit="4" ySplit="26" topLeftCell="E27" activePane="bottomRight" state="frozen"/>
      <selection activeCell="J17" sqref="J17"/>
      <selection pane="topRight" activeCell="J17" sqref="J17"/>
      <selection pane="bottomLeft" activeCell="J17" sqref="J17"/>
      <selection pane="bottomRight" activeCell="E57" sqref="E57"/>
    </sheetView>
  </sheetViews>
  <sheetFormatPr defaultColWidth="10.28515625" defaultRowHeight="15" outlineLevelRow="1" outlineLevelCol="1" x14ac:dyDescent="0.2"/>
  <cols>
    <col min="1" max="1" width="5.7109375" style="34" customWidth="1"/>
    <col min="2" max="2" width="7.42578125" style="34" customWidth="1"/>
    <col min="3" max="3" width="26.42578125" style="34" customWidth="1"/>
    <col min="4" max="4" width="15.5703125" style="3" customWidth="1"/>
    <col min="5" max="5" width="16.7109375" style="56" customWidth="1"/>
    <col min="6" max="6" width="13.42578125" style="56" customWidth="1"/>
    <col min="7" max="7" width="14.5703125" style="56" bestFit="1" customWidth="1"/>
    <col min="8" max="8" width="12.5703125" style="56" customWidth="1"/>
    <col min="9" max="9" width="14.28515625" style="56" bestFit="1" customWidth="1"/>
    <col min="10" max="25" width="12.85546875" style="56" bestFit="1" customWidth="1"/>
    <col min="26" max="38" width="12.28515625" style="56" bestFit="1" customWidth="1"/>
    <col min="39" max="39" width="17" style="56" customWidth="1" outlineLevel="1"/>
    <col min="40" max="40" width="13" style="56" customWidth="1" outlineLevel="1"/>
    <col min="41" max="41" width="14.28515625" style="56" customWidth="1" outlineLevel="1"/>
    <col min="42" max="42" width="12.7109375" style="3" bestFit="1" customWidth="1"/>
    <col min="43" max="43" width="12.28515625" style="3" customWidth="1"/>
    <col min="44" max="45" width="14" style="3" customWidth="1"/>
    <col min="46" max="46" width="14.28515625" style="3" bestFit="1" customWidth="1"/>
    <col min="47" max="47" width="16.5703125" style="3" customWidth="1"/>
    <col min="48" max="48" width="15" style="3" bestFit="1" customWidth="1"/>
    <col min="49" max="16384" width="10.28515625" style="3"/>
  </cols>
  <sheetData>
    <row r="1" spans="1:41" ht="11.45" customHeight="1" x14ac:dyDescent="0.25">
      <c r="A1" s="1" t="s">
        <v>0</v>
      </c>
      <c r="B1" s="2"/>
      <c r="C1" s="2"/>
      <c r="E1" s="402"/>
      <c r="F1" s="402"/>
      <c r="G1" s="3"/>
      <c r="H1" s="4"/>
      <c r="I1" s="5"/>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pans="1:41" ht="11.45" customHeight="1" x14ac:dyDescent="0.25">
      <c r="A2" s="6" t="s">
        <v>1</v>
      </c>
      <c r="B2" s="2"/>
      <c r="C2" s="2"/>
      <c r="E2" s="3"/>
      <c r="F2" s="5"/>
      <c r="G2" s="5"/>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row>
    <row r="3" spans="1:41" ht="12.75" customHeight="1" x14ac:dyDescent="0.25">
      <c r="A3" s="6" t="s">
        <v>2</v>
      </c>
      <c r="B3" s="2"/>
      <c r="C3" s="136" t="s">
        <v>153</v>
      </c>
      <c r="D3" s="122" t="s">
        <v>3</v>
      </c>
      <c r="E3" s="3"/>
      <c r="F3" s="5"/>
      <c r="G3" s="5"/>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row>
    <row r="4" spans="1:41" ht="11.45" customHeight="1" thickBot="1" x14ac:dyDescent="0.25">
      <c r="A4" s="2"/>
      <c r="B4" s="2"/>
      <c r="C4" s="2"/>
      <c r="E4" s="3"/>
      <c r="F4" s="5"/>
      <c r="G4" s="5"/>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1" x14ac:dyDescent="0.2">
      <c r="A5" s="7" t="s">
        <v>4</v>
      </c>
      <c r="B5" s="8"/>
      <c r="C5" s="8"/>
      <c r="D5" s="9"/>
      <c r="E5" s="9"/>
      <c r="F5" s="10"/>
      <c r="G5" s="275"/>
      <c r="H5" s="3"/>
      <c r="I5" s="3"/>
      <c r="J5" s="3"/>
      <c r="K5" s="3"/>
      <c r="L5" s="3"/>
      <c r="M5" s="3"/>
      <c r="N5" s="22"/>
      <c r="O5" s="3"/>
      <c r="P5" s="3"/>
      <c r="Q5" s="3"/>
      <c r="R5" s="3"/>
      <c r="S5" s="3"/>
      <c r="T5" s="3"/>
      <c r="U5" s="3"/>
      <c r="V5" s="3"/>
      <c r="W5" s="3"/>
      <c r="X5" s="3"/>
      <c r="Y5" s="3"/>
      <c r="Z5" s="3"/>
      <c r="AA5" s="3"/>
      <c r="AB5" s="3"/>
      <c r="AC5" s="3"/>
      <c r="AD5" s="3"/>
      <c r="AE5" s="3"/>
      <c r="AF5" s="3"/>
      <c r="AG5" s="3"/>
      <c r="AH5" s="3"/>
      <c r="AI5" s="3"/>
      <c r="AJ5" s="3"/>
      <c r="AK5" s="3"/>
      <c r="AL5" s="3"/>
      <c r="AM5" s="3"/>
      <c r="AN5" s="3"/>
      <c r="AO5" s="3"/>
    </row>
    <row r="6" spans="1:41" x14ac:dyDescent="0.2">
      <c r="A6" s="12"/>
      <c r="B6" s="13"/>
      <c r="C6" s="13"/>
      <c r="D6" s="272" t="s">
        <v>149</v>
      </c>
      <c r="E6" s="114"/>
      <c r="F6" s="115" t="s">
        <v>220</v>
      </c>
      <c r="G6" s="276" t="s">
        <v>221</v>
      </c>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x14ac:dyDescent="0.2">
      <c r="A7" s="12"/>
      <c r="B7" s="13"/>
      <c r="C7" s="13"/>
      <c r="D7" s="16"/>
      <c r="E7" s="16"/>
      <c r="F7" s="17" t="s">
        <v>5</v>
      </c>
      <c r="G7" s="277" t="s">
        <v>5</v>
      </c>
      <c r="H7" s="3"/>
      <c r="I7" s="3"/>
      <c r="J7" s="3"/>
      <c r="K7" s="3"/>
      <c r="L7" s="3"/>
      <c r="M7" s="116"/>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1" ht="18.75" customHeight="1" x14ac:dyDescent="0.2">
      <c r="A8" s="12" t="s">
        <v>6</v>
      </c>
      <c r="B8" s="13"/>
      <c r="C8" s="13"/>
      <c r="D8" s="19" t="s">
        <v>7</v>
      </c>
      <c r="E8" s="19" t="s">
        <v>8</v>
      </c>
      <c r="F8" s="20" t="s">
        <v>8</v>
      </c>
      <c r="G8" s="278" t="s">
        <v>8</v>
      </c>
      <c r="H8" s="3"/>
      <c r="I8" s="3"/>
      <c r="J8" s="3"/>
      <c r="K8" s="3"/>
      <c r="L8" s="3"/>
      <c r="M8" s="106"/>
      <c r="N8" s="22"/>
      <c r="O8" s="3"/>
      <c r="P8" s="3"/>
      <c r="Q8" s="3"/>
      <c r="R8" s="3"/>
      <c r="S8" s="3"/>
      <c r="T8" s="3"/>
      <c r="U8" s="3"/>
      <c r="V8" s="3"/>
      <c r="W8" s="3"/>
      <c r="X8" s="3"/>
      <c r="Y8" s="3"/>
      <c r="Z8" s="3"/>
      <c r="AA8" s="3"/>
      <c r="AB8" s="3"/>
      <c r="AC8" s="3"/>
      <c r="AD8" s="3"/>
      <c r="AE8" s="3"/>
      <c r="AF8" s="3"/>
      <c r="AG8" s="3"/>
      <c r="AH8" s="3"/>
      <c r="AI8" s="3"/>
      <c r="AJ8" s="3"/>
      <c r="AK8" s="3"/>
      <c r="AL8" s="3"/>
      <c r="AM8" s="3"/>
      <c r="AN8" s="3"/>
      <c r="AO8" s="3"/>
    </row>
    <row r="9" spans="1:41" ht="11.45" customHeight="1" x14ac:dyDescent="0.2">
      <c r="A9" s="12"/>
      <c r="B9" s="13"/>
      <c r="C9" s="13"/>
      <c r="D9" s="14"/>
      <c r="E9" s="14"/>
      <c r="F9" s="21"/>
      <c r="G9" s="279"/>
      <c r="H9" s="3"/>
      <c r="I9" s="3"/>
      <c r="J9" s="3"/>
      <c r="K9" s="3"/>
      <c r="L9" s="3"/>
      <c r="M9" s="106"/>
      <c r="N9" s="22"/>
      <c r="O9" s="3"/>
      <c r="P9" s="3"/>
      <c r="Q9" s="3"/>
      <c r="R9" s="3"/>
      <c r="S9" s="3"/>
      <c r="T9" s="3"/>
      <c r="U9" s="3"/>
      <c r="V9" s="3"/>
      <c r="W9" s="3"/>
      <c r="X9" s="3"/>
      <c r="Y9" s="3"/>
      <c r="Z9" s="3"/>
      <c r="AA9" s="3"/>
      <c r="AB9" s="3"/>
      <c r="AC9" s="3"/>
      <c r="AD9" s="3"/>
      <c r="AE9" s="3"/>
      <c r="AF9" s="3"/>
      <c r="AG9" s="3"/>
      <c r="AH9" s="3"/>
      <c r="AI9" s="3"/>
      <c r="AJ9" s="3"/>
      <c r="AK9" s="3"/>
      <c r="AL9" s="3"/>
      <c r="AM9" s="3"/>
      <c r="AN9" s="3"/>
      <c r="AO9" s="3"/>
    </row>
    <row r="10" spans="1:41" ht="11.45" customHeight="1" x14ac:dyDescent="0.2">
      <c r="A10" s="12"/>
      <c r="B10" s="13"/>
      <c r="C10" s="13"/>
      <c r="D10" s="23"/>
      <c r="E10" s="23"/>
      <c r="F10" s="24"/>
      <c r="G10" s="280"/>
      <c r="H10" s="3"/>
      <c r="I10" s="3"/>
      <c r="J10" s="3"/>
      <c r="K10" s="3"/>
      <c r="L10" s="3"/>
      <c r="M10" s="106"/>
      <c r="N10" s="22"/>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row>
    <row r="11" spans="1:41" x14ac:dyDescent="0.2">
      <c r="A11" s="12" t="s">
        <v>121</v>
      </c>
      <c r="B11" s="13"/>
      <c r="C11" s="13"/>
      <c r="D11" s="23">
        <v>0.51500000000000001</v>
      </c>
      <c r="E11" s="23">
        <v>5.8058252427184473E-2</v>
      </c>
      <c r="F11" s="24">
        <v>2.9899999999999999E-2</v>
      </c>
      <c r="G11" s="280">
        <f>'2019 GRC'!E12</f>
        <v>2.8299999999999999E-2</v>
      </c>
      <c r="H11" s="3"/>
      <c r="I11" s="3"/>
      <c r="J11" s="3"/>
      <c r="K11" s="3"/>
      <c r="L11" s="3"/>
      <c r="M11" s="106"/>
      <c r="N11" s="22"/>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row>
    <row r="12" spans="1:41" x14ac:dyDescent="0.2">
      <c r="A12" s="12" t="s">
        <v>9</v>
      </c>
      <c r="B12" s="13"/>
      <c r="C12" s="13"/>
      <c r="D12" s="25">
        <v>0.48499999999999999</v>
      </c>
      <c r="E12" s="23">
        <v>9.5000000000000001E-2</v>
      </c>
      <c r="F12" s="26">
        <v>4.6100000000000002E-2</v>
      </c>
      <c r="G12" s="281">
        <f>'2019 GRC'!E13</f>
        <v>4.5600000000000002E-2</v>
      </c>
      <c r="H12" s="3"/>
      <c r="I12" s="284"/>
      <c r="J12" s="3"/>
      <c r="K12" s="3"/>
      <c r="L12" s="3"/>
      <c r="M12" s="106"/>
      <c r="N12" s="22"/>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row>
    <row r="13" spans="1:41" ht="15.75" thickBot="1" x14ac:dyDescent="0.25">
      <c r="A13" s="12" t="s">
        <v>10</v>
      </c>
      <c r="B13" s="13"/>
      <c r="C13" s="13"/>
      <c r="D13" s="27">
        <f>D10+D11+D12</f>
        <v>1</v>
      </c>
      <c r="E13" s="28"/>
      <c r="F13" s="29">
        <f>F10+F11+F12</f>
        <v>7.5999999999999998E-2</v>
      </c>
      <c r="G13" s="282">
        <f>G10+G11+G12</f>
        <v>7.3899999999999993E-2</v>
      </c>
      <c r="H13" s="3"/>
      <c r="I13" s="3"/>
      <c r="J13" s="3"/>
      <c r="K13" s="3"/>
      <c r="L13" s="3"/>
      <c r="M13" s="106"/>
      <c r="N13" s="22"/>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row>
    <row r="14" spans="1:41" ht="11.45" customHeight="1" thickTop="1" x14ac:dyDescent="0.2">
      <c r="A14" s="12"/>
      <c r="B14" s="13"/>
      <c r="C14" s="13"/>
      <c r="D14" s="14"/>
      <c r="E14" s="14"/>
      <c r="F14" s="21"/>
      <c r="G14" s="279"/>
      <c r="H14" s="3"/>
      <c r="I14" s="3"/>
      <c r="J14" s="3"/>
      <c r="K14" s="3"/>
      <c r="L14" s="3"/>
      <c r="M14" s="106"/>
      <c r="N14" s="22"/>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1" x14ac:dyDescent="0.2">
      <c r="A15" s="12" t="s">
        <v>11</v>
      </c>
      <c r="B15" s="13"/>
      <c r="C15" s="13"/>
      <c r="D15" s="14"/>
      <c r="E15" s="14"/>
      <c r="F15" s="24">
        <v>0.21</v>
      </c>
      <c r="G15" s="280">
        <f>'2019 GRC'!I19</f>
        <v>0.21</v>
      </c>
      <c r="H15" s="3"/>
      <c r="I15" s="3"/>
      <c r="J15" s="3"/>
      <c r="K15" s="3"/>
      <c r="L15" s="3"/>
      <c r="M15" s="106"/>
      <c r="N15" s="22"/>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row>
    <row r="16" spans="1:41" ht="15.75" thickBot="1" x14ac:dyDescent="0.25">
      <c r="A16" s="12" t="s">
        <v>12</v>
      </c>
      <c r="B16" s="13"/>
      <c r="C16" s="13"/>
      <c r="D16" s="14"/>
      <c r="E16" s="14"/>
      <c r="F16" s="24">
        <f>'2017 4.01 G'!F17</f>
        <v>4.5462000000000002E-2</v>
      </c>
      <c r="G16" s="283">
        <f>'2019 GRC'!J16</f>
        <v>4.5447000000000001E-2</v>
      </c>
      <c r="H16" s="3"/>
      <c r="I16" s="3"/>
      <c r="J16" s="3"/>
      <c r="K16" s="3"/>
      <c r="L16" s="3"/>
      <c r="M16" s="106"/>
      <c r="N16" s="22"/>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row>
    <row r="17" spans="1:48" x14ac:dyDescent="0.2">
      <c r="A17" s="12" t="s">
        <v>13</v>
      </c>
      <c r="B17" s="13"/>
      <c r="C17" s="13"/>
      <c r="D17" s="14"/>
      <c r="E17" s="14"/>
      <c r="F17" s="24">
        <f>'CRM CAP Forecast'!E22</f>
        <v>2.4443933509191149E-2</v>
      </c>
      <c r="G17" s="23"/>
      <c r="H17" s="3"/>
      <c r="I17" s="3"/>
      <c r="J17" s="3"/>
      <c r="K17" s="3"/>
      <c r="L17" s="3"/>
      <c r="M17" s="106"/>
      <c r="N17" s="22"/>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row>
    <row r="18" spans="1:48" ht="13.5" customHeight="1" x14ac:dyDescent="0.2">
      <c r="A18" s="12" t="s">
        <v>14</v>
      </c>
      <c r="B18" s="13"/>
      <c r="C18" s="13"/>
      <c r="D18" s="14"/>
      <c r="E18" s="14"/>
      <c r="F18" s="30">
        <v>2</v>
      </c>
      <c r="G18" s="273"/>
      <c r="H18" s="3"/>
      <c r="I18" s="3"/>
      <c r="J18" s="3"/>
      <c r="K18" s="3"/>
      <c r="L18" s="3"/>
      <c r="M18" s="106"/>
      <c r="N18" s="22"/>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row>
    <row r="19" spans="1:48" ht="11.45" customHeight="1" x14ac:dyDescent="0.2">
      <c r="A19" s="12"/>
      <c r="B19" s="13"/>
      <c r="C19" s="13"/>
      <c r="D19" s="14"/>
      <c r="E19" s="14"/>
      <c r="F19" s="15"/>
      <c r="G19" s="11"/>
      <c r="H19" s="3"/>
      <c r="I19" s="3"/>
      <c r="J19" s="3"/>
      <c r="K19" s="3"/>
      <c r="L19" s="3"/>
      <c r="M19" s="106"/>
      <c r="N19" s="22"/>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8" ht="11.45" customHeight="1" x14ac:dyDescent="0.2">
      <c r="A20" s="12" t="s">
        <v>15</v>
      </c>
      <c r="B20" s="13"/>
      <c r="C20" s="13"/>
      <c r="D20" s="14"/>
      <c r="E20" s="14"/>
      <c r="F20" s="15"/>
      <c r="G20" s="11"/>
      <c r="H20" s="3"/>
      <c r="I20" s="3"/>
      <c r="J20" s="3"/>
      <c r="K20" s="3"/>
      <c r="L20" s="3"/>
      <c r="N20" s="117"/>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row>
    <row r="21" spans="1:48" ht="11.45" customHeight="1" x14ac:dyDescent="0.2">
      <c r="A21" s="12" t="s">
        <v>16</v>
      </c>
      <c r="B21" s="13"/>
      <c r="C21" s="13"/>
      <c r="D21" s="14"/>
      <c r="E21" s="14"/>
      <c r="F21" s="15"/>
      <c r="G21" s="11"/>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row>
    <row r="22" spans="1:48" ht="13.15" customHeight="1" thickBot="1" x14ac:dyDescent="0.25">
      <c r="A22" s="31" t="s">
        <v>17</v>
      </c>
      <c r="B22" s="32"/>
      <c r="C22" s="32"/>
      <c r="D22" s="32"/>
      <c r="E22" s="33"/>
      <c r="F22" s="57">
        <f>'CRM CAP Forecast'!E10</f>
        <v>60639592.879999995</v>
      </c>
      <c r="G22" s="274"/>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row>
    <row r="23" spans="1:48" ht="9.6" customHeight="1" x14ac:dyDescent="0.2">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row>
    <row r="24" spans="1:48" ht="6" customHeight="1" x14ac:dyDescent="0.2">
      <c r="B24" s="3"/>
      <c r="C24" s="3"/>
      <c r="D24" s="106"/>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row>
    <row r="25" spans="1:48" x14ac:dyDescent="0.2">
      <c r="A25" s="2"/>
      <c r="B25" s="2"/>
      <c r="C25" s="2"/>
      <c r="D25" s="122"/>
      <c r="E25" s="36" t="s">
        <v>18</v>
      </c>
      <c r="F25" s="95" t="s">
        <v>19</v>
      </c>
      <c r="G25" s="37" t="s">
        <v>20</v>
      </c>
      <c r="H25" s="37" t="s">
        <v>21</v>
      </c>
      <c r="I25" s="37" t="s">
        <v>22</v>
      </c>
      <c r="J25" s="37" t="s">
        <v>23</v>
      </c>
      <c r="K25" s="37" t="s">
        <v>24</v>
      </c>
      <c r="L25" s="37" t="s">
        <v>25</v>
      </c>
      <c r="M25" s="37" t="s">
        <v>26</v>
      </c>
      <c r="N25" s="37" t="s">
        <v>27</v>
      </c>
      <c r="O25" s="37" t="s">
        <v>28</v>
      </c>
      <c r="P25" s="37" t="s">
        <v>29</v>
      </c>
      <c r="Q25" s="37" t="s">
        <v>30</v>
      </c>
      <c r="R25" s="37" t="s">
        <v>31</v>
      </c>
      <c r="S25" s="37" t="s">
        <v>32</v>
      </c>
      <c r="T25" s="37" t="s">
        <v>33</v>
      </c>
      <c r="U25" s="37" t="s">
        <v>34</v>
      </c>
      <c r="V25" s="37" t="s">
        <v>35</v>
      </c>
      <c r="W25" s="37" t="s">
        <v>36</v>
      </c>
      <c r="X25" s="37" t="s">
        <v>37</v>
      </c>
      <c r="Y25" s="37" t="s">
        <v>38</v>
      </c>
      <c r="Z25" s="37" t="s">
        <v>39</v>
      </c>
      <c r="AA25" s="37" t="s">
        <v>40</v>
      </c>
      <c r="AB25" s="37" t="s">
        <v>41</v>
      </c>
      <c r="AC25" s="37" t="s">
        <v>42</v>
      </c>
      <c r="AD25" s="37" t="s">
        <v>43</v>
      </c>
      <c r="AE25" s="37" t="s">
        <v>44</v>
      </c>
      <c r="AF25" s="37" t="s">
        <v>45</v>
      </c>
      <c r="AG25" s="37" t="s">
        <v>46</v>
      </c>
      <c r="AH25" s="37" t="s">
        <v>47</v>
      </c>
      <c r="AI25" s="37" t="s">
        <v>48</v>
      </c>
      <c r="AJ25" s="37" t="s">
        <v>49</v>
      </c>
      <c r="AK25" s="37" t="s">
        <v>50</v>
      </c>
      <c r="AL25" s="37" t="s">
        <v>51</v>
      </c>
      <c r="AM25" s="37" t="s">
        <v>52</v>
      </c>
      <c r="AN25" s="37" t="s">
        <v>74</v>
      </c>
      <c r="AO25" s="37" t="s">
        <v>75</v>
      </c>
      <c r="AP25" s="37" t="s">
        <v>122</v>
      </c>
      <c r="AQ25" s="37" t="s">
        <v>123</v>
      </c>
      <c r="AR25" s="37" t="s">
        <v>124</v>
      </c>
      <c r="AS25" s="3" t="s">
        <v>125</v>
      </c>
    </row>
    <row r="26" spans="1:48" x14ac:dyDescent="0.2">
      <c r="A26" s="2"/>
      <c r="B26" s="2"/>
      <c r="C26" s="2"/>
      <c r="D26" s="122"/>
      <c r="E26" s="82">
        <v>2019</v>
      </c>
      <c r="F26" s="82">
        <v>2020</v>
      </c>
      <c r="G26" s="82">
        <v>2021</v>
      </c>
      <c r="H26" s="82">
        <v>2022</v>
      </c>
      <c r="I26" s="82">
        <v>2023</v>
      </c>
      <c r="J26" s="82">
        <v>2024</v>
      </c>
      <c r="K26" s="82">
        <v>2025</v>
      </c>
      <c r="L26" s="82">
        <v>2026</v>
      </c>
      <c r="M26" s="82">
        <v>2027</v>
      </c>
      <c r="N26" s="82">
        <v>2028</v>
      </c>
      <c r="O26" s="82">
        <v>2029</v>
      </c>
      <c r="P26" s="82">
        <v>2030</v>
      </c>
      <c r="Q26" s="82">
        <v>2031</v>
      </c>
      <c r="R26" s="82">
        <v>2032</v>
      </c>
      <c r="S26" s="82">
        <v>2033</v>
      </c>
      <c r="T26" s="82">
        <v>2034</v>
      </c>
      <c r="U26" s="82">
        <v>2035</v>
      </c>
      <c r="V26" s="82">
        <v>2036</v>
      </c>
      <c r="W26" s="82">
        <v>2037</v>
      </c>
      <c r="X26" s="82">
        <v>2038</v>
      </c>
      <c r="Y26" s="82">
        <v>2039</v>
      </c>
      <c r="Z26" s="82">
        <v>2040</v>
      </c>
      <c r="AA26" s="82">
        <v>2041</v>
      </c>
      <c r="AB26" s="82">
        <v>2042</v>
      </c>
      <c r="AC26" s="82">
        <v>2043</v>
      </c>
      <c r="AD26" s="82">
        <v>2044</v>
      </c>
      <c r="AE26" s="82">
        <v>2045</v>
      </c>
      <c r="AF26" s="82">
        <v>2046</v>
      </c>
      <c r="AG26" s="82">
        <v>2047</v>
      </c>
      <c r="AH26" s="82">
        <v>2048</v>
      </c>
      <c r="AI26" s="82">
        <v>2049</v>
      </c>
      <c r="AJ26" s="82">
        <v>2050</v>
      </c>
      <c r="AK26" s="82">
        <v>2051</v>
      </c>
      <c r="AL26" s="82">
        <v>2052</v>
      </c>
      <c r="AM26" s="82">
        <v>2053</v>
      </c>
      <c r="AN26" s="82">
        <v>2054</v>
      </c>
      <c r="AO26" s="82">
        <v>2055</v>
      </c>
      <c r="AP26" s="82">
        <v>2056</v>
      </c>
      <c r="AQ26" s="82">
        <v>2057</v>
      </c>
      <c r="AR26" s="82">
        <v>2058</v>
      </c>
      <c r="AS26" s="82">
        <v>2059</v>
      </c>
    </row>
    <row r="27" spans="1:48" x14ac:dyDescent="0.2">
      <c r="A27" s="136">
        <v>1</v>
      </c>
      <c r="B27" s="2" t="s">
        <v>53</v>
      </c>
      <c r="C27" s="2"/>
      <c r="D27" s="122"/>
      <c r="E27" s="38">
        <f>$F22*$F17</f>
        <v>1482270.176383141</v>
      </c>
      <c r="F27" s="102">
        <f>$F22*$F17</f>
        <v>1482270.176383141</v>
      </c>
      <c r="G27" s="102">
        <f t="shared" ref="G27:AR27" si="0">$F22*$F17</f>
        <v>1482270.176383141</v>
      </c>
      <c r="H27" s="102">
        <f t="shared" si="0"/>
        <v>1482270.176383141</v>
      </c>
      <c r="I27" s="102">
        <f t="shared" si="0"/>
        <v>1482270.176383141</v>
      </c>
      <c r="J27" s="102">
        <f t="shared" si="0"/>
        <v>1482270.176383141</v>
      </c>
      <c r="K27" s="102">
        <f t="shared" si="0"/>
        <v>1482270.176383141</v>
      </c>
      <c r="L27" s="102">
        <f t="shared" si="0"/>
        <v>1482270.176383141</v>
      </c>
      <c r="M27" s="102">
        <f t="shared" si="0"/>
        <v>1482270.176383141</v>
      </c>
      <c r="N27" s="102">
        <f t="shared" si="0"/>
        <v>1482270.176383141</v>
      </c>
      <c r="O27" s="102">
        <f t="shared" si="0"/>
        <v>1482270.176383141</v>
      </c>
      <c r="P27" s="102">
        <f t="shared" si="0"/>
        <v>1482270.176383141</v>
      </c>
      <c r="Q27" s="102">
        <f t="shared" si="0"/>
        <v>1482270.176383141</v>
      </c>
      <c r="R27" s="102">
        <f t="shared" si="0"/>
        <v>1482270.176383141</v>
      </c>
      <c r="S27" s="102">
        <f t="shared" si="0"/>
        <v>1482270.176383141</v>
      </c>
      <c r="T27" s="102">
        <f t="shared" si="0"/>
        <v>1482270.176383141</v>
      </c>
      <c r="U27" s="102">
        <f t="shared" si="0"/>
        <v>1482270.176383141</v>
      </c>
      <c r="V27" s="102">
        <f t="shared" si="0"/>
        <v>1482270.176383141</v>
      </c>
      <c r="W27" s="102">
        <f t="shared" si="0"/>
        <v>1482270.176383141</v>
      </c>
      <c r="X27" s="102">
        <f t="shared" si="0"/>
        <v>1482270.176383141</v>
      </c>
      <c r="Y27" s="102">
        <f t="shared" si="0"/>
        <v>1482270.176383141</v>
      </c>
      <c r="Z27" s="102">
        <f t="shared" si="0"/>
        <v>1482270.176383141</v>
      </c>
      <c r="AA27" s="102">
        <f t="shared" si="0"/>
        <v>1482270.176383141</v>
      </c>
      <c r="AB27" s="102">
        <f t="shared" si="0"/>
        <v>1482270.176383141</v>
      </c>
      <c r="AC27" s="102">
        <f t="shared" si="0"/>
        <v>1482270.176383141</v>
      </c>
      <c r="AD27" s="102">
        <f t="shared" si="0"/>
        <v>1482270.176383141</v>
      </c>
      <c r="AE27" s="102">
        <f t="shared" si="0"/>
        <v>1482270.176383141</v>
      </c>
      <c r="AF27" s="102">
        <f t="shared" si="0"/>
        <v>1482270.176383141</v>
      </c>
      <c r="AG27" s="102">
        <f t="shared" si="0"/>
        <v>1482270.176383141</v>
      </c>
      <c r="AH27" s="102">
        <f t="shared" si="0"/>
        <v>1482270.176383141</v>
      </c>
      <c r="AI27" s="102">
        <f t="shared" si="0"/>
        <v>1482270.176383141</v>
      </c>
      <c r="AJ27" s="102">
        <f t="shared" si="0"/>
        <v>1482270.176383141</v>
      </c>
      <c r="AK27" s="102">
        <f t="shared" si="0"/>
        <v>1482270.176383141</v>
      </c>
      <c r="AL27" s="102">
        <f t="shared" si="0"/>
        <v>1482270.176383141</v>
      </c>
      <c r="AM27" s="102">
        <f t="shared" si="0"/>
        <v>1482270.176383141</v>
      </c>
      <c r="AN27" s="102">
        <f t="shared" si="0"/>
        <v>1482270.176383141</v>
      </c>
      <c r="AO27" s="102">
        <f t="shared" si="0"/>
        <v>1482270.176383141</v>
      </c>
      <c r="AP27" s="102">
        <f t="shared" si="0"/>
        <v>1482270.176383141</v>
      </c>
      <c r="AQ27" s="102">
        <f t="shared" si="0"/>
        <v>1482270.176383141</v>
      </c>
      <c r="AR27" s="102">
        <f t="shared" si="0"/>
        <v>1482270.176383141</v>
      </c>
      <c r="AS27" s="102">
        <f>'CRM CAP Forecast'!G24</f>
        <v>0</v>
      </c>
      <c r="AT27" s="102"/>
      <c r="AU27" s="105">
        <f>SUM(D27:AT27)</f>
        <v>59290807.05532559</v>
      </c>
      <c r="AV27" s="22">
        <f>F22</f>
        <v>60639592.879999995</v>
      </c>
    </row>
    <row r="28" spans="1:48" x14ac:dyDescent="0.2">
      <c r="A28" s="2"/>
      <c r="B28" s="2"/>
      <c r="C28" s="2"/>
      <c r="D28" s="122"/>
      <c r="E28" s="38"/>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39"/>
      <c r="AN28" s="102"/>
      <c r="AO28" s="102"/>
      <c r="AP28" s="123"/>
    </row>
    <row r="29" spans="1:48" x14ac:dyDescent="0.2">
      <c r="A29" s="136">
        <f>A27+1</f>
        <v>2</v>
      </c>
      <c r="B29" s="2" t="s">
        <v>54</v>
      </c>
      <c r="C29" s="2"/>
      <c r="D29" s="122"/>
      <c r="E29" s="38">
        <f>E53</f>
        <v>733002.76971787796</v>
      </c>
      <c r="F29" s="102">
        <f t="shared" ref="F29:AT29" si="1">F53</f>
        <v>702392.57976173412</v>
      </c>
      <c r="G29" s="102">
        <f t="shared" si="1"/>
        <v>677473.48090067063</v>
      </c>
      <c r="H29" s="102">
        <f t="shared" si="1"/>
        <v>653358.59365427354</v>
      </c>
      <c r="I29" s="102">
        <f t="shared" si="1"/>
        <v>629987.71792086912</v>
      </c>
      <c r="J29" s="102">
        <f t="shared" si="1"/>
        <v>607305.28437583544</v>
      </c>
      <c r="K29" s="102">
        <f t="shared" si="1"/>
        <v>585259.5826754272</v>
      </c>
      <c r="L29" s="102">
        <f t="shared" si="1"/>
        <v>563802.7614567756</v>
      </c>
      <c r="M29" s="102">
        <f t="shared" si="1"/>
        <v>542674.72540880332</v>
      </c>
      <c r="N29" s="102">
        <f t="shared" si="1"/>
        <v>521593.76892752462</v>
      </c>
      <c r="O29" s="102">
        <f t="shared" si="1"/>
        <v>500512.81244624581</v>
      </c>
      <c r="P29" s="102">
        <f t="shared" si="1"/>
        <v>479431.85596496699</v>
      </c>
      <c r="Q29" s="102">
        <f t="shared" si="1"/>
        <v>458350.89948368829</v>
      </c>
      <c r="R29" s="102">
        <f t="shared" si="1"/>
        <v>437269.94300240959</v>
      </c>
      <c r="S29" s="102">
        <f t="shared" si="1"/>
        <v>416188.98652113089</v>
      </c>
      <c r="T29" s="102">
        <f t="shared" si="1"/>
        <v>395108.03003985208</v>
      </c>
      <c r="U29" s="102">
        <f t="shared" si="1"/>
        <v>374027.07355857326</v>
      </c>
      <c r="V29" s="102">
        <f t="shared" si="1"/>
        <v>352946.11707729456</v>
      </c>
      <c r="W29" s="102">
        <f t="shared" si="1"/>
        <v>331865.16059601575</v>
      </c>
      <c r="X29" s="102">
        <f t="shared" si="1"/>
        <v>310784.20411473705</v>
      </c>
      <c r="Y29" s="102">
        <f t="shared" si="1"/>
        <v>291425.12490056054</v>
      </c>
      <c r="Z29" s="102">
        <f t="shared" si="1"/>
        <v>275509.02842441335</v>
      </c>
      <c r="AA29" s="102">
        <f t="shared" si="1"/>
        <v>261314.80921536835</v>
      </c>
      <c r="AB29" s="102">
        <f t="shared" si="1"/>
        <v>247120.59000632336</v>
      </c>
      <c r="AC29" s="102">
        <f t="shared" si="1"/>
        <v>232926.37079727848</v>
      </c>
      <c r="AD29" s="102">
        <f t="shared" si="1"/>
        <v>218732.15158823351</v>
      </c>
      <c r="AE29" s="102">
        <f t="shared" si="1"/>
        <v>204537.9323791886</v>
      </c>
      <c r="AF29" s="102">
        <f t="shared" si="1"/>
        <v>190343.71317014366</v>
      </c>
      <c r="AG29" s="102">
        <f t="shared" si="1"/>
        <v>176149.49396109875</v>
      </c>
      <c r="AH29" s="102">
        <f t="shared" si="1"/>
        <v>161955.27475205384</v>
      </c>
      <c r="AI29" s="102">
        <f t="shared" si="1"/>
        <v>147761.05554300893</v>
      </c>
      <c r="AJ29" s="102">
        <f t="shared" si="1"/>
        <v>133566.83633396399</v>
      </c>
      <c r="AK29" s="102">
        <f t="shared" si="1"/>
        <v>119372.61712491907</v>
      </c>
      <c r="AL29" s="102">
        <f t="shared" si="1"/>
        <v>105178.39791587417</v>
      </c>
      <c r="AM29" s="102">
        <f t="shared" si="1"/>
        <v>90984.178706829262</v>
      </c>
      <c r="AN29" s="102">
        <f t="shared" si="1"/>
        <v>76789.959497784337</v>
      </c>
      <c r="AO29" s="102">
        <f t="shared" si="1"/>
        <v>62595.74028873942</v>
      </c>
      <c r="AP29" s="102">
        <f t="shared" si="1"/>
        <v>48401.52107969451</v>
      </c>
      <c r="AQ29" s="102">
        <f t="shared" si="1"/>
        <v>34207.301870649593</v>
      </c>
      <c r="AR29" s="102">
        <f t="shared" si="1"/>
        <v>20013.082661604672</v>
      </c>
      <c r="AS29" s="102">
        <f t="shared" ref="AS29" si="2">AS53</f>
        <v>12915.973057082216</v>
      </c>
      <c r="AT29" s="102">
        <f t="shared" si="1"/>
        <v>12915.973057082216</v>
      </c>
      <c r="AU29" s="105">
        <f>SUM(D29:AT29)</f>
        <v>13398053.473936601</v>
      </c>
    </row>
    <row r="30" spans="1:48" x14ac:dyDescent="0.2">
      <c r="A30" s="2"/>
      <c r="B30" s="2"/>
      <c r="C30" s="2"/>
      <c r="D30" s="122"/>
      <c r="E30" s="38"/>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row>
    <row r="31" spans="1:48" x14ac:dyDescent="0.2">
      <c r="A31" s="2"/>
      <c r="B31" s="2" t="s">
        <v>55</v>
      </c>
      <c r="C31" s="2"/>
      <c r="D31" s="122"/>
      <c r="E31" s="38"/>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row>
    <row r="32" spans="1:48" x14ac:dyDescent="0.2">
      <c r="A32" s="136">
        <f>A29+1</f>
        <v>3</v>
      </c>
      <c r="B32" s="2"/>
      <c r="C32" s="2"/>
      <c r="D32" s="122"/>
      <c r="E32" s="38">
        <f>E49*$F10</f>
        <v>0</v>
      </c>
      <c r="F32" s="102">
        <f>F49*$G10</f>
        <v>0</v>
      </c>
      <c r="G32" s="102">
        <f t="shared" ref="G32:AT32" si="3">G49*$F10</f>
        <v>0</v>
      </c>
      <c r="H32" s="102">
        <f t="shared" si="3"/>
        <v>0</v>
      </c>
      <c r="I32" s="102">
        <f t="shared" si="3"/>
        <v>0</v>
      </c>
      <c r="J32" s="102">
        <f t="shared" si="3"/>
        <v>0</v>
      </c>
      <c r="K32" s="102">
        <f t="shared" si="3"/>
        <v>0</v>
      </c>
      <c r="L32" s="102">
        <f t="shared" si="3"/>
        <v>0</v>
      </c>
      <c r="M32" s="102">
        <f t="shared" si="3"/>
        <v>0</v>
      </c>
      <c r="N32" s="102">
        <f t="shared" si="3"/>
        <v>0</v>
      </c>
      <c r="O32" s="102">
        <f t="shared" si="3"/>
        <v>0</v>
      </c>
      <c r="P32" s="102">
        <f t="shared" si="3"/>
        <v>0</v>
      </c>
      <c r="Q32" s="102">
        <f t="shared" si="3"/>
        <v>0</v>
      </c>
      <c r="R32" s="102">
        <f t="shared" si="3"/>
        <v>0</v>
      </c>
      <c r="S32" s="102">
        <f t="shared" si="3"/>
        <v>0</v>
      </c>
      <c r="T32" s="102">
        <f t="shared" si="3"/>
        <v>0</v>
      </c>
      <c r="U32" s="102">
        <f t="shared" si="3"/>
        <v>0</v>
      </c>
      <c r="V32" s="102">
        <f t="shared" si="3"/>
        <v>0</v>
      </c>
      <c r="W32" s="102">
        <f t="shared" si="3"/>
        <v>0</v>
      </c>
      <c r="X32" s="102">
        <f t="shared" si="3"/>
        <v>0</v>
      </c>
      <c r="Y32" s="102">
        <f t="shared" si="3"/>
        <v>0</v>
      </c>
      <c r="Z32" s="102">
        <f t="shared" si="3"/>
        <v>0</v>
      </c>
      <c r="AA32" s="102">
        <f t="shared" si="3"/>
        <v>0</v>
      </c>
      <c r="AB32" s="102">
        <f t="shared" si="3"/>
        <v>0</v>
      </c>
      <c r="AC32" s="102">
        <f t="shared" si="3"/>
        <v>0</v>
      </c>
      <c r="AD32" s="102">
        <f t="shared" si="3"/>
        <v>0</v>
      </c>
      <c r="AE32" s="102">
        <f t="shared" si="3"/>
        <v>0</v>
      </c>
      <c r="AF32" s="102">
        <f t="shared" si="3"/>
        <v>0</v>
      </c>
      <c r="AG32" s="102">
        <f t="shared" si="3"/>
        <v>0</v>
      </c>
      <c r="AH32" s="102">
        <f t="shared" si="3"/>
        <v>0</v>
      </c>
      <c r="AI32" s="102">
        <f t="shared" si="3"/>
        <v>0</v>
      </c>
      <c r="AJ32" s="102">
        <f t="shared" si="3"/>
        <v>0</v>
      </c>
      <c r="AK32" s="102">
        <f t="shared" si="3"/>
        <v>0</v>
      </c>
      <c r="AL32" s="102">
        <f t="shared" si="3"/>
        <v>0</v>
      </c>
      <c r="AM32" s="102">
        <f t="shared" si="3"/>
        <v>0</v>
      </c>
      <c r="AN32" s="102">
        <f t="shared" si="3"/>
        <v>0</v>
      </c>
      <c r="AO32" s="102">
        <f t="shared" si="3"/>
        <v>0</v>
      </c>
      <c r="AP32" s="102">
        <f t="shared" si="3"/>
        <v>0</v>
      </c>
      <c r="AQ32" s="102">
        <f t="shared" si="3"/>
        <v>0</v>
      </c>
      <c r="AR32" s="102">
        <f t="shared" si="3"/>
        <v>0</v>
      </c>
      <c r="AS32" s="102">
        <f t="shared" ref="AS32" si="4">AS49*$F10</f>
        <v>0</v>
      </c>
      <c r="AT32" s="102">
        <f t="shared" si="3"/>
        <v>0</v>
      </c>
      <c r="AU32" s="105">
        <f t="shared" ref="AU32:AU42" si="5">SUM(D32:AT32)</f>
        <v>0</v>
      </c>
    </row>
    <row r="33" spans="1:47" x14ac:dyDescent="0.2">
      <c r="A33" s="136">
        <f>A32+1</f>
        <v>4</v>
      </c>
      <c r="B33" s="13"/>
      <c r="C33" s="13" t="s">
        <v>121</v>
      </c>
      <c r="D33" s="122"/>
      <c r="E33" s="38">
        <f>E49*$F11</f>
        <v>1788478.3001245733</v>
      </c>
      <c r="F33" s="102">
        <f>F49*$G11</f>
        <v>1639869.5599136476</v>
      </c>
      <c r="G33" s="102">
        <f>G49*$G11</f>
        <v>1581691.1667184934</v>
      </c>
      <c r="H33" s="102">
        <f t="shared" ref="H33:AT33" si="6">H49*$G11</f>
        <v>1525390.3590568707</v>
      </c>
      <c r="I33" s="102">
        <f t="shared" si="6"/>
        <v>1470826.5882995897</v>
      </c>
      <c r="J33" s="102">
        <f t="shared" si="6"/>
        <v>1417870.1172504753</v>
      </c>
      <c r="K33" s="102">
        <f t="shared" si="6"/>
        <v>1366400.2182408653</v>
      </c>
      <c r="L33" s="102">
        <f t="shared" si="6"/>
        <v>1316305.1731296086</v>
      </c>
      <c r="M33" s="102">
        <f t="shared" si="6"/>
        <v>1266977.7397623868</v>
      </c>
      <c r="N33" s="102">
        <f t="shared" si="6"/>
        <v>1217760.2226308133</v>
      </c>
      <c r="O33" s="102">
        <f t="shared" si="6"/>
        <v>1168542.7054992395</v>
      </c>
      <c r="P33" s="102">
        <f t="shared" si="6"/>
        <v>1119325.1883676657</v>
      </c>
      <c r="Q33" s="102">
        <f t="shared" si="6"/>
        <v>1070107.6712360922</v>
      </c>
      <c r="R33" s="102">
        <f t="shared" si="6"/>
        <v>1020890.1541045187</v>
      </c>
      <c r="S33" s="102">
        <f t="shared" si="6"/>
        <v>971672.63697294518</v>
      </c>
      <c r="T33" s="102">
        <f t="shared" si="6"/>
        <v>922455.11984137143</v>
      </c>
      <c r="U33" s="102">
        <f t="shared" si="6"/>
        <v>873237.60270979768</v>
      </c>
      <c r="V33" s="102">
        <f t="shared" si="6"/>
        <v>824020.08557822416</v>
      </c>
      <c r="W33" s="102">
        <f t="shared" si="6"/>
        <v>774802.56844665052</v>
      </c>
      <c r="X33" s="102">
        <f t="shared" si="6"/>
        <v>725585.05131507688</v>
      </c>
      <c r="Y33" s="102">
        <f t="shared" si="6"/>
        <v>680387.58535942272</v>
      </c>
      <c r="Z33" s="102">
        <f t="shared" si="6"/>
        <v>643228.4198501053</v>
      </c>
      <c r="AA33" s="102">
        <f t="shared" si="6"/>
        <v>610089.30551670736</v>
      </c>
      <c r="AB33" s="102">
        <f t="shared" si="6"/>
        <v>576950.19118330954</v>
      </c>
      <c r="AC33" s="102">
        <f t="shared" si="6"/>
        <v>543811.07684991171</v>
      </c>
      <c r="AD33" s="102">
        <f t="shared" si="6"/>
        <v>510671.96251651383</v>
      </c>
      <c r="AE33" s="102">
        <f t="shared" si="6"/>
        <v>477532.84818311606</v>
      </c>
      <c r="AF33" s="102">
        <f t="shared" si="6"/>
        <v>444393.73384971829</v>
      </c>
      <c r="AG33" s="102">
        <f t="shared" si="6"/>
        <v>411254.61951632053</v>
      </c>
      <c r="AH33" s="102">
        <f t="shared" si="6"/>
        <v>378115.5051829227</v>
      </c>
      <c r="AI33" s="102">
        <f t="shared" si="6"/>
        <v>344976.39084952493</v>
      </c>
      <c r="AJ33" s="102">
        <f t="shared" si="6"/>
        <v>311837.27651612711</v>
      </c>
      <c r="AK33" s="102">
        <f t="shared" si="6"/>
        <v>278698.16218272928</v>
      </c>
      <c r="AL33" s="102">
        <f t="shared" si="6"/>
        <v>245559.04784933155</v>
      </c>
      <c r="AM33" s="102">
        <f t="shared" si="6"/>
        <v>212419.93351593375</v>
      </c>
      <c r="AN33" s="102">
        <f t="shared" si="6"/>
        <v>179280.81918253598</v>
      </c>
      <c r="AO33" s="102">
        <f t="shared" si="6"/>
        <v>146141.70484913819</v>
      </c>
      <c r="AP33" s="102">
        <f t="shared" si="6"/>
        <v>113002.5905157404</v>
      </c>
      <c r="AQ33" s="102">
        <f t="shared" si="6"/>
        <v>79863.476182342609</v>
      </c>
      <c r="AR33" s="102">
        <f t="shared" si="6"/>
        <v>46724.361848944827</v>
      </c>
      <c r="AS33" s="102">
        <f t="shared" si="6"/>
        <v>30154.804682245936</v>
      </c>
      <c r="AT33" s="102">
        <f t="shared" si="6"/>
        <v>30154.804682245936</v>
      </c>
      <c r="AU33" s="105">
        <f t="shared" si="5"/>
        <v>31357456.850063797</v>
      </c>
    </row>
    <row r="34" spans="1:47" x14ac:dyDescent="0.2">
      <c r="A34" s="136">
        <f>A33+1</f>
        <v>5</v>
      </c>
      <c r="B34" s="2"/>
      <c r="C34" s="2" t="s">
        <v>9</v>
      </c>
      <c r="D34" s="122"/>
      <c r="E34" s="40">
        <f>E49*$F12</f>
        <v>2757486.6098910649</v>
      </c>
      <c r="F34" s="100">
        <f>F49*$G12</f>
        <v>2642333.990532238</v>
      </c>
      <c r="G34" s="100">
        <f t="shared" ref="G34:AT34" si="7">G49*$G12</f>
        <v>2548590.713864428</v>
      </c>
      <c r="H34" s="100">
        <f t="shared" si="7"/>
        <v>2457872.8046994102</v>
      </c>
      <c r="I34" s="100">
        <f t="shared" si="7"/>
        <v>2369953.7959880317</v>
      </c>
      <c r="J34" s="100">
        <f t="shared" si="7"/>
        <v>2284624.6412233813</v>
      </c>
      <c r="K34" s="100">
        <f t="shared" si="7"/>
        <v>2201690.8110170835</v>
      </c>
      <c r="L34" s="100">
        <f t="shared" si="7"/>
        <v>2120972.2930992986</v>
      </c>
      <c r="M34" s="100">
        <f t="shared" si="7"/>
        <v>2041490.6336807366</v>
      </c>
      <c r="N34" s="100">
        <f t="shared" si="7"/>
        <v>1962186.0831083071</v>
      </c>
      <c r="O34" s="100">
        <f t="shared" si="7"/>
        <v>1882881.5325358773</v>
      </c>
      <c r="P34" s="100">
        <f t="shared" si="7"/>
        <v>1803576.9819634475</v>
      </c>
      <c r="Q34" s="100">
        <f t="shared" si="7"/>
        <v>1724272.431391018</v>
      </c>
      <c r="R34" s="100">
        <f t="shared" si="7"/>
        <v>1644967.8808185887</v>
      </c>
      <c r="S34" s="100">
        <f t="shared" si="7"/>
        <v>1565663.3302461591</v>
      </c>
      <c r="T34" s="100">
        <f t="shared" si="7"/>
        <v>1486358.7796737293</v>
      </c>
      <c r="U34" s="100">
        <f t="shared" si="7"/>
        <v>1407054.2291012995</v>
      </c>
      <c r="V34" s="100">
        <f t="shared" si="7"/>
        <v>1327749.6785288702</v>
      </c>
      <c r="W34" s="100">
        <f t="shared" si="7"/>
        <v>1248445.1279564404</v>
      </c>
      <c r="X34" s="100">
        <f t="shared" si="7"/>
        <v>1169140.5773840109</v>
      </c>
      <c r="Y34" s="100">
        <f t="shared" si="7"/>
        <v>1096313.5651021088</v>
      </c>
      <c r="Z34" s="100">
        <f t="shared" si="7"/>
        <v>1036438.725977555</v>
      </c>
      <c r="AA34" s="100">
        <f t="shared" si="7"/>
        <v>983041.42514352861</v>
      </c>
      <c r="AB34" s="100">
        <f t="shared" si="7"/>
        <v>929644.12430950231</v>
      </c>
      <c r="AC34" s="100">
        <f t="shared" si="7"/>
        <v>876246.82347547624</v>
      </c>
      <c r="AD34" s="100">
        <f t="shared" si="7"/>
        <v>822849.52264144993</v>
      </c>
      <c r="AE34" s="100">
        <f t="shared" si="7"/>
        <v>769452.22180742386</v>
      </c>
      <c r="AF34" s="100">
        <f t="shared" si="7"/>
        <v>716054.92097339767</v>
      </c>
      <c r="AG34" s="100">
        <f t="shared" si="7"/>
        <v>662657.6201393716</v>
      </c>
      <c r="AH34" s="100">
        <f t="shared" si="7"/>
        <v>609260.31930534542</v>
      </c>
      <c r="AI34" s="100">
        <f t="shared" si="7"/>
        <v>555863.01847131934</v>
      </c>
      <c r="AJ34" s="100">
        <f t="shared" si="7"/>
        <v>502465.71763729322</v>
      </c>
      <c r="AK34" s="100">
        <f t="shared" si="7"/>
        <v>449068.41680326703</v>
      </c>
      <c r="AL34" s="100">
        <f t="shared" si="7"/>
        <v>395671.11596924096</v>
      </c>
      <c r="AM34" s="100">
        <f t="shared" si="7"/>
        <v>342273.81513521483</v>
      </c>
      <c r="AN34" s="100">
        <f t="shared" si="7"/>
        <v>288876.51430118876</v>
      </c>
      <c r="AO34" s="100">
        <f t="shared" si="7"/>
        <v>235479.2134671626</v>
      </c>
      <c r="AP34" s="100">
        <f t="shared" si="7"/>
        <v>182081.9126331365</v>
      </c>
      <c r="AQ34" s="100">
        <f t="shared" si="7"/>
        <v>128684.61179911037</v>
      </c>
      <c r="AR34" s="100">
        <f t="shared" si="7"/>
        <v>75287.310965084253</v>
      </c>
      <c r="AS34" s="100">
        <f t="shared" si="7"/>
        <v>48588.660548071195</v>
      </c>
      <c r="AT34" s="100">
        <f t="shared" si="7"/>
        <v>48588.660548071195</v>
      </c>
      <c r="AU34" s="105">
        <f t="shared" si="5"/>
        <v>50402201.163856745</v>
      </c>
    </row>
    <row r="35" spans="1:47" x14ac:dyDescent="0.2">
      <c r="A35" s="136">
        <f>A34+1</f>
        <v>6</v>
      </c>
      <c r="B35" s="2"/>
      <c r="C35" s="2" t="s">
        <v>58</v>
      </c>
      <c r="D35" s="122"/>
      <c r="E35" s="38">
        <f>E32+E33+E34</f>
        <v>4545964.910015638</v>
      </c>
      <c r="F35" s="102">
        <f>F32+F33+F34</f>
        <v>4282203.5504458854</v>
      </c>
      <c r="G35" s="102">
        <f>G32+G33+G34</f>
        <v>4130281.8805829212</v>
      </c>
      <c r="H35" s="102">
        <f t="shared" ref="H35:AT35" si="8">H32+H33+H34</f>
        <v>3983263.1637562811</v>
      </c>
      <c r="I35" s="102">
        <f t="shared" si="8"/>
        <v>3840780.3842876214</v>
      </c>
      <c r="J35" s="102">
        <f t="shared" si="8"/>
        <v>3702494.7584738564</v>
      </c>
      <c r="K35" s="102">
        <f t="shared" si="8"/>
        <v>3568091.0292579485</v>
      </c>
      <c r="L35" s="102">
        <f t="shared" si="8"/>
        <v>3437277.466228907</v>
      </c>
      <c r="M35" s="102">
        <f t="shared" si="8"/>
        <v>3308468.3734431234</v>
      </c>
      <c r="N35" s="102">
        <f t="shared" si="8"/>
        <v>3179946.3057391206</v>
      </c>
      <c r="O35" s="102">
        <f t="shared" si="8"/>
        <v>3051424.2380351168</v>
      </c>
      <c r="P35" s="102">
        <f t="shared" si="8"/>
        <v>2922902.170331113</v>
      </c>
      <c r="Q35" s="102">
        <f t="shared" si="8"/>
        <v>2794380.1026271102</v>
      </c>
      <c r="R35" s="102">
        <f t="shared" si="8"/>
        <v>2665858.0349231074</v>
      </c>
      <c r="S35" s="102">
        <f t="shared" si="8"/>
        <v>2537335.9672191041</v>
      </c>
      <c r="T35" s="102">
        <f t="shared" si="8"/>
        <v>2408813.8995151008</v>
      </c>
      <c r="U35" s="102">
        <f t="shared" si="8"/>
        <v>2280291.8318110975</v>
      </c>
      <c r="V35" s="102">
        <f t="shared" si="8"/>
        <v>2151769.7641070941</v>
      </c>
      <c r="W35" s="102">
        <f t="shared" si="8"/>
        <v>2023247.6964030908</v>
      </c>
      <c r="X35" s="102">
        <f t="shared" si="8"/>
        <v>1894725.6286990878</v>
      </c>
      <c r="Y35" s="102">
        <f t="shared" si="8"/>
        <v>1776701.1504615315</v>
      </c>
      <c r="Z35" s="102">
        <f t="shared" si="8"/>
        <v>1679667.1458276603</v>
      </c>
      <c r="AA35" s="102">
        <f t="shared" si="8"/>
        <v>1593130.730660236</v>
      </c>
      <c r="AB35" s="102">
        <f t="shared" si="8"/>
        <v>1506594.3154928118</v>
      </c>
      <c r="AC35" s="102">
        <f t="shared" si="8"/>
        <v>1420057.9003253879</v>
      </c>
      <c r="AD35" s="102">
        <f t="shared" si="8"/>
        <v>1333521.4851579638</v>
      </c>
      <c r="AE35" s="102">
        <f t="shared" si="8"/>
        <v>1246985.0699905399</v>
      </c>
      <c r="AF35" s="102">
        <f t="shared" si="8"/>
        <v>1160448.654823116</v>
      </c>
      <c r="AG35" s="102">
        <f t="shared" si="8"/>
        <v>1073912.2396556921</v>
      </c>
      <c r="AH35" s="102">
        <f t="shared" si="8"/>
        <v>987375.82448826812</v>
      </c>
      <c r="AI35" s="102">
        <f t="shared" si="8"/>
        <v>900839.40932084434</v>
      </c>
      <c r="AJ35" s="102">
        <f t="shared" si="8"/>
        <v>814302.99415342032</v>
      </c>
      <c r="AK35" s="102">
        <f t="shared" si="8"/>
        <v>727766.57898599631</v>
      </c>
      <c r="AL35" s="102">
        <f t="shared" si="8"/>
        <v>641230.16381857253</v>
      </c>
      <c r="AM35" s="102">
        <f t="shared" si="8"/>
        <v>554693.74865114852</v>
      </c>
      <c r="AN35" s="102">
        <f t="shared" si="8"/>
        <v>468157.33348372474</v>
      </c>
      <c r="AO35" s="102">
        <f t="shared" si="8"/>
        <v>381620.91831630078</v>
      </c>
      <c r="AP35" s="102">
        <f t="shared" si="8"/>
        <v>295084.50314887689</v>
      </c>
      <c r="AQ35" s="102">
        <f t="shared" si="8"/>
        <v>208548.08798145299</v>
      </c>
      <c r="AR35" s="102">
        <f t="shared" si="8"/>
        <v>122011.67281402908</v>
      </c>
      <c r="AS35" s="102">
        <f t="shared" ref="AS35" si="9">AS32+AS33+AS34</f>
        <v>78743.465230317131</v>
      </c>
      <c r="AT35" s="102">
        <f t="shared" si="8"/>
        <v>78743.465230317131</v>
      </c>
      <c r="AU35" s="105">
        <f t="shared" si="5"/>
        <v>81759658.013920531</v>
      </c>
    </row>
    <row r="36" spans="1:47" x14ac:dyDescent="0.2">
      <c r="A36" s="2"/>
      <c r="B36" s="2"/>
      <c r="C36" s="2"/>
      <c r="D36" s="122"/>
      <c r="E36" s="38"/>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5">
        <f t="shared" si="5"/>
        <v>0</v>
      </c>
    </row>
    <row r="37" spans="1:47" x14ac:dyDescent="0.2">
      <c r="A37" s="136">
        <f>A35+1</f>
        <v>7</v>
      </c>
      <c r="B37" s="2" t="s">
        <v>59</v>
      </c>
      <c r="C37" s="2"/>
      <c r="D37" s="122"/>
      <c r="E37" s="41">
        <f>E27+E29+E35</f>
        <v>6761237.8561166571</v>
      </c>
      <c r="F37" s="99">
        <f>F27+F29+F35</f>
        <v>6466866.3065907601</v>
      </c>
      <c r="G37" s="99">
        <f t="shared" ref="G37:AT37" si="10">G27+G29+G35</f>
        <v>6290025.537866733</v>
      </c>
      <c r="H37" s="99">
        <f t="shared" si="10"/>
        <v>6118891.9337936956</v>
      </c>
      <c r="I37" s="99">
        <f t="shared" si="10"/>
        <v>5953038.278591631</v>
      </c>
      <c r="J37" s="99">
        <f t="shared" si="10"/>
        <v>5792070.219232833</v>
      </c>
      <c r="K37" s="99">
        <f t="shared" si="10"/>
        <v>5635620.7883165162</v>
      </c>
      <c r="L37" s="99">
        <f t="shared" si="10"/>
        <v>5483350.4040688239</v>
      </c>
      <c r="M37" s="99">
        <f t="shared" si="10"/>
        <v>5333413.2752350681</v>
      </c>
      <c r="N37" s="99">
        <f t="shared" si="10"/>
        <v>5183810.2510497859</v>
      </c>
      <c r="O37" s="99">
        <f t="shared" si="10"/>
        <v>5034207.2268645037</v>
      </c>
      <c r="P37" s="99">
        <f t="shared" si="10"/>
        <v>4884604.2026792206</v>
      </c>
      <c r="Q37" s="99">
        <f t="shared" si="10"/>
        <v>4735001.1784939393</v>
      </c>
      <c r="R37" s="99">
        <f t="shared" si="10"/>
        <v>4585398.1543086581</v>
      </c>
      <c r="S37" s="99">
        <f t="shared" si="10"/>
        <v>4435795.1301233759</v>
      </c>
      <c r="T37" s="99">
        <f t="shared" si="10"/>
        <v>4286192.1059380937</v>
      </c>
      <c r="U37" s="99">
        <f t="shared" si="10"/>
        <v>4136589.0817528116</v>
      </c>
      <c r="V37" s="99">
        <f t="shared" si="10"/>
        <v>3986986.0575675294</v>
      </c>
      <c r="W37" s="99">
        <f t="shared" si="10"/>
        <v>3837383.0333822477</v>
      </c>
      <c r="X37" s="99">
        <f t="shared" si="10"/>
        <v>3687780.009196966</v>
      </c>
      <c r="Y37" s="99">
        <f t="shared" si="10"/>
        <v>3550396.451745233</v>
      </c>
      <c r="Z37" s="99">
        <f t="shared" si="10"/>
        <v>3437446.3506352147</v>
      </c>
      <c r="AA37" s="99">
        <f t="shared" si="10"/>
        <v>3336715.7162587452</v>
      </c>
      <c r="AB37" s="99">
        <f t="shared" si="10"/>
        <v>3235985.0818822761</v>
      </c>
      <c r="AC37" s="99">
        <f t="shared" si="10"/>
        <v>3135254.4475058075</v>
      </c>
      <c r="AD37" s="99">
        <f t="shared" si="10"/>
        <v>3034523.8131293384</v>
      </c>
      <c r="AE37" s="99">
        <f t="shared" si="10"/>
        <v>2933793.1787528694</v>
      </c>
      <c r="AF37" s="99">
        <f t="shared" si="10"/>
        <v>2833062.5443764008</v>
      </c>
      <c r="AG37" s="99">
        <f t="shared" si="10"/>
        <v>2732331.9099999322</v>
      </c>
      <c r="AH37" s="99">
        <f t="shared" si="10"/>
        <v>2631601.2756234631</v>
      </c>
      <c r="AI37" s="99">
        <f t="shared" si="10"/>
        <v>2530870.641246994</v>
      </c>
      <c r="AJ37" s="99">
        <f t="shared" si="10"/>
        <v>2430140.0068705254</v>
      </c>
      <c r="AK37" s="99">
        <f t="shared" si="10"/>
        <v>2329409.3724940564</v>
      </c>
      <c r="AL37" s="99">
        <f t="shared" si="10"/>
        <v>2228678.7381175878</v>
      </c>
      <c r="AM37" s="99">
        <f t="shared" si="10"/>
        <v>2127948.1037411187</v>
      </c>
      <c r="AN37" s="99">
        <f t="shared" si="10"/>
        <v>2027217.4693646501</v>
      </c>
      <c r="AO37" s="99">
        <f t="shared" si="10"/>
        <v>1926486.834988181</v>
      </c>
      <c r="AP37" s="99">
        <f t="shared" si="10"/>
        <v>1825756.2006117124</v>
      </c>
      <c r="AQ37" s="99">
        <f t="shared" si="10"/>
        <v>1725025.5662352436</v>
      </c>
      <c r="AR37" s="99">
        <f t="shared" si="10"/>
        <v>1624294.9318587747</v>
      </c>
      <c r="AS37" s="99">
        <f t="shared" ref="AS37" si="11">AS27+AS29+AS35</f>
        <v>91659.438287399345</v>
      </c>
      <c r="AT37" s="99">
        <f t="shared" si="10"/>
        <v>91659.438287399345</v>
      </c>
      <c r="AU37" s="105">
        <f t="shared" si="5"/>
        <v>154448518.54318279</v>
      </c>
    </row>
    <row r="38" spans="1:47" x14ac:dyDescent="0.2">
      <c r="A38" s="136">
        <f>A37+1</f>
        <v>8</v>
      </c>
      <c r="B38" s="2" t="s">
        <v>60</v>
      </c>
      <c r="C38" s="2"/>
      <c r="D38" s="122"/>
      <c r="E38" s="40">
        <f t="shared" ref="E38" si="12">E37/(1-$F16)-E37</f>
        <v>322019.02429738268</v>
      </c>
      <c r="F38" s="100">
        <f>F37/(1-$G16)-F37</f>
        <v>307892.46174453385</v>
      </c>
      <c r="G38" s="100">
        <f t="shared" ref="G38:AT38" si="13">G37/(1-$G16)-G37</f>
        <v>299472.93719618488</v>
      </c>
      <c r="H38" s="100">
        <f t="shared" si="13"/>
        <v>291325.13513144106</v>
      </c>
      <c r="I38" s="100">
        <f t="shared" si="13"/>
        <v>283428.71547955275</v>
      </c>
      <c r="J38" s="100">
        <f t="shared" si="13"/>
        <v>275764.90279059857</v>
      </c>
      <c r="K38" s="100">
        <f t="shared" si="13"/>
        <v>268316.22546534427</v>
      </c>
      <c r="L38" s="100">
        <f t="shared" si="13"/>
        <v>261066.51575524453</v>
      </c>
      <c r="M38" s="100">
        <f t="shared" si="13"/>
        <v>253927.89412385505</v>
      </c>
      <c r="N38" s="100">
        <f t="shared" si="13"/>
        <v>246805.17947087251</v>
      </c>
      <c r="O38" s="100">
        <f t="shared" si="13"/>
        <v>239682.46481788997</v>
      </c>
      <c r="P38" s="100">
        <f t="shared" si="13"/>
        <v>232559.75016490743</v>
      </c>
      <c r="Q38" s="100">
        <f t="shared" si="13"/>
        <v>225437.03551192489</v>
      </c>
      <c r="R38" s="100">
        <f t="shared" si="13"/>
        <v>218314.32085894234</v>
      </c>
      <c r="S38" s="100">
        <f t="shared" si="13"/>
        <v>211191.6062059598</v>
      </c>
      <c r="T38" s="100">
        <f t="shared" si="13"/>
        <v>204068.89155297633</v>
      </c>
      <c r="U38" s="100">
        <f t="shared" si="13"/>
        <v>196946.17689999379</v>
      </c>
      <c r="V38" s="100">
        <f t="shared" si="13"/>
        <v>189823.46224701172</v>
      </c>
      <c r="W38" s="100">
        <f t="shared" si="13"/>
        <v>182700.74759402871</v>
      </c>
      <c r="X38" s="100">
        <f t="shared" si="13"/>
        <v>175578.03294104617</v>
      </c>
      <c r="Y38" s="100">
        <f t="shared" si="13"/>
        <v>169037.096465535</v>
      </c>
      <c r="Z38" s="100">
        <f t="shared" si="13"/>
        <v>163659.45557482773</v>
      </c>
      <c r="AA38" s="100">
        <f t="shared" si="13"/>
        <v>158863.59286159184</v>
      </c>
      <c r="AB38" s="100">
        <f t="shared" si="13"/>
        <v>154067.73014835641</v>
      </c>
      <c r="AC38" s="100">
        <f t="shared" si="13"/>
        <v>149271.86743512051</v>
      </c>
      <c r="AD38" s="100">
        <f t="shared" si="13"/>
        <v>144476.00472188462</v>
      </c>
      <c r="AE38" s="100">
        <f t="shared" si="13"/>
        <v>139680.14200864872</v>
      </c>
      <c r="AF38" s="100">
        <f t="shared" si="13"/>
        <v>134884.27929541282</v>
      </c>
      <c r="AG38" s="100">
        <f t="shared" si="13"/>
        <v>130088.41658217739</v>
      </c>
      <c r="AH38" s="100">
        <f t="shared" si="13"/>
        <v>125292.5538689415</v>
      </c>
      <c r="AI38" s="100">
        <f t="shared" si="13"/>
        <v>120496.6911557056</v>
      </c>
      <c r="AJ38" s="100">
        <f t="shared" si="13"/>
        <v>115700.8284424697</v>
      </c>
      <c r="AK38" s="100">
        <f t="shared" si="13"/>
        <v>110904.96572923381</v>
      </c>
      <c r="AL38" s="100">
        <f t="shared" si="13"/>
        <v>106109.10301599791</v>
      </c>
      <c r="AM38" s="100">
        <f t="shared" si="13"/>
        <v>101313.24030276248</v>
      </c>
      <c r="AN38" s="100">
        <f t="shared" si="13"/>
        <v>96517.377589526586</v>
      </c>
      <c r="AO38" s="100">
        <f t="shared" si="13"/>
        <v>91721.51487629069</v>
      </c>
      <c r="AP38" s="100">
        <f t="shared" si="13"/>
        <v>86925.652163054794</v>
      </c>
      <c r="AQ38" s="100">
        <f t="shared" si="13"/>
        <v>82129.789449819131</v>
      </c>
      <c r="AR38" s="100">
        <f t="shared" si="13"/>
        <v>77333.926736583235</v>
      </c>
      <c r="AS38" s="100">
        <f t="shared" si="13"/>
        <v>4363.9761143147043</v>
      </c>
      <c r="AT38" s="100">
        <f t="shared" si="13"/>
        <v>4363.9761143147043</v>
      </c>
      <c r="AU38" s="105">
        <f t="shared" si="5"/>
        <v>7353523.660902258</v>
      </c>
    </row>
    <row r="39" spans="1:47" x14ac:dyDescent="0.2">
      <c r="A39" s="136">
        <f>A38+1</f>
        <v>9</v>
      </c>
      <c r="B39" s="2"/>
      <c r="C39" s="2" t="s">
        <v>61</v>
      </c>
      <c r="D39" s="122"/>
      <c r="E39" s="41">
        <f>SUM(E37:E38)</f>
        <v>7083256.8804140398</v>
      </c>
      <c r="F39" s="99">
        <f t="shared" ref="F39:AT39" si="14">SUM(F37:F38)</f>
        <v>6774758.768335294</v>
      </c>
      <c r="G39" s="99">
        <f t="shared" si="14"/>
        <v>6589498.4750629179</v>
      </c>
      <c r="H39" s="99">
        <f t="shared" si="14"/>
        <v>6410217.0689251367</v>
      </c>
      <c r="I39" s="99">
        <f t="shared" si="14"/>
        <v>6236466.9940711837</v>
      </c>
      <c r="J39" s="99">
        <f t="shared" si="14"/>
        <v>6067835.1220234316</v>
      </c>
      <c r="K39" s="99">
        <f t="shared" si="14"/>
        <v>5903937.0137818605</v>
      </c>
      <c r="L39" s="99">
        <f t="shared" si="14"/>
        <v>5744416.9198240684</v>
      </c>
      <c r="M39" s="99">
        <f t="shared" si="14"/>
        <v>5587341.1693589231</v>
      </c>
      <c r="N39" s="99">
        <f t="shared" si="14"/>
        <v>5430615.4305206584</v>
      </c>
      <c r="O39" s="99">
        <f t="shared" si="14"/>
        <v>5273889.6916823937</v>
      </c>
      <c r="P39" s="99">
        <f t="shared" si="14"/>
        <v>5117163.952844128</v>
      </c>
      <c r="Q39" s="99">
        <f t="shared" si="14"/>
        <v>4960438.2140058642</v>
      </c>
      <c r="R39" s="99">
        <f t="shared" si="14"/>
        <v>4803712.4751676004</v>
      </c>
      <c r="S39" s="99">
        <f t="shared" si="14"/>
        <v>4646986.7363293357</v>
      </c>
      <c r="T39" s="99">
        <f t="shared" si="14"/>
        <v>4490260.9974910701</v>
      </c>
      <c r="U39" s="99">
        <f t="shared" si="14"/>
        <v>4333535.2586528054</v>
      </c>
      <c r="V39" s="99">
        <f t="shared" si="14"/>
        <v>4176809.5198145411</v>
      </c>
      <c r="W39" s="99">
        <f t="shared" si="14"/>
        <v>4020083.7809762764</v>
      </c>
      <c r="X39" s="99">
        <f t="shared" si="14"/>
        <v>3863358.0421380121</v>
      </c>
      <c r="Y39" s="99">
        <f t="shared" si="14"/>
        <v>3719433.548210768</v>
      </c>
      <c r="Z39" s="99">
        <f t="shared" si="14"/>
        <v>3601105.8062100424</v>
      </c>
      <c r="AA39" s="99">
        <f t="shared" si="14"/>
        <v>3495579.309120337</v>
      </c>
      <c r="AB39" s="99">
        <f t="shared" si="14"/>
        <v>3390052.8120306325</v>
      </c>
      <c r="AC39" s="99">
        <f t="shared" si="14"/>
        <v>3284526.314940928</v>
      </c>
      <c r="AD39" s="99">
        <f t="shared" si="14"/>
        <v>3178999.8178512231</v>
      </c>
      <c r="AE39" s="99">
        <f t="shared" si="14"/>
        <v>3073473.3207615181</v>
      </c>
      <c r="AF39" s="99">
        <f t="shared" si="14"/>
        <v>2967946.8236718136</v>
      </c>
      <c r="AG39" s="99">
        <f t="shared" si="14"/>
        <v>2862420.3265821096</v>
      </c>
      <c r="AH39" s="99">
        <f t="shared" si="14"/>
        <v>2756893.8294924046</v>
      </c>
      <c r="AI39" s="99">
        <f t="shared" si="14"/>
        <v>2651367.3324026996</v>
      </c>
      <c r="AJ39" s="99">
        <f t="shared" si="14"/>
        <v>2545840.8353129951</v>
      </c>
      <c r="AK39" s="99">
        <f t="shared" si="14"/>
        <v>2440314.3382232902</v>
      </c>
      <c r="AL39" s="99">
        <f t="shared" si="14"/>
        <v>2334787.8411335857</v>
      </c>
      <c r="AM39" s="99">
        <f t="shared" si="14"/>
        <v>2229261.3440438812</v>
      </c>
      <c r="AN39" s="99">
        <f t="shared" si="14"/>
        <v>2123734.8469541767</v>
      </c>
      <c r="AO39" s="99">
        <f t="shared" si="14"/>
        <v>2018208.3498644717</v>
      </c>
      <c r="AP39" s="99">
        <f t="shared" si="14"/>
        <v>1912681.8527747672</v>
      </c>
      <c r="AQ39" s="99">
        <f t="shared" si="14"/>
        <v>1807155.3556850627</v>
      </c>
      <c r="AR39" s="99">
        <f t="shared" si="14"/>
        <v>1701628.858595358</v>
      </c>
      <c r="AS39" s="99">
        <f t="shared" ref="AS39" si="15">SUM(AS37:AS38)</f>
        <v>96023.41440171405</v>
      </c>
      <c r="AT39" s="99">
        <f t="shared" si="14"/>
        <v>96023.41440171405</v>
      </c>
      <c r="AU39" s="105">
        <f t="shared" si="5"/>
        <v>161802042.20408499</v>
      </c>
    </row>
    <row r="40" spans="1:47" x14ac:dyDescent="0.2">
      <c r="A40" s="136">
        <f t="shared" ref="A40:A66" si="16">A39+1</f>
        <v>10</v>
      </c>
      <c r="B40" s="2"/>
      <c r="C40" s="2"/>
      <c r="D40" s="122"/>
      <c r="E40" s="41"/>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105">
        <f t="shared" si="5"/>
        <v>0</v>
      </c>
    </row>
    <row r="41" spans="1:47" x14ac:dyDescent="0.2">
      <c r="A41" s="136">
        <f t="shared" si="16"/>
        <v>11</v>
      </c>
      <c r="B41" s="2"/>
      <c r="C41" s="2"/>
      <c r="D41" s="122"/>
      <c r="E41" s="38"/>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5">
        <f t="shared" si="5"/>
        <v>0</v>
      </c>
    </row>
    <row r="42" spans="1:47" x14ac:dyDescent="0.2">
      <c r="A42" s="136">
        <f t="shared" si="16"/>
        <v>12</v>
      </c>
      <c r="B42" s="2" t="s">
        <v>62</v>
      </c>
      <c r="C42" s="2"/>
      <c r="D42" s="122"/>
      <c r="E42" s="40">
        <f>E39</f>
        <v>7083256.8804140398</v>
      </c>
      <c r="F42" s="100">
        <f>F39</f>
        <v>6774758.768335294</v>
      </c>
      <c r="G42" s="100">
        <f t="shared" ref="G42:AT42" si="17">G39</f>
        <v>6589498.4750629179</v>
      </c>
      <c r="H42" s="100">
        <f t="shared" si="17"/>
        <v>6410217.0689251367</v>
      </c>
      <c r="I42" s="100">
        <f t="shared" si="17"/>
        <v>6236466.9940711837</v>
      </c>
      <c r="J42" s="100">
        <f t="shared" si="17"/>
        <v>6067835.1220234316</v>
      </c>
      <c r="K42" s="100">
        <f t="shared" si="17"/>
        <v>5903937.0137818605</v>
      </c>
      <c r="L42" s="100">
        <f t="shared" si="17"/>
        <v>5744416.9198240684</v>
      </c>
      <c r="M42" s="100">
        <f t="shared" si="17"/>
        <v>5587341.1693589231</v>
      </c>
      <c r="N42" s="100">
        <f t="shared" si="17"/>
        <v>5430615.4305206584</v>
      </c>
      <c r="O42" s="100">
        <f t="shared" si="17"/>
        <v>5273889.6916823937</v>
      </c>
      <c r="P42" s="100">
        <f t="shared" si="17"/>
        <v>5117163.952844128</v>
      </c>
      <c r="Q42" s="100">
        <f t="shared" si="17"/>
        <v>4960438.2140058642</v>
      </c>
      <c r="R42" s="100">
        <f t="shared" si="17"/>
        <v>4803712.4751676004</v>
      </c>
      <c r="S42" s="100">
        <f t="shared" si="17"/>
        <v>4646986.7363293357</v>
      </c>
      <c r="T42" s="100">
        <f t="shared" si="17"/>
        <v>4490260.9974910701</v>
      </c>
      <c r="U42" s="100">
        <f t="shared" si="17"/>
        <v>4333535.2586528054</v>
      </c>
      <c r="V42" s="100">
        <f t="shared" si="17"/>
        <v>4176809.5198145411</v>
      </c>
      <c r="W42" s="100">
        <f t="shared" si="17"/>
        <v>4020083.7809762764</v>
      </c>
      <c r="X42" s="100">
        <f t="shared" si="17"/>
        <v>3863358.0421380121</v>
      </c>
      <c r="Y42" s="100">
        <f t="shared" si="17"/>
        <v>3719433.548210768</v>
      </c>
      <c r="Z42" s="100">
        <f t="shared" si="17"/>
        <v>3601105.8062100424</v>
      </c>
      <c r="AA42" s="100">
        <f t="shared" si="17"/>
        <v>3495579.309120337</v>
      </c>
      <c r="AB42" s="100">
        <f t="shared" si="17"/>
        <v>3390052.8120306325</v>
      </c>
      <c r="AC42" s="100">
        <f t="shared" si="17"/>
        <v>3284526.314940928</v>
      </c>
      <c r="AD42" s="100">
        <f t="shared" si="17"/>
        <v>3178999.8178512231</v>
      </c>
      <c r="AE42" s="100">
        <f t="shared" si="17"/>
        <v>3073473.3207615181</v>
      </c>
      <c r="AF42" s="100">
        <f t="shared" si="17"/>
        <v>2967946.8236718136</v>
      </c>
      <c r="AG42" s="100">
        <f t="shared" si="17"/>
        <v>2862420.3265821096</v>
      </c>
      <c r="AH42" s="100">
        <f t="shared" si="17"/>
        <v>2756893.8294924046</v>
      </c>
      <c r="AI42" s="100">
        <f t="shared" si="17"/>
        <v>2651367.3324026996</v>
      </c>
      <c r="AJ42" s="100">
        <f t="shared" si="17"/>
        <v>2545840.8353129951</v>
      </c>
      <c r="AK42" s="100">
        <f t="shared" si="17"/>
        <v>2440314.3382232902</v>
      </c>
      <c r="AL42" s="100">
        <f t="shared" si="17"/>
        <v>2334787.8411335857</v>
      </c>
      <c r="AM42" s="100">
        <f t="shared" si="17"/>
        <v>2229261.3440438812</v>
      </c>
      <c r="AN42" s="100">
        <f t="shared" si="17"/>
        <v>2123734.8469541767</v>
      </c>
      <c r="AO42" s="100">
        <f t="shared" si="17"/>
        <v>2018208.3498644717</v>
      </c>
      <c r="AP42" s="100">
        <f t="shared" si="17"/>
        <v>1912681.8527747672</v>
      </c>
      <c r="AQ42" s="100">
        <f t="shared" si="17"/>
        <v>1807155.3556850627</v>
      </c>
      <c r="AR42" s="100">
        <f t="shared" si="17"/>
        <v>1701628.858595358</v>
      </c>
      <c r="AS42" s="100">
        <f t="shared" ref="AS42" si="18">AS39</f>
        <v>96023.41440171405</v>
      </c>
      <c r="AT42" s="100">
        <f t="shared" si="17"/>
        <v>96023.41440171405</v>
      </c>
      <c r="AU42" s="105">
        <f t="shared" si="5"/>
        <v>161802042.20408499</v>
      </c>
    </row>
    <row r="43" spans="1:47" x14ac:dyDescent="0.2">
      <c r="A43" s="136">
        <f t="shared" si="16"/>
        <v>13</v>
      </c>
      <c r="B43" s="2"/>
      <c r="C43" s="2"/>
      <c r="D43" s="122"/>
      <c r="E43" s="83"/>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row>
    <row r="44" spans="1:47" outlineLevel="1" x14ac:dyDescent="0.2">
      <c r="A44" s="136">
        <f t="shared" si="16"/>
        <v>14</v>
      </c>
      <c r="B44" s="2"/>
      <c r="C44" s="2"/>
      <c r="D44" s="122"/>
      <c r="E44" s="43"/>
      <c r="F44" s="122"/>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row>
    <row r="45" spans="1:47" outlineLevel="1" x14ac:dyDescent="0.2">
      <c r="A45" s="136">
        <f t="shared" si="16"/>
        <v>15</v>
      </c>
      <c r="B45" s="2" t="s">
        <v>63</v>
      </c>
      <c r="C45" s="122"/>
      <c r="D45" s="122"/>
      <c r="E45" s="45">
        <f>+E42/$F$22</f>
        <v>0.11680911008804319</v>
      </c>
      <c r="F45" s="101">
        <f t="shared" ref="F45:AT45" si="19">+F42/$F$22</f>
        <v>0.11172170601049218</v>
      </c>
      <c r="G45" s="101">
        <f t="shared" si="19"/>
        <v>0.10866660150741629</v>
      </c>
      <c r="H45" s="101">
        <f t="shared" si="19"/>
        <v>0.10571009409001721</v>
      </c>
      <c r="I45" s="101">
        <f t="shared" si="19"/>
        <v>0.10284480317030757</v>
      </c>
      <c r="J45" s="101">
        <f t="shared" si="19"/>
        <v>0.1000639158978376</v>
      </c>
      <c r="K45" s="101">
        <f t="shared" si="19"/>
        <v>9.7361092536772012E-2</v>
      </c>
      <c r="L45" s="101">
        <f t="shared" si="19"/>
        <v>9.4730466465890117E-2</v>
      </c>
      <c r="M45" s="101">
        <f t="shared" si="19"/>
        <v>9.2140149760169751E-2</v>
      </c>
      <c r="N45" s="101">
        <f t="shared" si="19"/>
        <v>8.9555605052747164E-2</v>
      </c>
      <c r="O45" s="101">
        <f t="shared" si="19"/>
        <v>8.6971060345324563E-2</v>
      </c>
      <c r="P45" s="101">
        <f t="shared" si="19"/>
        <v>8.4386515637901963E-2</v>
      </c>
      <c r="Q45" s="101">
        <f t="shared" si="19"/>
        <v>8.180197093047939E-2</v>
      </c>
      <c r="R45" s="101">
        <f t="shared" si="19"/>
        <v>7.9217426223056803E-2</v>
      </c>
      <c r="S45" s="101">
        <f t="shared" si="19"/>
        <v>7.6632881515634216E-2</v>
      </c>
      <c r="T45" s="101">
        <f t="shared" si="19"/>
        <v>7.4048336808211601E-2</v>
      </c>
      <c r="U45" s="101">
        <f t="shared" si="19"/>
        <v>7.1463792100789014E-2</v>
      </c>
      <c r="V45" s="101">
        <f t="shared" si="19"/>
        <v>6.8879247393366427E-2</v>
      </c>
      <c r="W45" s="101">
        <f t="shared" si="19"/>
        <v>6.629470268594384E-2</v>
      </c>
      <c r="X45" s="101">
        <f t="shared" si="19"/>
        <v>6.3710157978521254E-2</v>
      </c>
      <c r="Y45" s="101">
        <f t="shared" si="19"/>
        <v>6.1336717012120685E-2</v>
      </c>
      <c r="Z45" s="101">
        <f t="shared" si="19"/>
        <v>5.9385388904841255E-2</v>
      </c>
      <c r="AA45" s="101">
        <f t="shared" si="19"/>
        <v>5.7645164538583843E-2</v>
      </c>
      <c r="AB45" s="101">
        <f t="shared" si="19"/>
        <v>5.5904940172326445E-2</v>
      </c>
      <c r="AC45" s="101">
        <f t="shared" si="19"/>
        <v>5.4164715806069054E-2</v>
      </c>
      <c r="AD45" s="101">
        <f t="shared" si="19"/>
        <v>5.2424491439811649E-2</v>
      </c>
      <c r="AE45" s="101">
        <f t="shared" si="19"/>
        <v>5.0684267073554244E-2</v>
      </c>
      <c r="AF45" s="101">
        <f t="shared" si="19"/>
        <v>4.8944042707296846E-2</v>
      </c>
      <c r="AG45" s="101">
        <f t="shared" si="19"/>
        <v>4.7203818341039462E-2</v>
      </c>
      <c r="AH45" s="101">
        <f t="shared" si="19"/>
        <v>4.5463593974782057E-2</v>
      </c>
      <c r="AI45" s="101">
        <f t="shared" si="19"/>
        <v>4.3723369608524652E-2</v>
      </c>
      <c r="AJ45" s="101">
        <f t="shared" si="19"/>
        <v>4.1983145242267254E-2</v>
      </c>
      <c r="AK45" s="101">
        <f t="shared" si="19"/>
        <v>4.0242920876009849E-2</v>
      </c>
      <c r="AL45" s="101">
        <f t="shared" si="19"/>
        <v>3.8502696509752458E-2</v>
      </c>
      <c r="AM45" s="101">
        <f t="shared" si="19"/>
        <v>3.676247214349506E-2</v>
      </c>
      <c r="AN45" s="101">
        <f t="shared" si="19"/>
        <v>3.5022247777237663E-2</v>
      </c>
      <c r="AO45" s="101">
        <f t="shared" si="19"/>
        <v>3.3282023410980258E-2</v>
      </c>
      <c r="AP45" s="101">
        <f t="shared" si="19"/>
        <v>3.1541799044722867E-2</v>
      </c>
      <c r="AQ45" s="101">
        <f t="shared" si="19"/>
        <v>2.9801574678465469E-2</v>
      </c>
      <c r="AR45" s="101">
        <f t="shared" si="19"/>
        <v>2.8061350312208067E-2</v>
      </c>
      <c r="AS45" s="101">
        <f t="shared" ref="AS45" si="20">+AS42/$F$22</f>
        <v>1.5835102091093403E-3</v>
      </c>
      <c r="AT45" s="101">
        <f t="shared" si="19"/>
        <v>1.5835102091093403E-3</v>
      </c>
    </row>
    <row r="46" spans="1:47" outlineLevel="1" x14ac:dyDescent="0.2">
      <c r="A46" s="136">
        <f t="shared" si="16"/>
        <v>16</v>
      </c>
      <c r="B46" s="2"/>
      <c r="C46" s="2"/>
      <c r="D46" s="122"/>
      <c r="E46" s="43"/>
      <c r="F46" s="122"/>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row>
    <row r="47" spans="1:47" outlineLevel="1" x14ac:dyDescent="0.2">
      <c r="A47" s="136">
        <f t="shared" si="16"/>
        <v>17</v>
      </c>
      <c r="B47" s="2"/>
      <c r="C47" s="2"/>
      <c r="D47" s="122"/>
      <c r="E47" s="43">
        <f>+E27/2</f>
        <v>741135.08819157048</v>
      </c>
      <c r="F47" s="99"/>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row>
    <row r="48" spans="1:47" outlineLevel="1" x14ac:dyDescent="0.2">
      <c r="A48" s="136">
        <f t="shared" si="16"/>
        <v>18</v>
      </c>
      <c r="B48" s="2"/>
      <c r="C48" s="2"/>
      <c r="D48" s="122"/>
      <c r="E48" s="43">
        <f>+E60/2</f>
        <v>83130.028444770142</v>
      </c>
      <c r="F48" s="99"/>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row>
    <row r="49" spans="1:47" x14ac:dyDescent="0.2">
      <c r="A49" s="136">
        <f t="shared" si="16"/>
        <v>19</v>
      </c>
      <c r="B49" s="46" t="s">
        <v>64</v>
      </c>
      <c r="C49" s="2"/>
      <c r="D49" s="122"/>
      <c r="E49" s="41">
        <f>F22-E27/2-E60/2</f>
        <v>59815327.763363659</v>
      </c>
      <c r="F49" s="118">
        <f>$F$22-(SUM($E$27:E27)+F27/2)-(SUM($E$60:E60)+F60/2)</f>
        <v>57945920.845005214</v>
      </c>
      <c r="G49" s="118">
        <f>$F$22-(SUM($E$27:F27)+G27/2)-(SUM($E$60:F60)+G60/2)</f>
        <v>55890147.233869031</v>
      </c>
      <c r="H49" s="118">
        <f>$F$22-(SUM($E$27:G27)+H27/2)-(SUM($E$60:G60)+H60/2)</f>
        <v>53900719.401302852</v>
      </c>
      <c r="I49" s="118">
        <f>$F$22-(SUM($E$27:H27)+I27/2)-(SUM($E$60:H60)+I60/2)</f>
        <v>51972670.964649811</v>
      </c>
      <c r="J49" s="118">
        <f>$F$22-(SUM($E$27:I27)+J27/2)-(SUM($E$60:I60)+J60/2)</f>
        <v>50101417.570688181</v>
      </c>
      <c r="K49" s="118">
        <f>$F$22-(SUM($E$27:J27)+K27/2)-(SUM($E$60:J60)+K60/2)</f>
        <v>48282693.224058844</v>
      </c>
      <c r="L49" s="118">
        <f>$F$22-(SUM($E$27:K27)+L27/2)-(SUM($E$60:K60)+L60/2)</f>
        <v>46512550.287265323</v>
      </c>
      <c r="M49" s="118">
        <f>$F$22-(SUM($E$27:L27)+M27/2)-(SUM($E$60:L60)+M60/2)</f>
        <v>44769531.440367028</v>
      </c>
      <c r="N49" s="118">
        <f>$F$22-(SUM($E$27:M27)+N27/2)-(SUM($E$60:M60)+N60/2)</f>
        <v>43030396.559392698</v>
      </c>
      <c r="O49" s="118">
        <f>$F$22-(SUM($E$27:N27)+O27/2)-(SUM($E$60:N60)+O60/2)</f>
        <v>41291261.678418361</v>
      </c>
      <c r="P49" s="118">
        <f>$F$22-(SUM($E$27:O27)+P27/2)-(SUM($E$60:O60)+P60/2)</f>
        <v>39552126.797444023</v>
      </c>
      <c r="Q49" s="118">
        <f>$F$22-(SUM($E$27:P27)+Q27/2)-(SUM($E$60:P60)+Q60/2)</f>
        <v>37812991.916469693</v>
      </c>
      <c r="R49" s="118">
        <f>$F$22-(SUM($E$27:Q27)+R27/2)-(SUM($E$60:Q60)+R60/2)</f>
        <v>36073857.035495363</v>
      </c>
      <c r="S49" s="118">
        <f>$F$22-(SUM($E$27:R27)+S27/2)-(SUM($E$60:R60)+S60/2)</f>
        <v>34334722.154521033</v>
      </c>
      <c r="T49" s="118">
        <f>$F$22-(SUM($E$27:S27)+T27/2)-(SUM($E$60:S60)+T60/2)</f>
        <v>32595587.273546696</v>
      </c>
      <c r="U49" s="118">
        <f>$F$22-(SUM($E$27:T27)+U27/2)-(SUM($E$60:T60)+U60/2)</f>
        <v>30856452.392572358</v>
      </c>
      <c r="V49" s="118">
        <f>$F$22-(SUM($E$27:U27)+V27/2)-(SUM($E$60:U60)+V60/2)</f>
        <v>29117317.511598028</v>
      </c>
      <c r="W49" s="118">
        <f>$F$22-(SUM($E$27:V27)+W27/2)-(SUM($E$60:V60)+W60/2)</f>
        <v>27378182.630623695</v>
      </c>
      <c r="X49" s="118">
        <f>$F$22-(SUM($E$27:W27)+X27/2)-(SUM($E$60:W60)+X60/2)</f>
        <v>25639047.749649361</v>
      </c>
      <c r="Y49" s="118">
        <f>$F$22-(SUM($E$27:X27)+Y27/2)-(SUM($E$60:X60)+Y60/2)</f>
        <v>24041964.146976069</v>
      </c>
      <c r="Z49" s="118">
        <f>$F$22-(SUM($E$27:Y27)+Z27/2)-(SUM($E$60:Y60)+Z60/2)</f>
        <v>22728919.429332346</v>
      </c>
      <c r="AA49" s="118">
        <f>$F$22-(SUM($E$27:Z27)+AA27/2)-(SUM($E$60:Z60)+AA60/2)</f>
        <v>21557925.989989661</v>
      </c>
      <c r="AB49" s="118">
        <f>$F$22-(SUM($E$27:AA27)+AB27/2)-(SUM($E$60:AA60)+AB60/2)</f>
        <v>20386932.550646979</v>
      </c>
      <c r="AC49" s="118">
        <f>$F$22-(SUM($E$27:AB27)+AC27/2)-(SUM($E$60:AB60)+AC60/2)</f>
        <v>19215939.111304302</v>
      </c>
      <c r="AD49" s="118">
        <f>$F$22-(SUM($E$27:AC27)+AD27/2)-(SUM($E$60:AC60)+AD60/2)</f>
        <v>18044945.67196162</v>
      </c>
      <c r="AE49" s="118">
        <f>$F$22-(SUM($E$27:AD27)+AE27/2)-(SUM($E$60:AD60)+AE60/2)</f>
        <v>16873952.232618943</v>
      </c>
      <c r="AF49" s="118">
        <f>$F$22-(SUM($E$27:AE27)+AF27/2)-(SUM($E$60:AE60)+AF60/2)</f>
        <v>15702958.793276265</v>
      </c>
      <c r="AG49" s="118">
        <f>$F$22-(SUM($E$27:AF27)+AG27/2)-(SUM($E$60:AF60)+AG60/2)</f>
        <v>14531965.353933588</v>
      </c>
      <c r="AH49" s="118">
        <f>$F$22-(SUM($E$27:AG27)+AH27/2)-(SUM($E$60:AG60)+AH60/2)</f>
        <v>13360971.914590908</v>
      </c>
      <c r="AI49" s="118">
        <f>$F$22-(SUM($E$27:AH27)+AI27/2)-(SUM($E$60:AH60)+AI60/2)</f>
        <v>12189978.475248231</v>
      </c>
      <c r="AJ49" s="118">
        <f>$F$22-(SUM($E$27:AI27)+AJ27/2)-(SUM($E$60:AI60)+AJ60/2)</f>
        <v>11018985.035905553</v>
      </c>
      <c r="AK49" s="118">
        <f>$F$22-(SUM($E$27:AJ27)+AK27/2)-(SUM($E$60:AJ60)+AK60/2)</f>
        <v>9847991.5965628736</v>
      </c>
      <c r="AL49" s="118">
        <f>$F$22-(SUM($E$27:AK27)+AL27/2)-(SUM($E$60:AK60)+AL60/2)</f>
        <v>8676998.157220196</v>
      </c>
      <c r="AM49" s="118">
        <f>$F$22-(SUM($E$27:AL27)+AM27/2)-(SUM($E$60:AL60)+AM60/2)</f>
        <v>7506004.7178775184</v>
      </c>
      <c r="AN49" s="118">
        <f>$F$22-(SUM($E$27:AM27)+AN27/2)-(SUM($E$60:AM60)+AN60/2)</f>
        <v>6335011.2785348408</v>
      </c>
      <c r="AO49" s="118">
        <f>$F$22-(SUM($E$27:AN27)+AO27/2)-(SUM($E$60:AN60)+AO60/2)</f>
        <v>5164017.8391921623</v>
      </c>
      <c r="AP49" s="118">
        <f>$F$22-(SUM($E$27:AO27)+AP27/2)-(SUM($E$60:AO60)+AP60/2)</f>
        <v>3993024.3998494847</v>
      </c>
      <c r="AQ49" s="118">
        <f>$F$22-(SUM($E$27:AP27)+AQ27/2)-(SUM($E$60:AP60)+AQ60/2)</f>
        <v>2822030.9605068062</v>
      </c>
      <c r="AR49" s="118">
        <f>$F$22-(SUM($E$27:AQ27)+AR27/2)-(SUM($E$60:AQ60)+AR60/2)</f>
        <v>1651037.5211641283</v>
      </c>
      <c r="AS49" s="118">
        <f>$F$22-(SUM($E$27:AR27)+AS27/2)-(SUM($E$60:AR60)+AS60/2)</f>
        <v>1065540.8014927893</v>
      </c>
      <c r="AT49" s="118">
        <f>$F$22-(SUM($E$27:AR27)+AT27/2)-(SUM($E$60:AR60)+AT60/2)</f>
        <v>1065540.8014927893</v>
      </c>
      <c r="AU49" s="105">
        <f t="shared" ref="AU49:AU60" si="21">SUM(D49:AT49)</f>
        <v>1104655559.2099795</v>
      </c>
    </row>
    <row r="50" spans="1:47" x14ac:dyDescent="0.2">
      <c r="A50" s="136">
        <f t="shared" si="16"/>
        <v>20</v>
      </c>
      <c r="B50" s="2"/>
      <c r="C50" s="2"/>
      <c r="D50" s="122"/>
      <c r="E50" s="84"/>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5">
        <f t="shared" si="21"/>
        <v>0</v>
      </c>
    </row>
    <row r="51" spans="1:47" x14ac:dyDescent="0.2">
      <c r="A51" s="136">
        <f t="shared" si="16"/>
        <v>21</v>
      </c>
      <c r="B51" s="2"/>
      <c r="C51" s="2"/>
      <c r="D51" s="122"/>
      <c r="E51" s="38"/>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5">
        <f t="shared" si="21"/>
        <v>0</v>
      </c>
    </row>
    <row r="52" spans="1:47" x14ac:dyDescent="0.2">
      <c r="A52" s="136">
        <f t="shared" si="16"/>
        <v>22</v>
      </c>
      <c r="B52" s="2" t="s">
        <v>65</v>
      </c>
      <c r="C52" s="2"/>
      <c r="D52" s="122"/>
      <c r="E52" s="38">
        <f>(E34)/(1-$F$15)</f>
        <v>3490489.3796089427</v>
      </c>
      <c r="F52" s="102">
        <f>(F34)/(1-$G$15)</f>
        <v>3344726.5702939723</v>
      </c>
      <c r="G52" s="102">
        <f t="shared" ref="G52:AT52" si="22">(G34)/(1-$G$15)</f>
        <v>3226064.1947650984</v>
      </c>
      <c r="H52" s="102">
        <f t="shared" si="22"/>
        <v>3111231.3983536838</v>
      </c>
      <c r="I52" s="102">
        <f t="shared" si="22"/>
        <v>2999941.5139089008</v>
      </c>
      <c r="J52" s="102">
        <f t="shared" si="22"/>
        <v>2891929.9255992165</v>
      </c>
      <c r="K52" s="102">
        <f t="shared" si="22"/>
        <v>2786950.3936925107</v>
      </c>
      <c r="L52" s="102">
        <f t="shared" si="22"/>
        <v>2684775.0545560741</v>
      </c>
      <c r="M52" s="102">
        <f t="shared" si="22"/>
        <v>2584165.3590895399</v>
      </c>
      <c r="N52" s="102">
        <f t="shared" si="22"/>
        <v>2483779.8520358317</v>
      </c>
      <c r="O52" s="102">
        <f t="shared" si="22"/>
        <v>2383394.344982123</v>
      </c>
      <c r="P52" s="102">
        <f t="shared" si="22"/>
        <v>2283008.8379284143</v>
      </c>
      <c r="Q52" s="102">
        <f t="shared" si="22"/>
        <v>2182623.3308747062</v>
      </c>
      <c r="R52" s="102">
        <f t="shared" si="22"/>
        <v>2082237.8238209982</v>
      </c>
      <c r="S52" s="102">
        <f t="shared" si="22"/>
        <v>1981852.31676729</v>
      </c>
      <c r="T52" s="102">
        <f t="shared" si="22"/>
        <v>1881466.8097135813</v>
      </c>
      <c r="U52" s="102">
        <f t="shared" si="22"/>
        <v>1781081.3026598727</v>
      </c>
      <c r="V52" s="102">
        <f t="shared" si="22"/>
        <v>1680695.7956061647</v>
      </c>
      <c r="W52" s="102">
        <f t="shared" si="22"/>
        <v>1580310.2885524561</v>
      </c>
      <c r="X52" s="102">
        <f t="shared" si="22"/>
        <v>1479924.7814987479</v>
      </c>
      <c r="Y52" s="102">
        <f t="shared" si="22"/>
        <v>1387738.6900026693</v>
      </c>
      <c r="Z52" s="102">
        <f t="shared" si="22"/>
        <v>1311947.7544019683</v>
      </c>
      <c r="AA52" s="102">
        <f t="shared" si="22"/>
        <v>1244356.234358897</v>
      </c>
      <c r="AB52" s="102">
        <f t="shared" si="22"/>
        <v>1176764.7143158256</v>
      </c>
      <c r="AC52" s="102">
        <f t="shared" si="22"/>
        <v>1109173.1942727547</v>
      </c>
      <c r="AD52" s="102">
        <f t="shared" si="22"/>
        <v>1041581.6742296835</v>
      </c>
      <c r="AE52" s="102">
        <f t="shared" si="22"/>
        <v>973990.15418661246</v>
      </c>
      <c r="AF52" s="102">
        <f t="shared" si="22"/>
        <v>906398.63414354133</v>
      </c>
      <c r="AG52" s="102">
        <f t="shared" si="22"/>
        <v>838807.11410047032</v>
      </c>
      <c r="AH52" s="102">
        <f t="shared" si="22"/>
        <v>771215.5940573992</v>
      </c>
      <c r="AI52" s="102">
        <f t="shared" si="22"/>
        <v>703624.0740143283</v>
      </c>
      <c r="AJ52" s="102">
        <f t="shared" si="22"/>
        <v>636032.55397125718</v>
      </c>
      <c r="AK52" s="102">
        <f t="shared" si="22"/>
        <v>568441.03392818605</v>
      </c>
      <c r="AL52" s="102">
        <f t="shared" si="22"/>
        <v>500849.5138851151</v>
      </c>
      <c r="AM52" s="102">
        <f t="shared" si="22"/>
        <v>433257.99384204409</v>
      </c>
      <c r="AN52" s="102">
        <f t="shared" si="22"/>
        <v>365666.47379897308</v>
      </c>
      <c r="AO52" s="102">
        <f t="shared" si="22"/>
        <v>298074.95375590201</v>
      </c>
      <c r="AP52" s="102">
        <f t="shared" si="22"/>
        <v>230483.433712831</v>
      </c>
      <c r="AQ52" s="102">
        <f t="shared" si="22"/>
        <v>162891.91366975996</v>
      </c>
      <c r="AR52" s="102">
        <f t="shared" si="22"/>
        <v>95300.393626688921</v>
      </c>
      <c r="AS52" s="102">
        <f t="shared" si="22"/>
        <v>61504.633605153409</v>
      </c>
      <c r="AT52" s="102">
        <f t="shared" si="22"/>
        <v>61504.633605153409</v>
      </c>
      <c r="AU52" s="105">
        <f t="shared" si="21"/>
        <v>63800254.63779334</v>
      </c>
    </row>
    <row r="53" spans="1:47" x14ac:dyDescent="0.2">
      <c r="A53" s="136">
        <f t="shared" si="16"/>
        <v>23</v>
      </c>
      <c r="B53" s="2" t="s">
        <v>66</v>
      </c>
      <c r="C53" s="2"/>
      <c r="D53" s="122"/>
      <c r="E53" s="40">
        <f t="shared" ref="E53" si="23">E52*$F15</f>
        <v>733002.76971787796</v>
      </c>
      <c r="F53" s="100">
        <f>F52*$G15</f>
        <v>702392.57976173412</v>
      </c>
      <c r="G53" s="100">
        <f t="shared" ref="G53:AT53" si="24">G52*$G15</f>
        <v>677473.48090067063</v>
      </c>
      <c r="H53" s="100">
        <f t="shared" si="24"/>
        <v>653358.59365427354</v>
      </c>
      <c r="I53" s="100">
        <f t="shared" si="24"/>
        <v>629987.71792086912</v>
      </c>
      <c r="J53" s="100">
        <f t="shared" si="24"/>
        <v>607305.28437583544</v>
      </c>
      <c r="K53" s="100">
        <f t="shared" si="24"/>
        <v>585259.5826754272</v>
      </c>
      <c r="L53" s="100">
        <f t="shared" si="24"/>
        <v>563802.7614567756</v>
      </c>
      <c r="M53" s="100">
        <f t="shared" si="24"/>
        <v>542674.72540880332</v>
      </c>
      <c r="N53" s="100">
        <f t="shared" si="24"/>
        <v>521593.76892752462</v>
      </c>
      <c r="O53" s="100">
        <f t="shared" si="24"/>
        <v>500512.81244624581</v>
      </c>
      <c r="P53" s="100">
        <f t="shared" si="24"/>
        <v>479431.85596496699</v>
      </c>
      <c r="Q53" s="100">
        <f t="shared" si="24"/>
        <v>458350.89948368829</v>
      </c>
      <c r="R53" s="100">
        <f t="shared" si="24"/>
        <v>437269.94300240959</v>
      </c>
      <c r="S53" s="100">
        <f t="shared" si="24"/>
        <v>416188.98652113089</v>
      </c>
      <c r="T53" s="100">
        <f t="shared" si="24"/>
        <v>395108.03003985208</v>
      </c>
      <c r="U53" s="100">
        <f t="shared" si="24"/>
        <v>374027.07355857326</v>
      </c>
      <c r="V53" s="100">
        <f t="shared" si="24"/>
        <v>352946.11707729456</v>
      </c>
      <c r="W53" s="100">
        <f t="shared" si="24"/>
        <v>331865.16059601575</v>
      </c>
      <c r="X53" s="100">
        <f t="shared" si="24"/>
        <v>310784.20411473705</v>
      </c>
      <c r="Y53" s="100">
        <f t="shared" si="24"/>
        <v>291425.12490056054</v>
      </c>
      <c r="Z53" s="100">
        <f t="shared" si="24"/>
        <v>275509.02842441335</v>
      </c>
      <c r="AA53" s="100">
        <f t="shared" si="24"/>
        <v>261314.80921536835</v>
      </c>
      <c r="AB53" s="100">
        <f t="shared" si="24"/>
        <v>247120.59000632336</v>
      </c>
      <c r="AC53" s="100">
        <f t="shared" si="24"/>
        <v>232926.37079727848</v>
      </c>
      <c r="AD53" s="100">
        <f t="shared" si="24"/>
        <v>218732.15158823351</v>
      </c>
      <c r="AE53" s="100">
        <f t="shared" si="24"/>
        <v>204537.9323791886</v>
      </c>
      <c r="AF53" s="100">
        <f t="shared" si="24"/>
        <v>190343.71317014366</v>
      </c>
      <c r="AG53" s="100">
        <f t="shared" si="24"/>
        <v>176149.49396109875</v>
      </c>
      <c r="AH53" s="100">
        <f t="shared" si="24"/>
        <v>161955.27475205384</v>
      </c>
      <c r="AI53" s="100">
        <f t="shared" si="24"/>
        <v>147761.05554300893</v>
      </c>
      <c r="AJ53" s="100">
        <f t="shared" si="24"/>
        <v>133566.83633396399</v>
      </c>
      <c r="AK53" s="100">
        <f t="shared" si="24"/>
        <v>119372.61712491907</v>
      </c>
      <c r="AL53" s="100">
        <f t="shared" si="24"/>
        <v>105178.39791587417</v>
      </c>
      <c r="AM53" s="100">
        <f t="shared" si="24"/>
        <v>90984.178706829262</v>
      </c>
      <c r="AN53" s="100">
        <f t="shared" si="24"/>
        <v>76789.959497784337</v>
      </c>
      <c r="AO53" s="100">
        <f t="shared" si="24"/>
        <v>62595.74028873942</v>
      </c>
      <c r="AP53" s="100">
        <f t="shared" si="24"/>
        <v>48401.52107969451</v>
      </c>
      <c r="AQ53" s="100">
        <f t="shared" si="24"/>
        <v>34207.301870649593</v>
      </c>
      <c r="AR53" s="100">
        <f t="shared" si="24"/>
        <v>20013.082661604672</v>
      </c>
      <c r="AS53" s="100">
        <f t="shared" si="24"/>
        <v>12915.973057082216</v>
      </c>
      <c r="AT53" s="100">
        <f t="shared" si="24"/>
        <v>12915.973057082216</v>
      </c>
      <c r="AU53" s="105">
        <f t="shared" si="21"/>
        <v>13398053.473936601</v>
      </c>
    </row>
    <row r="54" spans="1:47" x14ac:dyDescent="0.2">
      <c r="A54" s="136">
        <f t="shared" si="16"/>
        <v>24</v>
      </c>
      <c r="B54" s="2" t="s">
        <v>67</v>
      </c>
      <c r="C54" s="2"/>
      <c r="D54" s="122"/>
      <c r="E54" s="38">
        <f>E52-E53</f>
        <v>2757486.6098910645</v>
      </c>
      <c r="F54" s="102">
        <f t="shared" ref="F54:AT54" si="25">F52-F53</f>
        <v>2642333.990532238</v>
      </c>
      <c r="G54" s="102">
        <f t="shared" si="25"/>
        <v>2548590.713864428</v>
      </c>
      <c r="H54" s="102">
        <f t="shared" si="25"/>
        <v>2457872.8046994102</v>
      </c>
      <c r="I54" s="102">
        <f t="shared" si="25"/>
        <v>2369953.7959880317</v>
      </c>
      <c r="J54" s="102">
        <f t="shared" si="25"/>
        <v>2284624.6412233813</v>
      </c>
      <c r="K54" s="102">
        <f t="shared" si="25"/>
        <v>2201690.8110170835</v>
      </c>
      <c r="L54" s="102">
        <f t="shared" si="25"/>
        <v>2120972.2930992986</v>
      </c>
      <c r="M54" s="102">
        <f t="shared" si="25"/>
        <v>2041490.6336807366</v>
      </c>
      <c r="N54" s="102">
        <f t="shared" si="25"/>
        <v>1962186.0831083071</v>
      </c>
      <c r="O54" s="102">
        <f t="shared" si="25"/>
        <v>1882881.5325358771</v>
      </c>
      <c r="P54" s="102">
        <f t="shared" si="25"/>
        <v>1803576.9819634473</v>
      </c>
      <c r="Q54" s="102">
        <f t="shared" si="25"/>
        <v>1724272.431391018</v>
      </c>
      <c r="R54" s="102">
        <f t="shared" si="25"/>
        <v>1644967.8808185887</v>
      </c>
      <c r="S54" s="102">
        <f t="shared" si="25"/>
        <v>1565663.3302461591</v>
      </c>
      <c r="T54" s="102">
        <f t="shared" si="25"/>
        <v>1486358.7796737293</v>
      </c>
      <c r="U54" s="102">
        <f t="shared" si="25"/>
        <v>1407054.2291012993</v>
      </c>
      <c r="V54" s="102">
        <f t="shared" si="25"/>
        <v>1327749.6785288702</v>
      </c>
      <c r="W54" s="102">
        <f t="shared" si="25"/>
        <v>1248445.1279564402</v>
      </c>
      <c r="X54" s="102">
        <f t="shared" si="25"/>
        <v>1169140.5773840109</v>
      </c>
      <c r="Y54" s="102">
        <f t="shared" si="25"/>
        <v>1096313.5651021088</v>
      </c>
      <c r="Z54" s="102">
        <f t="shared" si="25"/>
        <v>1036438.7259775549</v>
      </c>
      <c r="AA54" s="102">
        <f t="shared" si="25"/>
        <v>983041.42514352861</v>
      </c>
      <c r="AB54" s="102">
        <f t="shared" si="25"/>
        <v>929644.12430950231</v>
      </c>
      <c r="AC54" s="102">
        <f t="shared" si="25"/>
        <v>876246.82347547624</v>
      </c>
      <c r="AD54" s="102">
        <f t="shared" si="25"/>
        <v>822849.52264144993</v>
      </c>
      <c r="AE54" s="102">
        <f t="shared" si="25"/>
        <v>769452.22180742386</v>
      </c>
      <c r="AF54" s="102">
        <f t="shared" si="25"/>
        <v>716054.92097339767</v>
      </c>
      <c r="AG54" s="102">
        <f t="shared" si="25"/>
        <v>662657.6201393716</v>
      </c>
      <c r="AH54" s="102">
        <f t="shared" si="25"/>
        <v>609260.31930534542</v>
      </c>
      <c r="AI54" s="102">
        <f t="shared" si="25"/>
        <v>555863.01847131934</v>
      </c>
      <c r="AJ54" s="102">
        <f t="shared" si="25"/>
        <v>502465.71763729316</v>
      </c>
      <c r="AK54" s="102">
        <f t="shared" si="25"/>
        <v>449068.41680326697</v>
      </c>
      <c r="AL54" s="102">
        <f t="shared" si="25"/>
        <v>395671.1159692409</v>
      </c>
      <c r="AM54" s="102">
        <f t="shared" si="25"/>
        <v>342273.81513521483</v>
      </c>
      <c r="AN54" s="102">
        <f t="shared" si="25"/>
        <v>288876.51430118876</v>
      </c>
      <c r="AO54" s="102">
        <f t="shared" si="25"/>
        <v>235479.2134671626</v>
      </c>
      <c r="AP54" s="102">
        <f t="shared" si="25"/>
        <v>182081.9126331365</v>
      </c>
      <c r="AQ54" s="102">
        <f t="shared" si="25"/>
        <v>128684.61179911037</v>
      </c>
      <c r="AR54" s="102">
        <f t="shared" si="25"/>
        <v>75287.310965084253</v>
      </c>
      <c r="AS54" s="102">
        <f t="shared" ref="AS54" si="26">AS52-AS53</f>
        <v>48588.660548071195</v>
      </c>
      <c r="AT54" s="102">
        <f t="shared" si="25"/>
        <v>48588.660548071195</v>
      </c>
      <c r="AU54" s="105">
        <f t="shared" si="21"/>
        <v>50402201.163856745</v>
      </c>
    </row>
    <row r="55" spans="1:47" x14ac:dyDescent="0.2">
      <c r="A55" s="136">
        <f t="shared" si="16"/>
        <v>25</v>
      </c>
      <c r="B55" s="2"/>
      <c r="C55" s="2"/>
      <c r="D55" s="122"/>
      <c r="E55" s="124"/>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05">
        <f t="shared" si="21"/>
        <v>0</v>
      </c>
    </row>
    <row r="56" spans="1:47" x14ac:dyDescent="0.2">
      <c r="A56" s="136">
        <f t="shared" si="16"/>
        <v>26</v>
      </c>
      <c r="B56" s="2"/>
      <c r="C56" s="2"/>
      <c r="D56" s="122"/>
      <c r="E56" s="84"/>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05">
        <f t="shared" si="21"/>
        <v>0</v>
      </c>
    </row>
    <row r="57" spans="1:47" x14ac:dyDescent="0.2">
      <c r="A57" s="136">
        <f t="shared" si="16"/>
        <v>27</v>
      </c>
      <c r="B57" s="2" t="s">
        <v>68</v>
      </c>
      <c r="C57" s="2"/>
      <c r="D57" s="122"/>
      <c r="E57" s="38">
        <f>E27</f>
        <v>1482270.176383141</v>
      </c>
      <c r="F57" s="102">
        <f>F27</f>
        <v>1482270.176383141</v>
      </c>
      <c r="G57" s="102">
        <f>G27</f>
        <v>1482270.176383141</v>
      </c>
      <c r="H57" s="102">
        <f t="shared" ref="H57:AT57" si="27">H27</f>
        <v>1482270.176383141</v>
      </c>
      <c r="I57" s="102">
        <f t="shared" si="27"/>
        <v>1482270.176383141</v>
      </c>
      <c r="J57" s="102">
        <f t="shared" si="27"/>
        <v>1482270.176383141</v>
      </c>
      <c r="K57" s="102">
        <f t="shared" si="27"/>
        <v>1482270.176383141</v>
      </c>
      <c r="L57" s="102">
        <f t="shared" si="27"/>
        <v>1482270.176383141</v>
      </c>
      <c r="M57" s="102">
        <f t="shared" si="27"/>
        <v>1482270.176383141</v>
      </c>
      <c r="N57" s="102">
        <f t="shared" si="27"/>
        <v>1482270.176383141</v>
      </c>
      <c r="O57" s="102">
        <f t="shared" si="27"/>
        <v>1482270.176383141</v>
      </c>
      <c r="P57" s="102">
        <f t="shared" si="27"/>
        <v>1482270.176383141</v>
      </c>
      <c r="Q57" s="102">
        <f t="shared" si="27"/>
        <v>1482270.176383141</v>
      </c>
      <c r="R57" s="102">
        <f t="shared" si="27"/>
        <v>1482270.176383141</v>
      </c>
      <c r="S57" s="102">
        <f t="shared" si="27"/>
        <v>1482270.176383141</v>
      </c>
      <c r="T57" s="102">
        <f t="shared" si="27"/>
        <v>1482270.176383141</v>
      </c>
      <c r="U57" s="102">
        <f t="shared" si="27"/>
        <v>1482270.176383141</v>
      </c>
      <c r="V57" s="102">
        <f t="shared" si="27"/>
        <v>1482270.176383141</v>
      </c>
      <c r="W57" s="102">
        <f t="shared" si="27"/>
        <v>1482270.176383141</v>
      </c>
      <c r="X57" s="102">
        <f t="shared" si="27"/>
        <v>1482270.176383141</v>
      </c>
      <c r="Y57" s="102">
        <f t="shared" si="27"/>
        <v>1482270.176383141</v>
      </c>
      <c r="Z57" s="102">
        <f t="shared" si="27"/>
        <v>1482270.176383141</v>
      </c>
      <c r="AA57" s="102">
        <f t="shared" si="27"/>
        <v>1482270.176383141</v>
      </c>
      <c r="AB57" s="102">
        <f t="shared" si="27"/>
        <v>1482270.176383141</v>
      </c>
      <c r="AC57" s="102">
        <f t="shared" si="27"/>
        <v>1482270.176383141</v>
      </c>
      <c r="AD57" s="102">
        <f t="shared" si="27"/>
        <v>1482270.176383141</v>
      </c>
      <c r="AE57" s="102">
        <f t="shared" si="27"/>
        <v>1482270.176383141</v>
      </c>
      <c r="AF57" s="102">
        <f t="shared" si="27"/>
        <v>1482270.176383141</v>
      </c>
      <c r="AG57" s="102">
        <f t="shared" si="27"/>
        <v>1482270.176383141</v>
      </c>
      <c r="AH57" s="102">
        <f t="shared" si="27"/>
        <v>1482270.176383141</v>
      </c>
      <c r="AI57" s="102">
        <f t="shared" si="27"/>
        <v>1482270.176383141</v>
      </c>
      <c r="AJ57" s="102">
        <f t="shared" si="27"/>
        <v>1482270.176383141</v>
      </c>
      <c r="AK57" s="102">
        <f t="shared" si="27"/>
        <v>1482270.176383141</v>
      </c>
      <c r="AL57" s="102">
        <f t="shared" si="27"/>
        <v>1482270.176383141</v>
      </c>
      <c r="AM57" s="102">
        <f t="shared" si="27"/>
        <v>1482270.176383141</v>
      </c>
      <c r="AN57" s="102">
        <f t="shared" si="27"/>
        <v>1482270.176383141</v>
      </c>
      <c r="AO57" s="102">
        <f t="shared" si="27"/>
        <v>1482270.176383141</v>
      </c>
      <c r="AP57" s="102">
        <f t="shared" si="27"/>
        <v>1482270.176383141</v>
      </c>
      <c r="AQ57" s="102">
        <f t="shared" si="27"/>
        <v>1482270.176383141</v>
      </c>
      <c r="AR57" s="102">
        <f t="shared" si="27"/>
        <v>1482270.176383141</v>
      </c>
      <c r="AS57" s="102">
        <f t="shared" ref="AS57" si="28">AS27</f>
        <v>0</v>
      </c>
      <c r="AT57" s="102">
        <f t="shared" si="27"/>
        <v>0</v>
      </c>
      <c r="AU57" s="105">
        <f t="shared" si="21"/>
        <v>59290807.05532559</v>
      </c>
    </row>
    <row r="58" spans="1:47" x14ac:dyDescent="0.2">
      <c r="A58" s="136">
        <f t="shared" si="16"/>
        <v>28</v>
      </c>
      <c r="B58" s="2" t="s">
        <v>69</v>
      </c>
      <c r="C58" s="2"/>
      <c r="D58" s="122"/>
      <c r="E58" s="38">
        <f>$F22*E62</f>
        <v>2273984.7329999995</v>
      </c>
      <c r="F58" s="102">
        <f t="shared" ref="F58:AT58" si="29">$F22*F62</f>
        <v>4377572.2100072</v>
      </c>
      <c r="G58" s="102">
        <f t="shared" si="29"/>
        <v>4048905.6165975993</v>
      </c>
      <c r="H58" s="102">
        <f t="shared" si="29"/>
        <v>3745707.6521975994</v>
      </c>
      <c r="I58" s="102">
        <f t="shared" si="29"/>
        <v>3464339.9412343996</v>
      </c>
      <c r="J58" s="102">
        <f t="shared" si="29"/>
        <v>3204802.4837079998</v>
      </c>
      <c r="K58" s="102">
        <f t="shared" si="29"/>
        <v>2964063.2999743996</v>
      </c>
      <c r="L58" s="102">
        <f t="shared" si="29"/>
        <v>2742122.3900335999</v>
      </c>
      <c r="M58" s="102">
        <f t="shared" si="29"/>
        <v>2705738.6343055996</v>
      </c>
      <c r="N58" s="102">
        <f t="shared" si="29"/>
        <v>2705132.2383768</v>
      </c>
      <c r="O58" s="102">
        <f t="shared" si="29"/>
        <v>2705738.6343055996</v>
      </c>
      <c r="P58" s="102">
        <f t="shared" si="29"/>
        <v>2705132.2383768</v>
      </c>
      <c r="Q58" s="102">
        <f t="shared" si="29"/>
        <v>2705738.6343055996</v>
      </c>
      <c r="R58" s="102">
        <f t="shared" si="29"/>
        <v>2705132.2383768</v>
      </c>
      <c r="S58" s="102">
        <f t="shared" si="29"/>
        <v>2705738.6343055996</v>
      </c>
      <c r="T58" s="102">
        <f t="shared" si="29"/>
        <v>2705132.2383768</v>
      </c>
      <c r="U58" s="102">
        <f t="shared" si="29"/>
        <v>2705738.6343055996</v>
      </c>
      <c r="V58" s="102">
        <f t="shared" si="29"/>
        <v>2705132.2383768</v>
      </c>
      <c r="W58" s="102">
        <f t="shared" si="29"/>
        <v>2705738.6343055996</v>
      </c>
      <c r="X58" s="102">
        <f t="shared" si="29"/>
        <v>2705132.2383768</v>
      </c>
      <c r="Y58" s="102">
        <f t="shared" si="29"/>
        <v>1352869.3171527998</v>
      </c>
      <c r="Z58" s="102">
        <f t="shared" si="29"/>
        <v>0</v>
      </c>
      <c r="AA58" s="102">
        <f t="shared" si="29"/>
        <v>0</v>
      </c>
      <c r="AB58" s="102">
        <f t="shared" si="29"/>
        <v>0</v>
      </c>
      <c r="AC58" s="102">
        <f t="shared" si="29"/>
        <v>0</v>
      </c>
      <c r="AD58" s="102">
        <f t="shared" si="29"/>
        <v>0</v>
      </c>
      <c r="AE58" s="102">
        <f t="shared" si="29"/>
        <v>0</v>
      </c>
      <c r="AF58" s="102">
        <f t="shared" si="29"/>
        <v>0</v>
      </c>
      <c r="AG58" s="102">
        <f t="shared" si="29"/>
        <v>0</v>
      </c>
      <c r="AH58" s="102">
        <f t="shared" si="29"/>
        <v>0</v>
      </c>
      <c r="AI58" s="102">
        <f t="shared" si="29"/>
        <v>0</v>
      </c>
      <c r="AJ58" s="102">
        <f t="shared" si="29"/>
        <v>0</v>
      </c>
      <c r="AK58" s="102">
        <f t="shared" si="29"/>
        <v>0</v>
      </c>
      <c r="AL58" s="102">
        <f t="shared" si="29"/>
        <v>0</v>
      </c>
      <c r="AM58" s="102">
        <f t="shared" si="29"/>
        <v>0</v>
      </c>
      <c r="AN58" s="102">
        <f t="shared" si="29"/>
        <v>0</v>
      </c>
      <c r="AO58" s="102">
        <f t="shared" si="29"/>
        <v>0</v>
      </c>
      <c r="AP58" s="102">
        <f t="shared" si="29"/>
        <v>0</v>
      </c>
      <c r="AQ58" s="102">
        <f t="shared" si="29"/>
        <v>0</v>
      </c>
      <c r="AR58" s="102">
        <f t="shared" si="29"/>
        <v>0</v>
      </c>
      <c r="AS58" s="102">
        <f t="shared" ref="AS58" si="30">$F22*AS62</f>
        <v>0</v>
      </c>
      <c r="AT58" s="102">
        <f t="shared" si="29"/>
        <v>0</v>
      </c>
      <c r="AU58" s="105">
        <f t="shared" si="21"/>
        <v>60639592.879999965</v>
      </c>
    </row>
    <row r="59" spans="1:47" x14ac:dyDescent="0.2">
      <c r="A59" s="136">
        <f t="shared" si="16"/>
        <v>29</v>
      </c>
      <c r="B59" s="2" t="s">
        <v>70</v>
      </c>
      <c r="C59" s="2"/>
      <c r="D59" s="122"/>
      <c r="E59" s="38">
        <f>E58-E57</f>
        <v>791714.55661685858</v>
      </c>
      <c r="F59" s="102">
        <f>F58-F57</f>
        <v>2895302.0336240591</v>
      </c>
      <c r="G59" s="102">
        <f>G58-G57</f>
        <v>2566635.4402144584</v>
      </c>
      <c r="H59" s="102">
        <f t="shared" ref="H59:AT59" si="31">H58-H57</f>
        <v>2263437.4758144584</v>
      </c>
      <c r="I59" s="102">
        <f t="shared" si="31"/>
        <v>1982069.7648512586</v>
      </c>
      <c r="J59" s="102">
        <f t="shared" si="31"/>
        <v>1722532.3073248588</v>
      </c>
      <c r="K59" s="102">
        <f t="shared" si="31"/>
        <v>1481793.1235912587</v>
      </c>
      <c r="L59" s="102">
        <f t="shared" si="31"/>
        <v>1259852.213650459</v>
      </c>
      <c r="M59" s="102">
        <f t="shared" si="31"/>
        <v>1223468.4579224586</v>
      </c>
      <c r="N59" s="102">
        <f t="shared" si="31"/>
        <v>1222862.061993659</v>
      </c>
      <c r="O59" s="102">
        <f t="shared" si="31"/>
        <v>1223468.4579224586</v>
      </c>
      <c r="P59" s="102">
        <f t="shared" si="31"/>
        <v>1222862.061993659</v>
      </c>
      <c r="Q59" s="102">
        <f t="shared" si="31"/>
        <v>1223468.4579224586</v>
      </c>
      <c r="R59" s="102">
        <f t="shared" si="31"/>
        <v>1222862.061993659</v>
      </c>
      <c r="S59" s="102">
        <f t="shared" si="31"/>
        <v>1223468.4579224586</v>
      </c>
      <c r="T59" s="102">
        <f t="shared" si="31"/>
        <v>1222862.061993659</v>
      </c>
      <c r="U59" s="102">
        <f t="shared" si="31"/>
        <v>1223468.4579224586</v>
      </c>
      <c r="V59" s="102">
        <f t="shared" si="31"/>
        <v>1222862.061993659</v>
      </c>
      <c r="W59" s="102">
        <f t="shared" si="31"/>
        <v>1223468.4579224586</v>
      </c>
      <c r="X59" s="102">
        <f t="shared" si="31"/>
        <v>1222862.061993659</v>
      </c>
      <c r="Y59" s="102">
        <f t="shared" si="31"/>
        <v>-129400.85923034116</v>
      </c>
      <c r="Z59" s="102">
        <f t="shared" si="31"/>
        <v>-1482270.176383141</v>
      </c>
      <c r="AA59" s="102">
        <f t="shared" si="31"/>
        <v>-1482270.176383141</v>
      </c>
      <c r="AB59" s="102">
        <f t="shared" si="31"/>
        <v>-1482270.176383141</v>
      </c>
      <c r="AC59" s="102">
        <f t="shared" si="31"/>
        <v>-1482270.176383141</v>
      </c>
      <c r="AD59" s="102">
        <f t="shared" si="31"/>
        <v>-1482270.176383141</v>
      </c>
      <c r="AE59" s="102">
        <f t="shared" si="31"/>
        <v>-1482270.176383141</v>
      </c>
      <c r="AF59" s="102">
        <f t="shared" si="31"/>
        <v>-1482270.176383141</v>
      </c>
      <c r="AG59" s="102">
        <f t="shared" si="31"/>
        <v>-1482270.176383141</v>
      </c>
      <c r="AH59" s="102">
        <f t="shared" si="31"/>
        <v>-1482270.176383141</v>
      </c>
      <c r="AI59" s="102">
        <f t="shared" si="31"/>
        <v>-1482270.176383141</v>
      </c>
      <c r="AJ59" s="102">
        <f t="shared" si="31"/>
        <v>-1482270.176383141</v>
      </c>
      <c r="AK59" s="102">
        <f t="shared" si="31"/>
        <v>-1482270.176383141</v>
      </c>
      <c r="AL59" s="102">
        <f t="shared" si="31"/>
        <v>-1482270.176383141</v>
      </c>
      <c r="AM59" s="102">
        <f t="shared" si="31"/>
        <v>-1482270.176383141</v>
      </c>
      <c r="AN59" s="102">
        <f t="shared" si="31"/>
        <v>-1482270.176383141</v>
      </c>
      <c r="AO59" s="102">
        <f t="shared" si="31"/>
        <v>-1482270.176383141</v>
      </c>
      <c r="AP59" s="102">
        <f t="shared" si="31"/>
        <v>-1482270.176383141</v>
      </c>
      <c r="AQ59" s="102">
        <f t="shared" si="31"/>
        <v>-1482270.176383141</v>
      </c>
      <c r="AR59" s="102">
        <f t="shared" si="31"/>
        <v>-1482270.176383141</v>
      </c>
      <c r="AS59" s="102">
        <f t="shared" ref="AS59" si="32">AS58-AS57</f>
        <v>0</v>
      </c>
      <c r="AT59" s="102">
        <f t="shared" si="31"/>
        <v>0</v>
      </c>
      <c r="AU59" s="105">
        <f t="shared" si="21"/>
        <v>1348785.8246743502</v>
      </c>
    </row>
    <row r="60" spans="1:47" x14ac:dyDescent="0.2">
      <c r="A60" s="136">
        <f t="shared" si="16"/>
        <v>30</v>
      </c>
      <c r="B60" s="2" t="s">
        <v>71</v>
      </c>
      <c r="C60" s="2"/>
      <c r="D60" s="122"/>
      <c r="E60" s="38">
        <f>E59*$F$15</f>
        <v>166260.05688954028</v>
      </c>
      <c r="F60" s="102">
        <f>F59*$G$15</f>
        <v>608013.42706105241</v>
      </c>
      <c r="G60" s="102">
        <f t="shared" ref="G60:AT60" si="33">G59*$G$15</f>
        <v>538993.44244503626</v>
      </c>
      <c r="H60" s="102">
        <f t="shared" si="33"/>
        <v>475321.86992103624</v>
      </c>
      <c r="I60" s="102">
        <f t="shared" si="33"/>
        <v>416234.65061876428</v>
      </c>
      <c r="J60" s="102">
        <f t="shared" si="33"/>
        <v>361731.78453822032</v>
      </c>
      <c r="K60" s="102">
        <f t="shared" si="33"/>
        <v>311176.5559541643</v>
      </c>
      <c r="L60" s="102">
        <f t="shared" si="33"/>
        <v>264568.96486659639</v>
      </c>
      <c r="M60" s="102">
        <f t="shared" si="33"/>
        <v>256928.37616371631</v>
      </c>
      <c r="N60" s="102">
        <f t="shared" si="33"/>
        <v>256801.03301866839</v>
      </c>
      <c r="O60" s="102">
        <f t="shared" si="33"/>
        <v>256928.37616371631</v>
      </c>
      <c r="P60" s="102">
        <f t="shared" si="33"/>
        <v>256801.03301866839</v>
      </c>
      <c r="Q60" s="102">
        <f t="shared" si="33"/>
        <v>256928.37616371631</v>
      </c>
      <c r="R60" s="102">
        <f t="shared" si="33"/>
        <v>256801.03301866839</v>
      </c>
      <c r="S60" s="102">
        <f t="shared" si="33"/>
        <v>256928.37616371631</v>
      </c>
      <c r="T60" s="102">
        <f t="shared" si="33"/>
        <v>256801.03301866839</v>
      </c>
      <c r="U60" s="102">
        <f t="shared" si="33"/>
        <v>256928.37616371631</v>
      </c>
      <c r="V60" s="102">
        <f t="shared" si="33"/>
        <v>256801.03301866839</v>
      </c>
      <c r="W60" s="102">
        <f t="shared" si="33"/>
        <v>256928.37616371631</v>
      </c>
      <c r="X60" s="102">
        <f t="shared" si="33"/>
        <v>256801.03301866839</v>
      </c>
      <c r="Y60" s="102">
        <f t="shared" si="33"/>
        <v>-27174.180438371641</v>
      </c>
      <c r="Z60" s="102">
        <f t="shared" si="33"/>
        <v>-311276.73704045959</v>
      </c>
      <c r="AA60" s="102">
        <f t="shared" si="33"/>
        <v>-311276.73704045959</v>
      </c>
      <c r="AB60" s="102">
        <f t="shared" si="33"/>
        <v>-311276.73704045959</v>
      </c>
      <c r="AC60" s="102">
        <f t="shared" si="33"/>
        <v>-311276.73704045959</v>
      </c>
      <c r="AD60" s="102">
        <f t="shared" si="33"/>
        <v>-311276.73704045959</v>
      </c>
      <c r="AE60" s="102">
        <f t="shared" si="33"/>
        <v>-311276.73704045959</v>
      </c>
      <c r="AF60" s="102">
        <f t="shared" si="33"/>
        <v>-311276.73704045959</v>
      </c>
      <c r="AG60" s="102">
        <f t="shared" si="33"/>
        <v>-311276.73704045959</v>
      </c>
      <c r="AH60" s="102">
        <f t="shared" si="33"/>
        <v>-311276.73704045959</v>
      </c>
      <c r="AI60" s="102">
        <f t="shared" si="33"/>
        <v>-311276.73704045959</v>
      </c>
      <c r="AJ60" s="102">
        <f t="shared" si="33"/>
        <v>-311276.73704045959</v>
      </c>
      <c r="AK60" s="102">
        <f t="shared" si="33"/>
        <v>-311276.73704045959</v>
      </c>
      <c r="AL60" s="102">
        <f t="shared" si="33"/>
        <v>-311276.73704045959</v>
      </c>
      <c r="AM60" s="102">
        <f t="shared" si="33"/>
        <v>-311276.73704045959</v>
      </c>
      <c r="AN60" s="102">
        <f t="shared" si="33"/>
        <v>-311276.73704045959</v>
      </c>
      <c r="AO60" s="102">
        <f t="shared" si="33"/>
        <v>-311276.73704045959</v>
      </c>
      <c r="AP60" s="102">
        <f t="shared" si="33"/>
        <v>-311276.73704045959</v>
      </c>
      <c r="AQ60" s="102">
        <f t="shared" si="33"/>
        <v>-311276.73704045959</v>
      </c>
      <c r="AR60" s="102">
        <f t="shared" si="33"/>
        <v>-311276.73704045959</v>
      </c>
      <c r="AS60" s="102">
        <f t="shared" si="33"/>
        <v>0</v>
      </c>
      <c r="AT60" s="102">
        <f t="shared" si="33"/>
        <v>0</v>
      </c>
      <c r="AU60" s="105">
        <f t="shared" si="21"/>
        <v>283245.02318161592</v>
      </c>
    </row>
    <row r="61" spans="1:47" x14ac:dyDescent="0.2">
      <c r="A61" s="136">
        <f t="shared" si="16"/>
        <v>31</v>
      </c>
      <c r="B61" s="2"/>
      <c r="C61" s="2"/>
      <c r="D61" s="122"/>
      <c r="E61" s="84"/>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22"/>
    </row>
    <row r="62" spans="1:47" s="50" customFormat="1" x14ac:dyDescent="0.2">
      <c r="A62" s="136">
        <f t="shared" si="16"/>
        <v>32</v>
      </c>
      <c r="B62" s="2" t="str">
        <f t="shared" ref="B62" si="34">IF($F$18=1,B66,B65)</f>
        <v>MACRS Depreciation - 20</v>
      </c>
      <c r="C62" s="2"/>
      <c r="D62" s="47"/>
      <c r="E62" s="62">
        <f t="shared" ref="E62" si="35">IF($F$18=1,E66,E65)</f>
        <v>3.7499999999999999E-2</v>
      </c>
      <c r="F62" s="58">
        <f>IF($F$18=1,F66,F65)</f>
        <v>7.2190000000000004E-2</v>
      </c>
      <c r="G62" s="58">
        <f t="shared" ref="G62:Y62" si="36">IF($F$18=1,G66,G65)</f>
        <v>6.6769999999999996E-2</v>
      </c>
      <c r="H62" s="58">
        <f t="shared" si="36"/>
        <v>6.1769999999999999E-2</v>
      </c>
      <c r="I62" s="58">
        <f t="shared" si="36"/>
        <v>5.713E-2</v>
      </c>
      <c r="J62" s="58">
        <f t="shared" si="36"/>
        <v>5.2850000000000001E-2</v>
      </c>
      <c r="K62" s="58">
        <f t="shared" si="36"/>
        <v>4.888E-2</v>
      </c>
      <c r="L62" s="58">
        <f t="shared" si="36"/>
        <v>4.5220000000000003E-2</v>
      </c>
      <c r="M62" s="58">
        <f t="shared" si="36"/>
        <v>4.462E-2</v>
      </c>
      <c r="N62" s="58">
        <f t="shared" si="36"/>
        <v>4.4610000000000004E-2</v>
      </c>
      <c r="O62" s="58">
        <f t="shared" si="36"/>
        <v>4.462E-2</v>
      </c>
      <c r="P62" s="58">
        <f t="shared" si="36"/>
        <v>4.4610000000000004E-2</v>
      </c>
      <c r="Q62" s="58">
        <f t="shared" si="36"/>
        <v>4.462E-2</v>
      </c>
      <c r="R62" s="58">
        <f t="shared" si="36"/>
        <v>4.4610000000000004E-2</v>
      </c>
      <c r="S62" s="58">
        <f t="shared" si="36"/>
        <v>4.462E-2</v>
      </c>
      <c r="T62" s="58">
        <f t="shared" si="36"/>
        <v>4.4610000000000004E-2</v>
      </c>
      <c r="U62" s="58">
        <f t="shared" si="36"/>
        <v>4.462E-2</v>
      </c>
      <c r="V62" s="58">
        <f t="shared" si="36"/>
        <v>4.4610000000000004E-2</v>
      </c>
      <c r="W62" s="58">
        <f t="shared" si="36"/>
        <v>4.462E-2</v>
      </c>
      <c r="X62" s="58">
        <f t="shared" si="36"/>
        <v>4.4610000000000004E-2</v>
      </c>
      <c r="Y62" s="58">
        <f t="shared" si="36"/>
        <v>2.231E-2</v>
      </c>
      <c r="Z62" s="48"/>
      <c r="AA62" s="48"/>
      <c r="AB62" s="48"/>
      <c r="AC62" s="48"/>
      <c r="AD62" s="48"/>
      <c r="AE62" s="48"/>
      <c r="AF62" s="48"/>
      <c r="AG62" s="48"/>
      <c r="AH62" s="48"/>
      <c r="AI62" s="48"/>
      <c r="AJ62" s="48"/>
      <c r="AK62" s="48"/>
      <c r="AL62" s="48"/>
      <c r="AM62" s="48"/>
      <c r="AN62" s="48"/>
      <c r="AO62" s="48"/>
      <c r="AP62" s="47"/>
    </row>
    <row r="63" spans="1:47" outlineLevel="1" x14ac:dyDescent="0.25">
      <c r="A63" s="136">
        <f t="shared" si="16"/>
        <v>33</v>
      </c>
      <c r="B63" s="2"/>
      <c r="C63" s="125"/>
      <c r="E63" s="126"/>
      <c r="F63" s="127"/>
      <c r="G63" s="127"/>
      <c r="H63" s="127"/>
      <c r="I63" s="127"/>
      <c r="J63" s="127"/>
      <c r="K63" s="127"/>
      <c r="L63" s="127"/>
      <c r="M63" s="128"/>
      <c r="N63" s="128"/>
      <c r="O63" s="128"/>
      <c r="P63" s="128"/>
      <c r="Q63" s="128"/>
      <c r="R63" s="128"/>
      <c r="S63" s="128"/>
      <c r="T63" s="128"/>
      <c r="U63" s="128"/>
      <c r="V63" s="128"/>
      <c r="W63" s="128"/>
      <c r="X63" s="128"/>
      <c r="Y63" s="128"/>
      <c r="Z63" s="122"/>
      <c r="AA63" s="122"/>
      <c r="AB63" s="122"/>
      <c r="AC63" s="122"/>
      <c r="AD63" s="122"/>
      <c r="AE63" s="122"/>
      <c r="AF63" s="122"/>
      <c r="AG63" s="122"/>
      <c r="AH63" s="122"/>
      <c r="AI63" s="122"/>
      <c r="AJ63" s="122"/>
      <c r="AK63" s="122"/>
      <c r="AL63" s="122"/>
      <c r="AM63" s="122"/>
      <c r="AN63" s="122"/>
      <c r="AO63" s="3"/>
    </row>
    <row r="64" spans="1:47" outlineLevel="1" x14ac:dyDescent="0.25">
      <c r="A64" s="136">
        <f t="shared" si="16"/>
        <v>34</v>
      </c>
      <c r="B64" s="2"/>
      <c r="C64" s="125"/>
      <c r="E64" s="126"/>
      <c r="F64" s="127"/>
      <c r="G64" s="127"/>
      <c r="H64" s="127"/>
      <c r="I64" s="127"/>
      <c r="J64" s="127"/>
      <c r="K64" s="127"/>
      <c r="L64" s="127"/>
      <c r="M64" s="128"/>
      <c r="N64" s="128"/>
      <c r="O64" s="128"/>
      <c r="P64" s="128"/>
      <c r="Q64" s="128"/>
      <c r="R64" s="128"/>
      <c r="S64" s="128"/>
      <c r="T64" s="128"/>
      <c r="U64" s="128"/>
      <c r="V64" s="128"/>
      <c r="W64" s="128"/>
      <c r="X64" s="128"/>
      <c r="Y64" s="128"/>
      <c r="Z64" s="122"/>
      <c r="AA64" s="122"/>
      <c r="AB64" s="122"/>
      <c r="AC64" s="122"/>
      <c r="AD64" s="122"/>
      <c r="AE64" s="122"/>
      <c r="AF64" s="122"/>
      <c r="AG64" s="122"/>
      <c r="AH64" s="122"/>
      <c r="AI64" s="122"/>
      <c r="AJ64" s="122"/>
      <c r="AK64" s="122"/>
      <c r="AL64" s="122"/>
      <c r="AM64" s="122"/>
      <c r="AN64" s="122"/>
      <c r="AO64" s="3"/>
    </row>
    <row r="65" spans="1:42" s="50" customFormat="1" x14ac:dyDescent="0.25">
      <c r="A65" s="136">
        <f t="shared" si="16"/>
        <v>35</v>
      </c>
      <c r="B65" s="2" t="s">
        <v>72</v>
      </c>
      <c r="C65" s="2"/>
      <c r="D65" s="51">
        <v>0</v>
      </c>
      <c r="E65" s="59">
        <f>'MACRS 20'!B5</f>
        <v>3.7499999999999999E-2</v>
      </c>
      <c r="F65" s="58">
        <f>'MACRS 20'!C5</f>
        <v>7.2190000000000004E-2</v>
      </c>
      <c r="G65" s="58">
        <f>'MACRS 20'!D5</f>
        <v>6.6769999999999996E-2</v>
      </c>
      <c r="H65" s="60">
        <f>'MACRS 20'!E5</f>
        <v>6.1769999999999999E-2</v>
      </c>
      <c r="I65" s="60">
        <f>'MACRS 20'!F5</f>
        <v>5.713E-2</v>
      </c>
      <c r="J65" s="60">
        <f>'MACRS 20'!G5</f>
        <v>5.2850000000000001E-2</v>
      </c>
      <c r="K65" s="60">
        <f>'MACRS 20'!H5</f>
        <v>4.888E-2</v>
      </c>
      <c r="L65" s="60">
        <f>'MACRS 20'!I5</f>
        <v>4.5220000000000003E-2</v>
      </c>
      <c r="M65" s="60">
        <f>'MACRS 20'!J5</f>
        <v>4.462E-2</v>
      </c>
      <c r="N65" s="60">
        <f>'MACRS 20'!K5</f>
        <v>4.4610000000000004E-2</v>
      </c>
      <c r="O65" s="60">
        <f>'MACRS 20'!L5</f>
        <v>4.462E-2</v>
      </c>
      <c r="P65" s="60">
        <f>'MACRS 20'!M5</f>
        <v>4.4610000000000004E-2</v>
      </c>
      <c r="Q65" s="60">
        <f>'MACRS 20'!N5</f>
        <v>4.462E-2</v>
      </c>
      <c r="R65" s="60">
        <f>'MACRS 20'!O5</f>
        <v>4.4610000000000004E-2</v>
      </c>
      <c r="S65" s="60">
        <f>'MACRS 20'!P5</f>
        <v>4.462E-2</v>
      </c>
      <c r="T65" s="60">
        <f>'MACRS 20'!Q5</f>
        <v>4.4610000000000004E-2</v>
      </c>
      <c r="U65" s="60">
        <f>'MACRS 20'!R5</f>
        <v>4.462E-2</v>
      </c>
      <c r="V65" s="60">
        <f>'MACRS 20'!S5</f>
        <v>4.4610000000000004E-2</v>
      </c>
      <c r="W65" s="60">
        <f>'MACRS 20'!T5</f>
        <v>4.462E-2</v>
      </c>
      <c r="X65" s="60">
        <f>'MACRS 20'!U5</f>
        <v>4.4610000000000004E-2</v>
      </c>
      <c r="Y65" s="60">
        <f>'MACRS 20'!V5</f>
        <v>2.231E-2</v>
      </c>
      <c r="Z65" s="52"/>
      <c r="AA65" s="48"/>
      <c r="AB65" s="48"/>
      <c r="AC65" s="48"/>
      <c r="AD65" s="48"/>
      <c r="AE65" s="48"/>
      <c r="AF65" s="48"/>
      <c r="AG65" s="48"/>
      <c r="AH65" s="48"/>
      <c r="AI65" s="48"/>
      <c r="AJ65" s="48"/>
      <c r="AK65" s="48"/>
      <c r="AL65" s="48"/>
      <c r="AM65" s="48"/>
      <c r="AN65" s="47"/>
      <c r="AP65" s="53"/>
    </row>
    <row r="66" spans="1:42" x14ac:dyDescent="0.2">
      <c r="A66" s="136">
        <f t="shared" si="16"/>
        <v>36</v>
      </c>
      <c r="B66" s="2" t="s">
        <v>73</v>
      </c>
      <c r="C66" s="2"/>
      <c r="D66" s="51">
        <v>0</v>
      </c>
      <c r="E66" s="59">
        <f>'MACRS 20'!B6</f>
        <v>0.51875000000000004</v>
      </c>
      <c r="F66" s="58">
        <f>'MACRS 20'!C6</f>
        <v>3.6095000000000002E-2</v>
      </c>
      <c r="G66" s="58">
        <f>'MACRS 20'!D6</f>
        <v>3.3384999999999998E-2</v>
      </c>
      <c r="H66" s="61">
        <f>'MACRS 20'!E6</f>
        <v>3.0884999999999999E-2</v>
      </c>
      <c r="I66" s="61">
        <f>'MACRS 20'!F6</f>
        <v>2.8565E-2</v>
      </c>
      <c r="J66" s="61">
        <f>'MACRS 20'!G6</f>
        <v>2.6425000000000001E-2</v>
      </c>
      <c r="K66" s="61">
        <f>'MACRS 20'!H6</f>
        <v>2.444E-2</v>
      </c>
      <c r="L66" s="61">
        <f>'MACRS 20'!I6</f>
        <v>2.2610000000000002E-2</v>
      </c>
      <c r="M66" s="61">
        <f>'MACRS 20'!J6</f>
        <v>2.231E-2</v>
      </c>
      <c r="N66" s="61">
        <f>'MACRS 20'!K6</f>
        <v>2.2305000000000002E-2</v>
      </c>
      <c r="O66" s="61">
        <f>'MACRS 20'!L6</f>
        <v>2.231E-2</v>
      </c>
      <c r="P66" s="61">
        <f>'MACRS 20'!M6</f>
        <v>2.2305000000000002E-2</v>
      </c>
      <c r="Q66" s="61">
        <f>'MACRS 20'!N6</f>
        <v>2.231E-2</v>
      </c>
      <c r="R66" s="61">
        <f>'MACRS 20'!O6</f>
        <v>2.2305000000000002E-2</v>
      </c>
      <c r="S66" s="61">
        <f>'MACRS 20'!P6</f>
        <v>2.231E-2</v>
      </c>
      <c r="T66" s="61">
        <f>'MACRS 20'!Q6</f>
        <v>2.2305000000000002E-2</v>
      </c>
      <c r="U66" s="61">
        <f>'MACRS 20'!R6</f>
        <v>2.231E-2</v>
      </c>
      <c r="V66" s="61">
        <f>'MACRS 20'!S6</f>
        <v>2.2305000000000002E-2</v>
      </c>
      <c r="W66" s="61">
        <f>'MACRS 20'!T6</f>
        <v>2.231E-2</v>
      </c>
      <c r="X66" s="61">
        <f>'MACRS 20'!U6</f>
        <v>2.2305000000000002E-2</v>
      </c>
      <c r="Y66" s="61">
        <f>'MACRS 20'!V6</f>
        <v>1.1155E-2</v>
      </c>
      <c r="Z66" s="49"/>
      <c r="AA66" s="49"/>
      <c r="AB66" s="54"/>
      <c r="AC66" s="54"/>
      <c r="AD66" s="54"/>
      <c r="AE66" s="54"/>
      <c r="AF66" s="54"/>
      <c r="AG66" s="54"/>
      <c r="AH66" s="54"/>
      <c r="AI66" s="54"/>
      <c r="AJ66" s="54"/>
      <c r="AK66" s="54"/>
      <c r="AL66" s="54"/>
      <c r="AM66" s="54"/>
      <c r="AN66" s="122"/>
      <c r="AO66" s="3"/>
      <c r="AP66" s="53">
        <f>SUM(D66:AO66)</f>
        <v>1.0000000000000004</v>
      </c>
    </row>
    <row r="69" spans="1:42" x14ac:dyDescent="0.25">
      <c r="B69" s="55"/>
    </row>
  </sheetData>
  <mergeCells count="1">
    <mergeCell ref="E1:F1"/>
  </mergeCells>
  <printOptions horizontalCentered="1"/>
  <pageMargins left="0.75" right="0.5" top="0.5" bottom="0.5" header="0.5" footer="0.25"/>
  <pageSetup scale="15" orientation="portrait" blackAndWhite="1" r:id="rId1"/>
  <headerFooter alignWithMargins="0"/>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9"/>
  <sheetViews>
    <sheetView zoomScaleNormal="100" workbookViewId="0">
      <pane xSplit="4" ySplit="26" topLeftCell="E75" activePane="bottomRight" state="frozen"/>
      <selection activeCell="J17" sqref="J17"/>
      <selection pane="topRight" activeCell="J17" sqref="J17"/>
      <selection pane="bottomLeft" activeCell="J17" sqref="J17"/>
      <selection pane="bottomRight" activeCell="E27" sqref="E27"/>
    </sheetView>
  </sheetViews>
  <sheetFormatPr defaultColWidth="10.28515625" defaultRowHeight="15" outlineLevelRow="1" outlineLevelCol="1" x14ac:dyDescent="0.2"/>
  <cols>
    <col min="1" max="1" width="5.7109375" style="34" customWidth="1"/>
    <col min="2" max="2" width="7.42578125" style="34" customWidth="1"/>
    <col min="3" max="3" width="26.42578125" style="34" customWidth="1"/>
    <col min="4" max="4" width="15.5703125" style="3" customWidth="1"/>
    <col min="5" max="5" width="13.5703125" style="56" customWidth="1"/>
    <col min="6" max="6" width="13.42578125" style="56" customWidth="1"/>
    <col min="7" max="7" width="14.5703125" style="56" bestFit="1" customWidth="1"/>
    <col min="8" max="8" width="12.5703125" style="56" customWidth="1"/>
    <col min="9" max="25" width="12.85546875" style="56" bestFit="1" customWidth="1"/>
    <col min="26" max="38" width="12.28515625" style="56" bestFit="1" customWidth="1"/>
    <col min="39" max="39" width="17" style="56" customWidth="1" outlineLevel="1"/>
    <col min="40" max="40" width="13" style="56" customWidth="1" outlineLevel="1"/>
    <col min="41" max="41" width="14.28515625" style="56" customWidth="1" outlineLevel="1"/>
    <col min="42" max="42" width="12.7109375" style="3" bestFit="1" customWidth="1"/>
    <col min="43" max="43" width="12.28515625" style="3" customWidth="1"/>
    <col min="44" max="45" width="14" style="3" customWidth="1"/>
    <col min="46" max="46" width="14.28515625" style="3" bestFit="1" customWidth="1"/>
    <col min="47" max="47" width="16.5703125" style="3" customWidth="1"/>
    <col min="48" max="48" width="15" style="3" bestFit="1" customWidth="1"/>
    <col min="49" max="16384" width="10.28515625" style="3"/>
  </cols>
  <sheetData>
    <row r="1" spans="1:41" ht="17.25" customHeight="1" x14ac:dyDescent="0.25">
      <c r="A1" s="1" t="s">
        <v>0</v>
      </c>
      <c r="B1" s="2"/>
      <c r="C1" s="2"/>
      <c r="E1" s="402"/>
      <c r="F1" s="402"/>
      <c r="G1" s="3"/>
      <c r="H1" s="4"/>
      <c r="I1" s="5"/>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pans="1:41" ht="12.75" customHeight="1" x14ac:dyDescent="0.25">
      <c r="A2" s="6" t="s">
        <v>1</v>
      </c>
      <c r="B2" s="2"/>
      <c r="C2" s="2"/>
      <c r="E2" s="3"/>
      <c r="F2" s="5"/>
      <c r="G2" s="270" t="s">
        <v>219</v>
      </c>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row>
    <row r="3" spans="1:41" x14ac:dyDescent="0.25">
      <c r="A3" s="6" t="s">
        <v>2</v>
      </c>
      <c r="B3" s="2"/>
      <c r="C3" s="231" t="s">
        <v>153</v>
      </c>
      <c r="D3" s="263" t="s">
        <v>3</v>
      </c>
      <c r="E3" s="3"/>
      <c r="F3" s="5"/>
      <c r="G3" s="5"/>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row>
    <row r="4" spans="1:41" ht="7.5" customHeight="1" thickBot="1" x14ac:dyDescent="0.25">
      <c r="A4" s="2"/>
      <c r="B4" s="2"/>
      <c r="C4" s="2"/>
      <c r="E4" s="3"/>
      <c r="F4" s="5"/>
      <c r="G4" s="5"/>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1" x14ac:dyDescent="0.2">
      <c r="A5" s="7" t="s">
        <v>4</v>
      </c>
      <c r="B5" s="8"/>
      <c r="C5" s="8"/>
      <c r="D5" s="9"/>
      <c r="E5" s="9"/>
      <c r="F5" s="10"/>
      <c r="G5" s="11"/>
      <c r="H5" s="3"/>
      <c r="I5" s="3"/>
      <c r="J5" s="3"/>
      <c r="K5" s="3"/>
      <c r="L5" s="3"/>
      <c r="M5" s="3"/>
      <c r="N5" s="22"/>
      <c r="O5" s="3"/>
      <c r="P5" s="3"/>
      <c r="Q5" s="3"/>
      <c r="R5" s="3"/>
      <c r="S5" s="3"/>
      <c r="T5" s="3"/>
      <c r="U5" s="3"/>
      <c r="V5" s="3"/>
      <c r="W5" s="3"/>
      <c r="X5" s="3"/>
      <c r="Y5" s="3"/>
      <c r="Z5" s="3"/>
      <c r="AA5" s="3"/>
      <c r="AB5" s="3"/>
      <c r="AC5" s="3"/>
      <c r="AD5" s="3"/>
      <c r="AE5" s="3"/>
      <c r="AF5" s="3"/>
      <c r="AG5" s="3"/>
      <c r="AH5" s="3"/>
      <c r="AI5" s="3"/>
      <c r="AJ5" s="3"/>
      <c r="AK5" s="3"/>
      <c r="AL5" s="3"/>
      <c r="AM5" s="3"/>
      <c r="AN5" s="3"/>
      <c r="AO5" s="3"/>
    </row>
    <row r="6" spans="1:41" x14ac:dyDescent="0.2">
      <c r="A6" s="12"/>
      <c r="B6" s="13"/>
      <c r="C6" s="13"/>
      <c r="D6" s="114" t="s">
        <v>149</v>
      </c>
      <c r="E6" s="114"/>
      <c r="F6" s="115"/>
      <c r="G6" s="11"/>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x14ac:dyDescent="0.2">
      <c r="A7" s="12"/>
      <c r="B7" s="13"/>
      <c r="C7" s="13"/>
      <c r="D7" s="16"/>
      <c r="E7" s="16"/>
      <c r="F7" s="17" t="s">
        <v>5</v>
      </c>
      <c r="G7" s="18"/>
      <c r="H7" s="3"/>
      <c r="I7" s="3"/>
      <c r="J7" s="3"/>
      <c r="K7" s="3"/>
      <c r="L7" s="3"/>
      <c r="M7" s="116"/>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1" x14ac:dyDescent="0.2">
      <c r="A8" s="12" t="s">
        <v>6</v>
      </c>
      <c r="B8" s="13"/>
      <c r="C8" s="13"/>
      <c r="D8" s="19" t="s">
        <v>7</v>
      </c>
      <c r="E8" s="19" t="s">
        <v>8</v>
      </c>
      <c r="F8" s="20" t="s">
        <v>8</v>
      </c>
      <c r="G8" s="18"/>
      <c r="H8" s="3"/>
      <c r="I8" s="3"/>
      <c r="J8" s="3"/>
      <c r="K8" s="3"/>
      <c r="L8" s="3"/>
      <c r="M8" s="106"/>
      <c r="N8" s="22"/>
      <c r="O8" s="3"/>
      <c r="P8" s="3"/>
      <c r="Q8" s="3"/>
      <c r="R8" s="3"/>
      <c r="S8" s="3"/>
      <c r="T8" s="3"/>
      <c r="U8" s="3"/>
      <c r="V8" s="3"/>
      <c r="W8" s="3"/>
      <c r="X8" s="3"/>
      <c r="Y8" s="3"/>
      <c r="Z8" s="3"/>
      <c r="AA8" s="3"/>
      <c r="AB8" s="3"/>
      <c r="AC8" s="3"/>
      <c r="AD8" s="3"/>
      <c r="AE8" s="3"/>
      <c r="AF8" s="3"/>
      <c r="AG8" s="3"/>
      <c r="AH8" s="3"/>
      <c r="AI8" s="3"/>
      <c r="AJ8" s="3"/>
      <c r="AK8" s="3"/>
      <c r="AL8" s="3"/>
      <c r="AM8" s="3"/>
      <c r="AN8" s="3"/>
      <c r="AO8" s="3"/>
    </row>
    <row r="9" spans="1:41" x14ac:dyDescent="0.2">
      <c r="A9" s="12"/>
      <c r="B9" s="13"/>
      <c r="C9" s="13"/>
      <c r="D9" s="14"/>
      <c r="E9" s="14"/>
      <c r="F9" s="21"/>
      <c r="G9" s="14"/>
      <c r="H9" s="3"/>
      <c r="I9" s="3"/>
      <c r="J9" s="3"/>
      <c r="K9" s="3"/>
      <c r="L9" s="3"/>
      <c r="M9" s="106"/>
      <c r="N9" s="22"/>
      <c r="O9" s="3"/>
      <c r="P9" s="3"/>
      <c r="Q9" s="3"/>
      <c r="R9" s="3"/>
      <c r="S9" s="3"/>
      <c r="T9" s="3"/>
      <c r="U9" s="3"/>
      <c r="V9" s="3"/>
      <c r="W9" s="3"/>
      <c r="X9" s="3"/>
      <c r="Y9" s="3"/>
      <c r="Z9" s="3"/>
      <c r="AA9" s="3"/>
      <c r="AB9" s="3"/>
      <c r="AC9" s="3"/>
      <c r="AD9" s="3"/>
      <c r="AE9" s="3"/>
      <c r="AF9" s="3"/>
      <c r="AG9" s="3"/>
      <c r="AH9" s="3"/>
      <c r="AI9" s="3"/>
      <c r="AJ9" s="3"/>
      <c r="AK9" s="3"/>
      <c r="AL9" s="3"/>
      <c r="AM9" s="3"/>
      <c r="AN9" s="3"/>
      <c r="AO9" s="3"/>
    </row>
    <row r="10" spans="1:41" x14ac:dyDescent="0.2">
      <c r="A10" s="12"/>
      <c r="B10" s="13"/>
      <c r="C10" s="13"/>
      <c r="D10" s="23"/>
      <c r="E10" s="23"/>
      <c r="F10" s="24"/>
      <c r="G10" s="22"/>
      <c r="H10" s="3"/>
      <c r="I10" s="3"/>
      <c r="J10" s="3"/>
      <c r="K10" s="3"/>
      <c r="L10" s="3"/>
      <c r="M10" s="106"/>
      <c r="N10" s="22"/>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row>
    <row r="11" spans="1:41" x14ac:dyDescent="0.2">
      <c r="A11" s="12" t="s">
        <v>121</v>
      </c>
      <c r="B11" s="13"/>
      <c r="C11" s="13"/>
      <c r="D11" s="23">
        <v>0.51500000000000001</v>
      </c>
      <c r="E11" s="23">
        <v>5.8058252427184473E-2</v>
      </c>
      <c r="F11" s="24">
        <v>2.9899999999999999E-2</v>
      </c>
      <c r="G11" s="22"/>
      <c r="H11" s="3"/>
      <c r="I11" s="3"/>
      <c r="J11" s="3"/>
      <c r="K11" s="3"/>
      <c r="L11" s="3"/>
      <c r="M11" s="106"/>
      <c r="N11" s="22"/>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row>
    <row r="12" spans="1:41" x14ac:dyDescent="0.2">
      <c r="A12" s="12" t="s">
        <v>9</v>
      </c>
      <c r="B12" s="13"/>
      <c r="C12" s="13"/>
      <c r="D12" s="25">
        <v>0.48499999999999999</v>
      </c>
      <c r="E12" s="23">
        <v>9.5000000000000001E-2</v>
      </c>
      <c r="F12" s="26">
        <v>4.6100000000000002E-2</v>
      </c>
      <c r="G12" s="22"/>
      <c r="H12" s="3"/>
      <c r="I12" s="3"/>
      <c r="J12" s="3"/>
      <c r="K12" s="3"/>
      <c r="L12" s="3"/>
      <c r="M12" s="106"/>
      <c r="N12" s="22"/>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row>
    <row r="13" spans="1:41" ht="15.75" thickBot="1" x14ac:dyDescent="0.25">
      <c r="A13" s="12" t="s">
        <v>10</v>
      </c>
      <c r="B13" s="13"/>
      <c r="C13" s="13"/>
      <c r="D13" s="27">
        <f>D10+D11+D12</f>
        <v>1</v>
      </c>
      <c r="E13" s="28"/>
      <c r="F13" s="29">
        <f>F10+F11+F12</f>
        <v>7.5999999999999998E-2</v>
      </c>
      <c r="G13" s="28"/>
      <c r="H13" s="3"/>
      <c r="I13" s="3"/>
      <c r="J13" s="3"/>
      <c r="K13" s="3"/>
      <c r="L13" s="3"/>
      <c r="M13" s="106"/>
      <c r="N13" s="22"/>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row>
    <row r="14" spans="1:41" ht="15.75" thickTop="1" x14ac:dyDescent="0.2">
      <c r="A14" s="12"/>
      <c r="B14" s="13"/>
      <c r="C14" s="13"/>
      <c r="D14" s="14"/>
      <c r="E14" s="14"/>
      <c r="F14" s="21"/>
      <c r="G14" s="14"/>
      <c r="H14" s="3"/>
      <c r="I14" s="3"/>
      <c r="J14" s="3"/>
      <c r="K14" s="3"/>
      <c r="L14" s="3"/>
      <c r="M14" s="106"/>
      <c r="N14" s="22"/>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1" x14ac:dyDescent="0.2">
      <c r="A15" s="12" t="s">
        <v>11</v>
      </c>
      <c r="B15" s="13"/>
      <c r="C15" s="13"/>
      <c r="D15" s="14"/>
      <c r="E15" s="14"/>
      <c r="F15" s="24">
        <v>0.21</v>
      </c>
      <c r="G15" s="28"/>
      <c r="H15" s="3"/>
      <c r="I15" s="3"/>
      <c r="J15" s="3"/>
      <c r="K15" s="3"/>
      <c r="L15" s="3"/>
      <c r="M15" s="106"/>
      <c r="N15" s="22"/>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row>
    <row r="16" spans="1:41" x14ac:dyDescent="0.2">
      <c r="A16" s="12" t="s">
        <v>12</v>
      </c>
      <c r="B16" s="13"/>
      <c r="C16" s="13"/>
      <c r="D16" s="14"/>
      <c r="E16" s="14"/>
      <c r="F16" s="24">
        <v>4.5462000000000002E-2</v>
      </c>
      <c r="G16" s="28"/>
      <c r="H16" s="3"/>
      <c r="I16" s="3"/>
      <c r="J16" s="3"/>
      <c r="K16" s="3"/>
      <c r="L16" s="3"/>
      <c r="M16" s="106"/>
      <c r="N16" s="22"/>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row>
    <row r="17" spans="1:48" x14ac:dyDescent="0.2">
      <c r="A17" s="12" t="s">
        <v>13</v>
      </c>
      <c r="B17" s="13"/>
      <c r="C17" s="13"/>
      <c r="D17" s="14"/>
      <c r="E17" s="14"/>
      <c r="F17" s="24">
        <v>2.4445471369498754E-2</v>
      </c>
      <c r="H17" s="3"/>
      <c r="I17" s="3"/>
      <c r="J17" s="3"/>
      <c r="K17" s="3"/>
      <c r="L17" s="3"/>
      <c r="M17" s="106"/>
      <c r="N17" s="22"/>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row>
    <row r="18" spans="1:48" x14ac:dyDescent="0.2">
      <c r="A18" s="12" t="s">
        <v>14</v>
      </c>
      <c r="B18" s="13"/>
      <c r="C18" s="13"/>
      <c r="D18" s="14"/>
      <c r="E18" s="14"/>
      <c r="F18" s="30">
        <v>2</v>
      </c>
      <c r="G18" s="5"/>
      <c r="H18" s="3"/>
      <c r="I18" s="3"/>
      <c r="J18" s="3"/>
      <c r="K18" s="3"/>
      <c r="L18" s="3"/>
      <c r="M18" s="106"/>
      <c r="N18" s="22"/>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row>
    <row r="19" spans="1:48" x14ac:dyDescent="0.2">
      <c r="A19" s="12"/>
      <c r="B19" s="13"/>
      <c r="C19" s="13"/>
      <c r="D19" s="14"/>
      <c r="E19" s="14"/>
      <c r="F19" s="15"/>
      <c r="G19" s="5"/>
      <c r="H19" s="3"/>
      <c r="I19" s="3"/>
      <c r="J19" s="3"/>
      <c r="K19" s="3"/>
      <c r="L19" s="3"/>
      <c r="M19" s="106"/>
      <c r="N19" s="22"/>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8" x14ac:dyDescent="0.2">
      <c r="A20" s="12" t="s">
        <v>15</v>
      </c>
      <c r="B20" s="13"/>
      <c r="C20" s="13"/>
      <c r="D20" s="14"/>
      <c r="E20" s="14"/>
      <c r="F20" s="15"/>
      <c r="G20" s="5"/>
      <c r="H20" s="3"/>
      <c r="I20" s="3"/>
      <c r="J20" s="3"/>
      <c r="K20" s="3"/>
      <c r="L20" s="3"/>
      <c r="N20" s="117"/>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row>
    <row r="21" spans="1:48" x14ac:dyDescent="0.2">
      <c r="A21" s="12" t="s">
        <v>16</v>
      </c>
      <c r="B21" s="13"/>
      <c r="C21" s="13"/>
      <c r="D21" s="14"/>
      <c r="E21" s="14"/>
      <c r="F21" s="15"/>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row>
    <row r="22" spans="1:48" ht="15.75" thickBot="1" x14ac:dyDescent="0.25">
      <c r="A22" s="31" t="s">
        <v>17</v>
      </c>
      <c r="B22" s="32"/>
      <c r="C22" s="32"/>
      <c r="D22" s="32"/>
      <c r="E22" s="33"/>
      <c r="F22" s="57">
        <v>55399540.539999992</v>
      </c>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row>
    <row r="23" spans="1:48" ht="6" customHeight="1" x14ac:dyDescent="0.2">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row>
    <row r="24" spans="1:48" ht="6" customHeight="1" x14ac:dyDescent="0.2">
      <c r="B24" s="3"/>
      <c r="C24" s="3"/>
      <c r="D24" s="106"/>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row>
    <row r="25" spans="1:48" x14ac:dyDescent="0.2">
      <c r="A25" s="2"/>
      <c r="B25" s="2"/>
      <c r="C25" s="2"/>
      <c r="D25" s="263"/>
      <c r="E25" s="36" t="s">
        <v>18</v>
      </c>
      <c r="F25" s="95" t="s">
        <v>19</v>
      </c>
      <c r="G25" s="37" t="s">
        <v>20</v>
      </c>
      <c r="H25" s="37" t="s">
        <v>21</v>
      </c>
      <c r="I25" s="37" t="s">
        <v>22</v>
      </c>
      <c r="J25" s="37" t="s">
        <v>23</v>
      </c>
      <c r="K25" s="37" t="s">
        <v>24</v>
      </c>
      <c r="L25" s="37" t="s">
        <v>25</v>
      </c>
      <c r="M25" s="37" t="s">
        <v>26</v>
      </c>
      <c r="N25" s="37" t="s">
        <v>27</v>
      </c>
      <c r="O25" s="37" t="s">
        <v>28</v>
      </c>
      <c r="P25" s="37" t="s">
        <v>29</v>
      </c>
      <c r="Q25" s="37" t="s">
        <v>30</v>
      </c>
      <c r="R25" s="37" t="s">
        <v>31</v>
      </c>
      <c r="S25" s="37" t="s">
        <v>32</v>
      </c>
      <c r="T25" s="37" t="s">
        <v>33</v>
      </c>
      <c r="U25" s="37" t="s">
        <v>34</v>
      </c>
      <c r="V25" s="37" t="s">
        <v>35</v>
      </c>
      <c r="W25" s="37" t="s">
        <v>36</v>
      </c>
      <c r="X25" s="37" t="s">
        <v>37</v>
      </c>
      <c r="Y25" s="37" t="s">
        <v>38</v>
      </c>
      <c r="Z25" s="37" t="s">
        <v>39</v>
      </c>
      <c r="AA25" s="37" t="s">
        <v>40</v>
      </c>
      <c r="AB25" s="37" t="s">
        <v>41</v>
      </c>
      <c r="AC25" s="37" t="s">
        <v>42</v>
      </c>
      <c r="AD25" s="37" t="s">
        <v>43</v>
      </c>
      <c r="AE25" s="37" t="s">
        <v>44</v>
      </c>
      <c r="AF25" s="37" t="s">
        <v>45</v>
      </c>
      <c r="AG25" s="37" t="s">
        <v>46</v>
      </c>
      <c r="AH25" s="37" t="s">
        <v>47</v>
      </c>
      <c r="AI25" s="37" t="s">
        <v>48</v>
      </c>
      <c r="AJ25" s="37" t="s">
        <v>49</v>
      </c>
      <c r="AK25" s="37" t="s">
        <v>50</v>
      </c>
      <c r="AL25" s="37" t="s">
        <v>51</v>
      </c>
      <c r="AM25" s="37" t="s">
        <v>52</v>
      </c>
      <c r="AN25" s="37" t="s">
        <v>74</v>
      </c>
      <c r="AO25" s="37" t="s">
        <v>75</v>
      </c>
      <c r="AP25" s="37" t="s">
        <v>122</v>
      </c>
      <c r="AQ25" s="37" t="s">
        <v>123</v>
      </c>
      <c r="AR25" s="37" t="s">
        <v>124</v>
      </c>
      <c r="AS25" s="3" t="s">
        <v>125</v>
      </c>
    </row>
    <row r="26" spans="1:48" x14ac:dyDescent="0.2">
      <c r="A26" s="2"/>
      <c r="B26" s="2"/>
      <c r="C26" s="2"/>
      <c r="D26" s="263"/>
      <c r="E26" s="82">
        <v>2019</v>
      </c>
      <c r="F26" s="82">
        <v>2020</v>
      </c>
      <c r="G26" s="82">
        <v>2021</v>
      </c>
      <c r="H26" s="82">
        <v>2022</v>
      </c>
      <c r="I26" s="82">
        <v>2023</v>
      </c>
      <c r="J26" s="82">
        <v>2024</v>
      </c>
      <c r="K26" s="82">
        <v>2025</v>
      </c>
      <c r="L26" s="82">
        <v>2026</v>
      </c>
      <c r="M26" s="82">
        <v>2027</v>
      </c>
      <c r="N26" s="82">
        <v>2028</v>
      </c>
      <c r="O26" s="82">
        <v>2029</v>
      </c>
      <c r="P26" s="82">
        <v>2030</v>
      </c>
      <c r="Q26" s="82">
        <v>2031</v>
      </c>
      <c r="R26" s="82">
        <v>2032</v>
      </c>
      <c r="S26" s="82">
        <v>2033</v>
      </c>
      <c r="T26" s="82">
        <v>2034</v>
      </c>
      <c r="U26" s="82">
        <v>2035</v>
      </c>
      <c r="V26" s="82">
        <v>2036</v>
      </c>
      <c r="W26" s="82">
        <v>2037</v>
      </c>
      <c r="X26" s="82">
        <v>2038</v>
      </c>
      <c r="Y26" s="82">
        <v>2039</v>
      </c>
      <c r="Z26" s="82">
        <v>2040</v>
      </c>
      <c r="AA26" s="82">
        <v>2041</v>
      </c>
      <c r="AB26" s="82">
        <v>2042</v>
      </c>
      <c r="AC26" s="82">
        <v>2043</v>
      </c>
      <c r="AD26" s="82">
        <v>2044</v>
      </c>
      <c r="AE26" s="82">
        <v>2045</v>
      </c>
      <c r="AF26" s="82">
        <v>2046</v>
      </c>
      <c r="AG26" s="82">
        <v>2047</v>
      </c>
      <c r="AH26" s="82">
        <v>2048</v>
      </c>
      <c r="AI26" s="82">
        <v>2049</v>
      </c>
      <c r="AJ26" s="82">
        <v>2050</v>
      </c>
      <c r="AK26" s="82">
        <v>2051</v>
      </c>
      <c r="AL26" s="82">
        <v>2052</v>
      </c>
      <c r="AM26" s="82">
        <v>2053</v>
      </c>
      <c r="AN26" s="82">
        <v>2054</v>
      </c>
      <c r="AO26" s="82">
        <v>2055</v>
      </c>
      <c r="AP26" s="82">
        <v>2056</v>
      </c>
      <c r="AQ26" s="82">
        <v>2057</v>
      </c>
      <c r="AR26" s="82">
        <v>2058</v>
      </c>
      <c r="AS26" s="82">
        <v>2059</v>
      </c>
    </row>
    <row r="27" spans="1:48" x14ac:dyDescent="0.2">
      <c r="A27" s="231">
        <v>1</v>
      </c>
      <c r="B27" s="2" t="s">
        <v>53</v>
      </c>
      <c r="C27" s="2"/>
      <c r="D27" s="263"/>
      <c r="E27" s="102">
        <f>$F22*$F17</f>
        <v>1354267.8821539553</v>
      </c>
      <c r="F27" s="102">
        <f>$F22*$F17</f>
        <v>1354267.8821539553</v>
      </c>
      <c r="G27" s="102">
        <f t="shared" ref="G27:AR27" si="0">$F22*$F17</f>
        <v>1354267.8821539553</v>
      </c>
      <c r="H27" s="102">
        <f t="shared" si="0"/>
        <v>1354267.8821539553</v>
      </c>
      <c r="I27" s="102">
        <f t="shared" si="0"/>
        <v>1354267.8821539553</v>
      </c>
      <c r="J27" s="102">
        <f t="shared" si="0"/>
        <v>1354267.8821539553</v>
      </c>
      <c r="K27" s="102">
        <f t="shared" si="0"/>
        <v>1354267.8821539553</v>
      </c>
      <c r="L27" s="102">
        <f t="shared" si="0"/>
        <v>1354267.8821539553</v>
      </c>
      <c r="M27" s="102">
        <f t="shared" si="0"/>
        <v>1354267.8821539553</v>
      </c>
      <c r="N27" s="102">
        <f t="shared" si="0"/>
        <v>1354267.8821539553</v>
      </c>
      <c r="O27" s="102">
        <f t="shared" si="0"/>
        <v>1354267.8821539553</v>
      </c>
      <c r="P27" s="102">
        <f t="shared" si="0"/>
        <v>1354267.8821539553</v>
      </c>
      <c r="Q27" s="102">
        <f t="shared" si="0"/>
        <v>1354267.8821539553</v>
      </c>
      <c r="R27" s="102">
        <f t="shared" si="0"/>
        <v>1354267.8821539553</v>
      </c>
      <c r="S27" s="102">
        <f t="shared" si="0"/>
        <v>1354267.8821539553</v>
      </c>
      <c r="T27" s="102">
        <f t="shared" si="0"/>
        <v>1354267.8821539553</v>
      </c>
      <c r="U27" s="102">
        <f t="shared" si="0"/>
        <v>1354267.8821539553</v>
      </c>
      <c r="V27" s="102">
        <f t="shared" si="0"/>
        <v>1354267.8821539553</v>
      </c>
      <c r="W27" s="102">
        <f t="shared" si="0"/>
        <v>1354267.8821539553</v>
      </c>
      <c r="X27" s="102">
        <f t="shared" si="0"/>
        <v>1354267.8821539553</v>
      </c>
      <c r="Y27" s="102">
        <f t="shared" si="0"/>
        <v>1354267.8821539553</v>
      </c>
      <c r="Z27" s="102">
        <f t="shared" si="0"/>
        <v>1354267.8821539553</v>
      </c>
      <c r="AA27" s="102">
        <f t="shared" si="0"/>
        <v>1354267.8821539553</v>
      </c>
      <c r="AB27" s="102">
        <f t="shared" si="0"/>
        <v>1354267.8821539553</v>
      </c>
      <c r="AC27" s="102">
        <f t="shared" si="0"/>
        <v>1354267.8821539553</v>
      </c>
      <c r="AD27" s="102">
        <f t="shared" si="0"/>
        <v>1354267.8821539553</v>
      </c>
      <c r="AE27" s="102">
        <f t="shared" si="0"/>
        <v>1354267.8821539553</v>
      </c>
      <c r="AF27" s="102">
        <f t="shared" si="0"/>
        <v>1354267.8821539553</v>
      </c>
      <c r="AG27" s="102">
        <f t="shared" si="0"/>
        <v>1354267.8821539553</v>
      </c>
      <c r="AH27" s="102">
        <f t="shared" si="0"/>
        <v>1354267.8821539553</v>
      </c>
      <c r="AI27" s="102">
        <f t="shared" si="0"/>
        <v>1354267.8821539553</v>
      </c>
      <c r="AJ27" s="102">
        <f t="shared" si="0"/>
        <v>1354267.8821539553</v>
      </c>
      <c r="AK27" s="102">
        <f t="shared" si="0"/>
        <v>1354267.8821539553</v>
      </c>
      <c r="AL27" s="102">
        <f t="shared" si="0"/>
        <v>1354267.8821539553</v>
      </c>
      <c r="AM27" s="102">
        <f t="shared" si="0"/>
        <v>1354267.8821539553</v>
      </c>
      <c r="AN27" s="102">
        <f t="shared" si="0"/>
        <v>1354267.8821539553</v>
      </c>
      <c r="AO27" s="102">
        <f t="shared" si="0"/>
        <v>1354267.8821539553</v>
      </c>
      <c r="AP27" s="102">
        <f t="shared" si="0"/>
        <v>1354267.8821539553</v>
      </c>
      <c r="AQ27" s="102">
        <f t="shared" si="0"/>
        <v>1354267.8821539553</v>
      </c>
      <c r="AR27" s="102">
        <f t="shared" si="0"/>
        <v>1354267.8821539553</v>
      </c>
      <c r="AS27" s="102">
        <v>1228825.2538417773</v>
      </c>
      <c r="AT27" s="102"/>
      <c r="AU27" s="105">
        <f>SUM(D27:AT27)</f>
        <v>55399540.540000021</v>
      </c>
      <c r="AV27" s="22">
        <f>F22</f>
        <v>55399540.539999992</v>
      </c>
    </row>
    <row r="28" spans="1:48" x14ac:dyDescent="0.2">
      <c r="A28" s="2"/>
      <c r="B28" s="2"/>
      <c r="C28" s="2"/>
      <c r="D28" s="263"/>
      <c r="E28" s="38"/>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39"/>
      <c r="AN28" s="102"/>
      <c r="AO28" s="102"/>
      <c r="AP28" s="264"/>
    </row>
    <row r="29" spans="1:48" x14ac:dyDescent="0.2">
      <c r="A29" s="231">
        <f>A27+1</f>
        <v>2</v>
      </c>
      <c r="B29" s="2" t="s">
        <v>54</v>
      </c>
      <c r="C29" s="2"/>
      <c r="D29" s="263"/>
      <c r="E29" s="38">
        <f>E53</f>
        <v>669816.44556032098</v>
      </c>
      <c r="F29" s="102">
        <f t="shared" ref="F29:AT29" si="1">F53</f>
        <v>649041.79398453434</v>
      </c>
      <c r="G29" s="102">
        <f t="shared" si="1"/>
        <v>626025.58113946416</v>
      </c>
      <c r="H29" s="102">
        <f t="shared" si="1"/>
        <v>603752.1416383785</v>
      </c>
      <c r="I29" s="102">
        <f t="shared" si="1"/>
        <v>582165.87440562423</v>
      </c>
      <c r="J29" s="102">
        <f t="shared" si="1"/>
        <v>561215.4553713674</v>
      </c>
      <c r="K29" s="102">
        <f t="shared" si="1"/>
        <v>540853.12463729037</v>
      </c>
      <c r="L29" s="102">
        <f t="shared" si="1"/>
        <v>521034.68647659174</v>
      </c>
      <c r="M29" s="102">
        <f t="shared" si="1"/>
        <v>501519.91572907689</v>
      </c>
      <c r="N29" s="102">
        <f t="shared" si="1"/>
        <v>482048.6278740603</v>
      </c>
      <c r="O29" s="102">
        <f t="shared" si="1"/>
        <v>462577.34001904365</v>
      </c>
      <c r="P29" s="102">
        <f t="shared" si="1"/>
        <v>443106.05216402694</v>
      </c>
      <c r="Q29" s="102">
        <f t="shared" si="1"/>
        <v>423634.76430901024</v>
      </c>
      <c r="R29" s="102">
        <f t="shared" si="1"/>
        <v>404163.47645399359</v>
      </c>
      <c r="S29" s="102">
        <f t="shared" si="1"/>
        <v>384692.18859897694</v>
      </c>
      <c r="T29" s="102">
        <f t="shared" si="1"/>
        <v>365220.90074396023</v>
      </c>
      <c r="U29" s="102">
        <f t="shared" si="1"/>
        <v>345749.61288894352</v>
      </c>
      <c r="V29" s="102">
        <f t="shared" si="1"/>
        <v>326278.32503392693</v>
      </c>
      <c r="W29" s="102">
        <f t="shared" si="1"/>
        <v>306807.03717891022</v>
      </c>
      <c r="X29" s="102">
        <f t="shared" si="1"/>
        <v>287335.74932389363</v>
      </c>
      <c r="Y29" s="102">
        <f t="shared" si="1"/>
        <v>269454.79479942378</v>
      </c>
      <c r="Z29" s="102">
        <f t="shared" si="1"/>
        <v>254753.79410174448</v>
      </c>
      <c r="AA29" s="102">
        <f t="shared" si="1"/>
        <v>241643.12673461207</v>
      </c>
      <c r="AB29" s="102">
        <f t="shared" si="1"/>
        <v>228532.45936747966</v>
      </c>
      <c r="AC29" s="102">
        <f t="shared" si="1"/>
        <v>215421.7920003472</v>
      </c>
      <c r="AD29" s="102">
        <f t="shared" si="1"/>
        <v>202311.1246332147</v>
      </c>
      <c r="AE29" s="102">
        <f t="shared" si="1"/>
        <v>189200.45726608223</v>
      </c>
      <c r="AF29" s="102">
        <f t="shared" si="1"/>
        <v>176089.78989894979</v>
      </c>
      <c r="AG29" s="102">
        <f t="shared" si="1"/>
        <v>162979.12253181729</v>
      </c>
      <c r="AH29" s="102">
        <f t="shared" si="1"/>
        <v>149868.45516468483</v>
      </c>
      <c r="AI29" s="102">
        <f t="shared" si="1"/>
        <v>136757.78779755236</v>
      </c>
      <c r="AJ29" s="102">
        <f t="shared" si="1"/>
        <v>123647.12043041988</v>
      </c>
      <c r="AK29" s="102">
        <f t="shared" si="1"/>
        <v>110536.45306328739</v>
      </c>
      <c r="AL29" s="102">
        <f t="shared" si="1"/>
        <v>97425.785696154926</v>
      </c>
      <c r="AM29" s="102">
        <f t="shared" si="1"/>
        <v>84315.118329022458</v>
      </c>
      <c r="AN29" s="102">
        <f t="shared" si="1"/>
        <v>71204.450961889946</v>
      </c>
      <c r="AO29" s="102">
        <f t="shared" si="1"/>
        <v>58093.7835947575</v>
      </c>
      <c r="AP29" s="102">
        <f t="shared" si="1"/>
        <v>44983.116227625025</v>
      </c>
      <c r="AQ29" s="102">
        <f t="shared" si="1"/>
        <v>31872.448860492543</v>
      </c>
      <c r="AR29" s="102">
        <f t="shared" si="1"/>
        <v>18761.781493360068</v>
      </c>
      <c r="AS29" s="102">
        <f t="shared" si="1"/>
        <v>6258.3191685727361</v>
      </c>
      <c r="AT29" s="102">
        <f t="shared" si="1"/>
        <v>12206.44780979383</v>
      </c>
      <c r="AU29" s="105">
        <f>SUM(D29:AT29)</f>
        <v>12373356.623462679</v>
      </c>
    </row>
    <row r="30" spans="1:48" x14ac:dyDescent="0.2">
      <c r="A30" s="2"/>
      <c r="B30" s="2"/>
      <c r="C30" s="2"/>
      <c r="D30" s="263"/>
      <c r="E30" s="38"/>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row>
    <row r="31" spans="1:48" x14ac:dyDescent="0.2">
      <c r="A31" s="2"/>
      <c r="B31" s="2" t="s">
        <v>55</v>
      </c>
      <c r="C31" s="2"/>
      <c r="D31" s="263"/>
      <c r="E31" s="38"/>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row>
    <row r="32" spans="1:48" x14ac:dyDescent="0.2">
      <c r="A32" s="231">
        <f>A29+1</f>
        <v>3</v>
      </c>
      <c r="B32" s="2"/>
      <c r="C32" s="2"/>
      <c r="D32" s="263"/>
      <c r="E32" s="38">
        <f>E49*$F10</f>
        <v>0</v>
      </c>
      <c r="F32" s="102">
        <f t="shared" ref="F32:AT32" si="2">F49*$F10</f>
        <v>0</v>
      </c>
      <c r="G32" s="102">
        <f t="shared" si="2"/>
        <v>0</v>
      </c>
      <c r="H32" s="102">
        <f t="shared" si="2"/>
        <v>0</v>
      </c>
      <c r="I32" s="102">
        <f t="shared" si="2"/>
        <v>0</v>
      </c>
      <c r="J32" s="102">
        <f t="shared" si="2"/>
        <v>0</v>
      </c>
      <c r="K32" s="102">
        <f t="shared" si="2"/>
        <v>0</v>
      </c>
      <c r="L32" s="102">
        <f t="shared" si="2"/>
        <v>0</v>
      </c>
      <c r="M32" s="102">
        <f t="shared" si="2"/>
        <v>0</v>
      </c>
      <c r="N32" s="102">
        <f t="shared" si="2"/>
        <v>0</v>
      </c>
      <c r="O32" s="102">
        <f t="shared" si="2"/>
        <v>0</v>
      </c>
      <c r="P32" s="102">
        <f t="shared" si="2"/>
        <v>0</v>
      </c>
      <c r="Q32" s="102">
        <f t="shared" si="2"/>
        <v>0</v>
      </c>
      <c r="R32" s="102">
        <f t="shared" si="2"/>
        <v>0</v>
      </c>
      <c r="S32" s="102">
        <f t="shared" si="2"/>
        <v>0</v>
      </c>
      <c r="T32" s="102">
        <f t="shared" si="2"/>
        <v>0</v>
      </c>
      <c r="U32" s="102">
        <f t="shared" si="2"/>
        <v>0</v>
      </c>
      <c r="V32" s="102">
        <f t="shared" si="2"/>
        <v>0</v>
      </c>
      <c r="W32" s="102">
        <f t="shared" si="2"/>
        <v>0</v>
      </c>
      <c r="X32" s="102">
        <f t="shared" si="2"/>
        <v>0</v>
      </c>
      <c r="Y32" s="102">
        <f t="shared" si="2"/>
        <v>0</v>
      </c>
      <c r="Z32" s="102">
        <f t="shared" si="2"/>
        <v>0</v>
      </c>
      <c r="AA32" s="102">
        <f t="shared" si="2"/>
        <v>0</v>
      </c>
      <c r="AB32" s="102">
        <f t="shared" si="2"/>
        <v>0</v>
      </c>
      <c r="AC32" s="102">
        <f t="shared" si="2"/>
        <v>0</v>
      </c>
      <c r="AD32" s="102">
        <f t="shared" si="2"/>
        <v>0</v>
      </c>
      <c r="AE32" s="102">
        <f t="shared" si="2"/>
        <v>0</v>
      </c>
      <c r="AF32" s="102">
        <f t="shared" si="2"/>
        <v>0</v>
      </c>
      <c r="AG32" s="102">
        <f t="shared" si="2"/>
        <v>0</v>
      </c>
      <c r="AH32" s="102">
        <f t="shared" si="2"/>
        <v>0</v>
      </c>
      <c r="AI32" s="102">
        <f t="shared" si="2"/>
        <v>0</v>
      </c>
      <c r="AJ32" s="102">
        <f t="shared" si="2"/>
        <v>0</v>
      </c>
      <c r="AK32" s="102">
        <f t="shared" si="2"/>
        <v>0</v>
      </c>
      <c r="AL32" s="102">
        <f t="shared" si="2"/>
        <v>0</v>
      </c>
      <c r="AM32" s="102">
        <f t="shared" si="2"/>
        <v>0</v>
      </c>
      <c r="AN32" s="102">
        <f t="shared" si="2"/>
        <v>0</v>
      </c>
      <c r="AO32" s="102">
        <f t="shared" si="2"/>
        <v>0</v>
      </c>
      <c r="AP32" s="102">
        <f t="shared" si="2"/>
        <v>0</v>
      </c>
      <c r="AQ32" s="102">
        <f t="shared" si="2"/>
        <v>0</v>
      </c>
      <c r="AR32" s="102">
        <f t="shared" si="2"/>
        <v>0</v>
      </c>
      <c r="AS32" s="102">
        <f t="shared" si="2"/>
        <v>0</v>
      </c>
      <c r="AT32" s="102">
        <f t="shared" si="2"/>
        <v>0</v>
      </c>
      <c r="AU32" s="105">
        <f t="shared" ref="AU32:AU42" si="3">SUM(D32:AT32)</f>
        <v>0</v>
      </c>
    </row>
    <row r="33" spans="1:47" x14ac:dyDescent="0.2">
      <c r="A33" s="231">
        <f>A32+1</f>
        <v>4</v>
      </c>
      <c r="B33" s="13"/>
      <c r="C33" s="13" t="s">
        <v>121</v>
      </c>
      <c r="D33" s="263"/>
      <c r="E33" s="38">
        <f>E49*$F11</f>
        <v>1634307.8463568168</v>
      </c>
      <c r="F33" s="102">
        <f t="shared" ref="F33:AT33" si="4">F49*$F11</f>
        <v>1583619.0699007013</v>
      </c>
      <c r="G33" s="102">
        <f t="shared" si="4"/>
        <v>1527461.0321346228</v>
      </c>
      <c r="H33" s="102">
        <f t="shared" si="4"/>
        <v>1473115.3122239581</v>
      </c>
      <c r="I33" s="102">
        <f t="shared" si="4"/>
        <v>1420446.247219838</v>
      </c>
      <c r="J33" s="102">
        <f t="shared" si="4"/>
        <v>1369328.6097848434</v>
      </c>
      <c r="K33" s="102">
        <f t="shared" si="4"/>
        <v>1319645.8689244331</v>
      </c>
      <c r="L33" s="102">
        <f t="shared" si="4"/>
        <v>1271290.1899869409</v>
      </c>
      <c r="M33" s="102">
        <f t="shared" si="4"/>
        <v>1223675.4394625067</v>
      </c>
      <c r="N33" s="102">
        <f t="shared" si="4"/>
        <v>1176166.7843211628</v>
      </c>
      <c r="O33" s="102">
        <f t="shared" si="4"/>
        <v>1128658.1291798193</v>
      </c>
      <c r="P33" s="102">
        <f t="shared" si="4"/>
        <v>1081149.4740384757</v>
      </c>
      <c r="Q33" s="102">
        <f t="shared" si="4"/>
        <v>1033640.8188971317</v>
      </c>
      <c r="R33" s="102">
        <f t="shared" si="4"/>
        <v>986132.16375578812</v>
      </c>
      <c r="S33" s="102">
        <f t="shared" si="4"/>
        <v>938623.50861444417</v>
      </c>
      <c r="T33" s="102">
        <f t="shared" si="4"/>
        <v>891114.85347310035</v>
      </c>
      <c r="U33" s="102">
        <f t="shared" si="4"/>
        <v>843606.19833175663</v>
      </c>
      <c r="V33" s="102">
        <f t="shared" si="4"/>
        <v>796097.54319041304</v>
      </c>
      <c r="W33" s="102">
        <f t="shared" si="4"/>
        <v>748588.88804906921</v>
      </c>
      <c r="X33" s="102">
        <f t="shared" si="4"/>
        <v>701080.2329077255</v>
      </c>
      <c r="Y33" s="102">
        <f t="shared" si="4"/>
        <v>657451.8859577718</v>
      </c>
      <c r="Z33" s="102">
        <f t="shared" si="4"/>
        <v>621582.41612202325</v>
      </c>
      <c r="AA33" s="102">
        <f t="shared" si="4"/>
        <v>589593.25447766471</v>
      </c>
      <c r="AB33" s="102">
        <f t="shared" si="4"/>
        <v>557604.09283330617</v>
      </c>
      <c r="AC33" s="102">
        <f t="shared" si="4"/>
        <v>525614.93118894764</v>
      </c>
      <c r="AD33" s="102">
        <f t="shared" si="4"/>
        <v>493625.76954458887</v>
      </c>
      <c r="AE33" s="102">
        <f t="shared" si="4"/>
        <v>461636.60790023027</v>
      </c>
      <c r="AF33" s="102">
        <f t="shared" si="4"/>
        <v>429647.44625587156</v>
      </c>
      <c r="AG33" s="102">
        <f t="shared" si="4"/>
        <v>397658.28461151291</v>
      </c>
      <c r="AH33" s="102">
        <f t="shared" si="4"/>
        <v>365669.12296715425</v>
      </c>
      <c r="AI33" s="102">
        <f t="shared" si="4"/>
        <v>333679.9613227956</v>
      </c>
      <c r="AJ33" s="102">
        <f t="shared" si="4"/>
        <v>301690.79967843689</v>
      </c>
      <c r="AK33" s="102">
        <f t="shared" si="4"/>
        <v>269701.63803407829</v>
      </c>
      <c r="AL33" s="102">
        <f t="shared" si="4"/>
        <v>237712.47638971958</v>
      </c>
      <c r="AM33" s="102">
        <f t="shared" si="4"/>
        <v>205723.31474536096</v>
      </c>
      <c r="AN33" s="102">
        <f t="shared" si="4"/>
        <v>173734.15310100224</v>
      </c>
      <c r="AO33" s="102">
        <f t="shared" si="4"/>
        <v>141744.99145664362</v>
      </c>
      <c r="AP33" s="102">
        <f t="shared" si="4"/>
        <v>109755.82981228495</v>
      </c>
      <c r="AQ33" s="102">
        <f t="shared" si="4"/>
        <v>77766.668167926284</v>
      </c>
      <c r="AR33" s="102">
        <f t="shared" si="4"/>
        <v>45777.506523567623</v>
      </c>
      <c r="AS33" s="102">
        <f t="shared" si="4"/>
        <v>15269.885040890054</v>
      </c>
      <c r="AT33" s="102">
        <f t="shared" si="4"/>
        <v>29782.925701388296</v>
      </c>
      <c r="AU33" s="105">
        <f t="shared" si="3"/>
        <v>30190172.172586717</v>
      </c>
    </row>
    <row r="34" spans="1:47" x14ac:dyDescent="0.2">
      <c r="A34" s="231">
        <f>A33+1</f>
        <v>5</v>
      </c>
      <c r="B34" s="2"/>
      <c r="C34" s="2" t="s">
        <v>9</v>
      </c>
      <c r="D34" s="263"/>
      <c r="E34" s="40">
        <f>E49*$F12</f>
        <v>2519785.6761554936</v>
      </c>
      <c r="F34" s="100">
        <f t="shared" ref="F34:AT34" si="5">F49*$F12</f>
        <v>2441633.4154656297</v>
      </c>
      <c r="G34" s="100">
        <f t="shared" si="5"/>
        <v>2355048.6147627463</v>
      </c>
      <c r="H34" s="100">
        <f t="shared" si="5"/>
        <v>2271258.0566396145</v>
      </c>
      <c r="I34" s="100">
        <f t="shared" si="5"/>
        <v>2190052.5751449675</v>
      </c>
      <c r="J34" s="100">
        <f t="shared" si="5"/>
        <v>2111239.0940160966</v>
      </c>
      <c r="K34" s="100">
        <f t="shared" si="5"/>
        <v>2034637.9450640925</v>
      </c>
      <c r="L34" s="100">
        <f t="shared" si="5"/>
        <v>1960082.8681738453</v>
      </c>
      <c r="M34" s="100">
        <f t="shared" si="5"/>
        <v>1886670.1591712895</v>
      </c>
      <c r="N34" s="100">
        <f t="shared" si="5"/>
        <v>1813421.0286690842</v>
      </c>
      <c r="O34" s="100">
        <f t="shared" si="5"/>
        <v>1740171.8981668786</v>
      </c>
      <c r="P34" s="100">
        <f t="shared" si="5"/>
        <v>1666922.767664673</v>
      </c>
      <c r="Q34" s="100">
        <f t="shared" si="5"/>
        <v>1593673.6371624672</v>
      </c>
      <c r="R34" s="100">
        <f t="shared" si="5"/>
        <v>1520424.5066602619</v>
      </c>
      <c r="S34" s="100">
        <f t="shared" si="5"/>
        <v>1447175.3761580561</v>
      </c>
      <c r="T34" s="100">
        <f t="shared" si="5"/>
        <v>1373926.2456558505</v>
      </c>
      <c r="U34" s="100">
        <f t="shared" si="5"/>
        <v>1300677.1151536449</v>
      </c>
      <c r="V34" s="100">
        <f t="shared" si="5"/>
        <v>1227427.9846514396</v>
      </c>
      <c r="W34" s="100">
        <f t="shared" si="5"/>
        <v>1154178.8541492338</v>
      </c>
      <c r="X34" s="100">
        <f t="shared" si="5"/>
        <v>1080929.7236470284</v>
      </c>
      <c r="Y34" s="100">
        <f t="shared" si="5"/>
        <v>1013663.2756740229</v>
      </c>
      <c r="Z34" s="100">
        <f t="shared" si="5"/>
        <v>958359.51114465785</v>
      </c>
      <c r="AA34" s="100">
        <f t="shared" si="5"/>
        <v>909038.42914449307</v>
      </c>
      <c r="AB34" s="100">
        <f t="shared" si="5"/>
        <v>859717.34714432829</v>
      </c>
      <c r="AC34" s="100">
        <f t="shared" si="5"/>
        <v>810396.26514416339</v>
      </c>
      <c r="AD34" s="100">
        <f t="shared" si="5"/>
        <v>761075.18314399826</v>
      </c>
      <c r="AE34" s="100">
        <f t="shared" si="5"/>
        <v>711754.10114383325</v>
      </c>
      <c r="AF34" s="100">
        <f t="shared" si="5"/>
        <v>662433.01914366824</v>
      </c>
      <c r="AG34" s="100">
        <f t="shared" si="5"/>
        <v>613111.93714350322</v>
      </c>
      <c r="AH34" s="100">
        <f t="shared" si="5"/>
        <v>563790.85514333821</v>
      </c>
      <c r="AI34" s="100">
        <f t="shared" si="5"/>
        <v>514469.7731431732</v>
      </c>
      <c r="AJ34" s="100">
        <f t="shared" si="5"/>
        <v>465148.69114300812</v>
      </c>
      <c r="AK34" s="100">
        <f t="shared" si="5"/>
        <v>415827.60914284311</v>
      </c>
      <c r="AL34" s="100">
        <f t="shared" si="5"/>
        <v>366506.52714267804</v>
      </c>
      <c r="AM34" s="100">
        <f t="shared" si="5"/>
        <v>317185.44514251308</v>
      </c>
      <c r="AN34" s="100">
        <f t="shared" si="5"/>
        <v>267864.36314234795</v>
      </c>
      <c r="AO34" s="100">
        <f t="shared" si="5"/>
        <v>218543.281142183</v>
      </c>
      <c r="AP34" s="100">
        <f t="shared" si="5"/>
        <v>169222.19914201795</v>
      </c>
      <c r="AQ34" s="100">
        <f t="shared" si="5"/>
        <v>119901.11714185291</v>
      </c>
      <c r="AR34" s="100">
        <f t="shared" si="5"/>
        <v>70580.035141687884</v>
      </c>
      <c r="AS34" s="100">
        <f t="shared" si="5"/>
        <v>23543.200681773629</v>
      </c>
      <c r="AT34" s="100">
        <f t="shared" si="5"/>
        <v>45919.49414160537</v>
      </c>
      <c r="AU34" s="105">
        <f t="shared" si="3"/>
        <v>46547389.202550098</v>
      </c>
    </row>
    <row r="35" spans="1:47" x14ac:dyDescent="0.2">
      <c r="A35" s="231">
        <f>A34+1</f>
        <v>6</v>
      </c>
      <c r="B35" s="2"/>
      <c r="C35" s="2" t="s">
        <v>58</v>
      </c>
      <c r="D35" s="263"/>
      <c r="E35" s="38">
        <f>E32+E33+E34</f>
        <v>4154093.5225123102</v>
      </c>
      <c r="F35" s="102">
        <f>F32+F33+F34</f>
        <v>4025252.4853663309</v>
      </c>
      <c r="G35" s="102">
        <f>G32+G33+G34</f>
        <v>3882509.6468973691</v>
      </c>
      <c r="H35" s="102">
        <f t="shared" ref="H35:AT35" si="6">H32+H33+H34</f>
        <v>3744373.3688635724</v>
      </c>
      <c r="I35" s="102">
        <f t="shared" si="6"/>
        <v>3610498.8223648053</v>
      </c>
      <c r="J35" s="102">
        <f t="shared" si="6"/>
        <v>3480567.70380094</v>
      </c>
      <c r="K35" s="102">
        <f t="shared" si="6"/>
        <v>3354283.8139885254</v>
      </c>
      <c r="L35" s="102">
        <f t="shared" si="6"/>
        <v>3231373.0581607865</v>
      </c>
      <c r="M35" s="102">
        <f t="shared" si="6"/>
        <v>3110345.598633796</v>
      </c>
      <c r="N35" s="102">
        <f t="shared" si="6"/>
        <v>2989587.8129902473</v>
      </c>
      <c r="O35" s="102">
        <f t="shared" si="6"/>
        <v>2868830.0273466976</v>
      </c>
      <c r="P35" s="102">
        <f t="shared" si="6"/>
        <v>2748072.2417031489</v>
      </c>
      <c r="Q35" s="102">
        <f t="shared" si="6"/>
        <v>2627314.4560595988</v>
      </c>
      <c r="R35" s="102">
        <f t="shared" si="6"/>
        <v>2506556.6704160501</v>
      </c>
      <c r="S35" s="102">
        <f t="shared" si="6"/>
        <v>2385798.8847725</v>
      </c>
      <c r="T35" s="102">
        <f t="shared" si="6"/>
        <v>2265041.0991289509</v>
      </c>
      <c r="U35" s="102">
        <f t="shared" si="6"/>
        <v>2144283.3134854017</v>
      </c>
      <c r="V35" s="102">
        <f t="shared" si="6"/>
        <v>2023525.5278418525</v>
      </c>
      <c r="W35" s="102">
        <f t="shared" si="6"/>
        <v>1902767.7421983029</v>
      </c>
      <c r="X35" s="102">
        <f t="shared" si="6"/>
        <v>1782009.9565547539</v>
      </c>
      <c r="Y35" s="102">
        <f t="shared" si="6"/>
        <v>1671115.1616317946</v>
      </c>
      <c r="Z35" s="102">
        <f t="shared" si="6"/>
        <v>1579941.9272666811</v>
      </c>
      <c r="AA35" s="102">
        <f t="shared" si="6"/>
        <v>1498631.6836221577</v>
      </c>
      <c r="AB35" s="102">
        <f t="shared" si="6"/>
        <v>1417321.4399776345</v>
      </c>
      <c r="AC35" s="102">
        <f t="shared" si="6"/>
        <v>1336011.196333111</v>
      </c>
      <c r="AD35" s="102">
        <f t="shared" si="6"/>
        <v>1254700.9526885871</v>
      </c>
      <c r="AE35" s="102">
        <f t="shared" si="6"/>
        <v>1173390.7090440635</v>
      </c>
      <c r="AF35" s="102">
        <f t="shared" si="6"/>
        <v>1092080.4653995398</v>
      </c>
      <c r="AG35" s="102">
        <f t="shared" si="6"/>
        <v>1010770.2217550161</v>
      </c>
      <c r="AH35" s="102">
        <f t="shared" si="6"/>
        <v>929459.97811049246</v>
      </c>
      <c r="AI35" s="102">
        <f t="shared" si="6"/>
        <v>848149.7344659688</v>
      </c>
      <c r="AJ35" s="102">
        <f t="shared" si="6"/>
        <v>766839.49082144501</v>
      </c>
      <c r="AK35" s="102">
        <f t="shared" si="6"/>
        <v>685529.24717692146</v>
      </c>
      <c r="AL35" s="102">
        <f t="shared" si="6"/>
        <v>604219.00353239756</v>
      </c>
      <c r="AM35" s="102">
        <f t="shared" si="6"/>
        <v>522908.75988787401</v>
      </c>
      <c r="AN35" s="102">
        <f t="shared" si="6"/>
        <v>441598.51624335023</v>
      </c>
      <c r="AO35" s="102">
        <f t="shared" si="6"/>
        <v>360288.27259882662</v>
      </c>
      <c r="AP35" s="102">
        <f t="shared" si="6"/>
        <v>278978.02895430289</v>
      </c>
      <c r="AQ35" s="102">
        <f t="shared" si="6"/>
        <v>197667.7853097792</v>
      </c>
      <c r="AR35" s="102">
        <f t="shared" si="6"/>
        <v>116357.5416652555</v>
      </c>
      <c r="AS35" s="102">
        <f t="shared" si="6"/>
        <v>38813.085722663687</v>
      </c>
      <c r="AT35" s="102">
        <f t="shared" si="6"/>
        <v>75702.419842993666</v>
      </c>
      <c r="AU35" s="105">
        <f t="shared" si="3"/>
        <v>76737561.375136793</v>
      </c>
    </row>
    <row r="36" spans="1:47" x14ac:dyDescent="0.2">
      <c r="A36" s="2"/>
      <c r="B36" s="2"/>
      <c r="C36" s="2"/>
      <c r="D36" s="263"/>
      <c r="E36" s="38"/>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5">
        <f t="shared" si="3"/>
        <v>0</v>
      </c>
    </row>
    <row r="37" spans="1:47" x14ac:dyDescent="0.2">
      <c r="A37" s="231">
        <f>A35+1</f>
        <v>7</v>
      </c>
      <c r="B37" s="2" t="s">
        <v>59</v>
      </c>
      <c r="C37" s="2"/>
      <c r="D37" s="263"/>
      <c r="E37" s="41">
        <f>E27+E29+E35</f>
        <v>6178177.8502265867</v>
      </c>
      <c r="F37" s="99">
        <f>F27+F29+F35</f>
        <v>6028562.16150482</v>
      </c>
      <c r="G37" s="99">
        <f t="shared" ref="G37:AT37" si="7">G27+G29+G35</f>
        <v>5862803.1101907883</v>
      </c>
      <c r="H37" s="99">
        <f t="shared" si="7"/>
        <v>5702393.3926559063</v>
      </c>
      <c r="I37" s="99">
        <f t="shared" si="7"/>
        <v>5546932.5789243849</v>
      </c>
      <c r="J37" s="99">
        <f t="shared" si="7"/>
        <v>5396051.0413262621</v>
      </c>
      <c r="K37" s="99">
        <f t="shared" si="7"/>
        <v>5249404.8207797706</v>
      </c>
      <c r="L37" s="99">
        <f t="shared" si="7"/>
        <v>5106675.6267913338</v>
      </c>
      <c r="M37" s="99">
        <f t="shared" si="7"/>
        <v>4966133.3965168279</v>
      </c>
      <c r="N37" s="99">
        <f t="shared" si="7"/>
        <v>4825904.3230182631</v>
      </c>
      <c r="O37" s="99">
        <f t="shared" si="7"/>
        <v>4685675.2495196965</v>
      </c>
      <c r="P37" s="99">
        <f t="shared" si="7"/>
        <v>4545446.1760211308</v>
      </c>
      <c r="Q37" s="99">
        <f t="shared" si="7"/>
        <v>4405217.1025225641</v>
      </c>
      <c r="R37" s="99">
        <f t="shared" si="7"/>
        <v>4264988.0290239993</v>
      </c>
      <c r="S37" s="99">
        <f t="shared" si="7"/>
        <v>4124758.9555254322</v>
      </c>
      <c r="T37" s="99">
        <f t="shared" si="7"/>
        <v>3984529.8820268661</v>
      </c>
      <c r="U37" s="99">
        <f t="shared" si="7"/>
        <v>3844300.8085283004</v>
      </c>
      <c r="V37" s="99">
        <f t="shared" si="7"/>
        <v>3704071.7350297347</v>
      </c>
      <c r="W37" s="99">
        <f t="shared" si="7"/>
        <v>3563842.6615311685</v>
      </c>
      <c r="X37" s="99">
        <f t="shared" si="7"/>
        <v>3423613.5880326028</v>
      </c>
      <c r="Y37" s="99">
        <f t="shared" si="7"/>
        <v>3294837.8385851737</v>
      </c>
      <c r="Z37" s="99">
        <f t="shared" si="7"/>
        <v>3188963.6035223808</v>
      </c>
      <c r="AA37" s="99">
        <f t="shared" si="7"/>
        <v>3094542.692510725</v>
      </c>
      <c r="AB37" s="99">
        <f t="shared" si="7"/>
        <v>3000121.7814990692</v>
      </c>
      <c r="AC37" s="99">
        <f t="shared" si="7"/>
        <v>2905700.8704874134</v>
      </c>
      <c r="AD37" s="99">
        <f t="shared" si="7"/>
        <v>2811279.9594757571</v>
      </c>
      <c r="AE37" s="99">
        <f t="shared" si="7"/>
        <v>2716859.0484641008</v>
      </c>
      <c r="AF37" s="99">
        <f t="shared" si="7"/>
        <v>2622438.137452445</v>
      </c>
      <c r="AG37" s="99">
        <f t="shared" si="7"/>
        <v>2528017.2264407887</v>
      </c>
      <c r="AH37" s="99">
        <f t="shared" si="7"/>
        <v>2433596.3154291324</v>
      </c>
      <c r="AI37" s="99">
        <f t="shared" si="7"/>
        <v>2339175.4044174766</v>
      </c>
      <c r="AJ37" s="99">
        <f t="shared" si="7"/>
        <v>2244754.4934058203</v>
      </c>
      <c r="AK37" s="99">
        <f t="shared" si="7"/>
        <v>2150333.5823941641</v>
      </c>
      <c r="AL37" s="99">
        <f t="shared" si="7"/>
        <v>2055912.6713825078</v>
      </c>
      <c r="AM37" s="99">
        <f t="shared" si="7"/>
        <v>1961491.760370852</v>
      </c>
      <c r="AN37" s="99">
        <f t="shared" si="7"/>
        <v>1867070.8493591954</v>
      </c>
      <c r="AO37" s="99">
        <f t="shared" si="7"/>
        <v>1772649.9383475394</v>
      </c>
      <c r="AP37" s="99">
        <f t="shared" si="7"/>
        <v>1678229.0273358831</v>
      </c>
      <c r="AQ37" s="99">
        <f t="shared" si="7"/>
        <v>1583808.1163242271</v>
      </c>
      <c r="AR37" s="99">
        <f t="shared" si="7"/>
        <v>1489387.205312571</v>
      </c>
      <c r="AS37" s="99">
        <f t="shared" si="7"/>
        <v>1273896.6587330138</v>
      </c>
      <c r="AT37" s="99">
        <f t="shared" si="7"/>
        <v>87908.867652787492</v>
      </c>
      <c r="AU37" s="105">
        <f t="shared" si="3"/>
        <v>144510458.5385994</v>
      </c>
    </row>
    <row r="38" spans="1:47" x14ac:dyDescent="0.2">
      <c r="A38" s="231">
        <f>A37+1</f>
        <v>8</v>
      </c>
      <c r="B38" s="2" t="s">
        <v>60</v>
      </c>
      <c r="C38" s="2"/>
      <c r="D38" s="263"/>
      <c r="E38" s="40">
        <f t="shared" ref="E38:AT38" si="8">E37/(1-$F16)-E37</f>
        <v>294249.49182431865</v>
      </c>
      <c r="F38" s="100">
        <f t="shared" si="8"/>
        <v>287123.71114228293</v>
      </c>
      <c r="G38" s="100">
        <f t="shared" si="8"/>
        <v>279229.06683180109</v>
      </c>
      <c r="H38" s="100">
        <f t="shared" si="8"/>
        <v>271589.19646669179</v>
      </c>
      <c r="I38" s="100">
        <f t="shared" si="8"/>
        <v>264185.02867676318</v>
      </c>
      <c r="J38" s="100">
        <f t="shared" si="8"/>
        <v>256998.95912030153</v>
      </c>
      <c r="K38" s="100">
        <f t="shared" si="8"/>
        <v>250014.60597932152</v>
      </c>
      <c r="L38" s="100">
        <f t="shared" si="8"/>
        <v>243216.80995956995</v>
      </c>
      <c r="M38" s="100">
        <f t="shared" si="8"/>
        <v>236523.17296162993</v>
      </c>
      <c r="N38" s="100">
        <f t="shared" si="8"/>
        <v>229844.45075319801</v>
      </c>
      <c r="O38" s="100">
        <f t="shared" si="8"/>
        <v>223165.72854476701</v>
      </c>
      <c r="P38" s="100">
        <f t="shared" si="8"/>
        <v>216487.00633633509</v>
      </c>
      <c r="Q38" s="100">
        <f t="shared" si="8"/>
        <v>209808.28412790317</v>
      </c>
      <c r="R38" s="100">
        <f t="shared" si="8"/>
        <v>203129.56191947218</v>
      </c>
      <c r="S38" s="100">
        <f t="shared" si="8"/>
        <v>196450.83971104072</v>
      </c>
      <c r="T38" s="100">
        <f t="shared" si="8"/>
        <v>189772.1175026088</v>
      </c>
      <c r="U38" s="100">
        <f t="shared" si="8"/>
        <v>183093.39529417735</v>
      </c>
      <c r="V38" s="100">
        <f t="shared" si="8"/>
        <v>176414.67308574589</v>
      </c>
      <c r="W38" s="100">
        <f t="shared" si="8"/>
        <v>169735.95087731443</v>
      </c>
      <c r="X38" s="100">
        <f t="shared" si="8"/>
        <v>163057.22866888298</v>
      </c>
      <c r="Y38" s="100">
        <f t="shared" si="8"/>
        <v>156923.99654886359</v>
      </c>
      <c r="Z38" s="100">
        <f t="shared" si="8"/>
        <v>151881.50010092277</v>
      </c>
      <c r="AA38" s="100">
        <f t="shared" si="8"/>
        <v>147384.49374139402</v>
      </c>
      <c r="AB38" s="100">
        <f t="shared" si="8"/>
        <v>142887.48738186527</v>
      </c>
      <c r="AC38" s="100">
        <f t="shared" si="8"/>
        <v>138390.48102233605</v>
      </c>
      <c r="AD38" s="100">
        <f t="shared" si="8"/>
        <v>133893.4746628073</v>
      </c>
      <c r="AE38" s="100">
        <f t="shared" si="8"/>
        <v>129396.46830327855</v>
      </c>
      <c r="AF38" s="100">
        <f t="shared" si="8"/>
        <v>124899.4619437498</v>
      </c>
      <c r="AG38" s="100">
        <f t="shared" si="8"/>
        <v>120402.45558422105</v>
      </c>
      <c r="AH38" s="100">
        <f t="shared" si="8"/>
        <v>115905.4492246923</v>
      </c>
      <c r="AI38" s="100">
        <f t="shared" si="8"/>
        <v>111408.44286516355</v>
      </c>
      <c r="AJ38" s="100">
        <f t="shared" si="8"/>
        <v>106911.43650563434</v>
      </c>
      <c r="AK38" s="100">
        <f t="shared" si="8"/>
        <v>102414.43014610559</v>
      </c>
      <c r="AL38" s="100">
        <f t="shared" si="8"/>
        <v>97917.423786576837</v>
      </c>
      <c r="AM38" s="100">
        <f t="shared" si="8"/>
        <v>93420.417427048087</v>
      </c>
      <c r="AN38" s="100">
        <f t="shared" si="8"/>
        <v>88923.411067519337</v>
      </c>
      <c r="AO38" s="100">
        <f t="shared" si="8"/>
        <v>84426.404707990587</v>
      </c>
      <c r="AP38" s="100">
        <f t="shared" si="8"/>
        <v>79929.398348461604</v>
      </c>
      <c r="AQ38" s="100">
        <f t="shared" si="8"/>
        <v>75432.391988932854</v>
      </c>
      <c r="AR38" s="100">
        <f t="shared" si="8"/>
        <v>70935.385629404103</v>
      </c>
      <c r="AS38" s="100">
        <f t="shared" si="8"/>
        <v>60672.168000980979</v>
      </c>
      <c r="AT38" s="100">
        <f t="shared" si="8"/>
        <v>4186.8557786395395</v>
      </c>
      <c r="AU38" s="105">
        <f t="shared" si="3"/>
        <v>6882632.7145507121</v>
      </c>
    </row>
    <row r="39" spans="1:47" x14ac:dyDescent="0.2">
      <c r="A39" s="231">
        <f>A38+1</f>
        <v>9</v>
      </c>
      <c r="B39" s="2"/>
      <c r="C39" s="2" t="s">
        <v>61</v>
      </c>
      <c r="D39" s="263"/>
      <c r="E39" s="41">
        <f>SUM(E37:E38)</f>
        <v>6472427.3420509053</v>
      </c>
      <c r="F39" s="99">
        <f t="shared" ref="F39:AT39" si="9">SUM(F37:F38)</f>
        <v>6315685.8726471029</v>
      </c>
      <c r="G39" s="99">
        <f t="shared" si="9"/>
        <v>6142032.1770225894</v>
      </c>
      <c r="H39" s="99">
        <f t="shared" si="9"/>
        <v>5973982.5891225981</v>
      </c>
      <c r="I39" s="99">
        <f t="shared" si="9"/>
        <v>5811117.6076011481</v>
      </c>
      <c r="J39" s="99">
        <f t="shared" si="9"/>
        <v>5653050.0004465636</v>
      </c>
      <c r="K39" s="99">
        <f t="shared" si="9"/>
        <v>5499419.4267590921</v>
      </c>
      <c r="L39" s="99">
        <f t="shared" si="9"/>
        <v>5349892.4367509037</v>
      </c>
      <c r="M39" s="99">
        <f t="shared" si="9"/>
        <v>5202656.5694784578</v>
      </c>
      <c r="N39" s="99">
        <f t="shared" si="9"/>
        <v>5055748.7737714611</v>
      </c>
      <c r="O39" s="99">
        <f t="shared" si="9"/>
        <v>4908840.9780644635</v>
      </c>
      <c r="P39" s="99">
        <f t="shared" si="9"/>
        <v>4761933.1823574658</v>
      </c>
      <c r="Q39" s="99">
        <f t="shared" si="9"/>
        <v>4615025.3866504673</v>
      </c>
      <c r="R39" s="99">
        <f t="shared" si="9"/>
        <v>4468117.5909434715</v>
      </c>
      <c r="S39" s="99">
        <f t="shared" si="9"/>
        <v>4321209.795236473</v>
      </c>
      <c r="T39" s="99">
        <f t="shared" si="9"/>
        <v>4174301.9995294749</v>
      </c>
      <c r="U39" s="99">
        <f t="shared" si="9"/>
        <v>4027394.2038224777</v>
      </c>
      <c r="V39" s="99">
        <f t="shared" si="9"/>
        <v>3880486.4081154806</v>
      </c>
      <c r="W39" s="99">
        <f t="shared" si="9"/>
        <v>3733578.6124084829</v>
      </c>
      <c r="X39" s="99">
        <f t="shared" si="9"/>
        <v>3586670.8167014858</v>
      </c>
      <c r="Y39" s="99">
        <f t="shared" si="9"/>
        <v>3451761.8351340373</v>
      </c>
      <c r="Z39" s="99">
        <f t="shared" si="9"/>
        <v>3340845.1036233036</v>
      </c>
      <c r="AA39" s="99">
        <f t="shared" si="9"/>
        <v>3241927.186252119</v>
      </c>
      <c r="AB39" s="99">
        <f t="shared" si="9"/>
        <v>3143009.2688809345</v>
      </c>
      <c r="AC39" s="99">
        <f t="shared" si="9"/>
        <v>3044091.3515097494</v>
      </c>
      <c r="AD39" s="99">
        <f t="shared" si="9"/>
        <v>2945173.4341385644</v>
      </c>
      <c r="AE39" s="99">
        <f t="shared" si="9"/>
        <v>2846255.5167673794</v>
      </c>
      <c r="AF39" s="99">
        <f t="shared" si="9"/>
        <v>2747337.5993961948</v>
      </c>
      <c r="AG39" s="99">
        <f t="shared" si="9"/>
        <v>2648419.6820250098</v>
      </c>
      <c r="AH39" s="99">
        <f t="shared" si="9"/>
        <v>2549501.7646538247</v>
      </c>
      <c r="AI39" s="99">
        <f t="shared" si="9"/>
        <v>2450583.8472826402</v>
      </c>
      <c r="AJ39" s="99">
        <f t="shared" si="9"/>
        <v>2351665.9299114547</v>
      </c>
      <c r="AK39" s="99">
        <f t="shared" si="9"/>
        <v>2252748.0125402696</v>
      </c>
      <c r="AL39" s="99">
        <f t="shared" si="9"/>
        <v>2153830.0951690846</v>
      </c>
      <c r="AM39" s="99">
        <f t="shared" si="9"/>
        <v>2054912.1777979</v>
      </c>
      <c r="AN39" s="99">
        <f t="shared" si="9"/>
        <v>1955994.2604267148</v>
      </c>
      <c r="AO39" s="99">
        <f t="shared" si="9"/>
        <v>1857076.34305553</v>
      </c>
      <c r="AP39" s="99">
        <f t="shared" si="9"/>
        <v>1758158.4256843447</v>
      </c>
      <c r="AQ39" s="99">
        <f t="shared" si="9"/>
        <v>1659240.5083131599</v>
      </c>
      <c r="AR39" s="99">
        <f t="shared" si="9"/>
        <v>1560322.5909419751</v>
      </c>
      <c r="AS39" s="99">
        <f t="shared" si="9"/>
        <v>1334568.8267339948</v>
      </c>
      <c r="AT39" s="99">
        <f t="shared" si="9"/>
        <v>92095.723431427032</v>
      </c>
      <c r="AU39" s="105">
        <f t="shared" si="3"/>
        <v>151393091.25315019</v>
      </c>
    </row>
    <row r="40" spans="1:47" x14ac:dyDescent="0.2">
      <c r="A40" s="231">
        <f t="shared" ref="A40:A66" si="10">A39+1</f>
        <v>10</v>
      </c>
      <c r="B40" s="2"/>
      <c r="C40" s="2"/>
      <c r="D40" s="263"/>
      <c r="E40" s="41"/>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105">
        <f t="shared" si="3"/>
        <v>0</v>
      </c>
    </row>
    <row r="41" spans="1:47" x14ac:dyDescent="0.2">
      <c r="A41" s="231">
        <f t="shared" si="10"/>
        <v>11</v>
      </c>
      <c r="B41" s="2"/>
      <c r="C41" s="2"/>
      <c r="D41" s="263"/>
      <c r="E41" s="38"/>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5">
        <f t="shared" si="3"/>
        <v>0</v>
      </c>
    </row>
    <row r="42" spans="1:47" x14ac:dyDescent="0.2">
      <c r="A42" s="231">
        <f t="shared" si="10"/>
        <v>12</v>
      </c>
      <c r="B42" s="2" t="s">
        <v>62</v>
      </c>
      <c r="C42" s="2"/>
      <c r="D42" s="263"/>
      <c r="E42" s="40">
        <f>E39</f>
        <v>6472427.3420509053</v>
      </c>
      <c r="F42" s="100">
        <f>F39</f>
        <v>6315685.8726471029</v>
      </c>
      <c r="G42" s="100">
        <f t="shared" ref="G42:AT42" si="11">G39</f>
        <v>6142032.1770225894</v>
      </c>
      <c r="H42" s="100">
        <f t="shared" si="11"/>
        <v>5973982.5891225981</v>
      </c>
      <c r="I42" s="100">
        <f t="shared" si="11"/>
        <v>5811117.6076011481</v>
      </c>
      <c r="J42" s="100">
        <f t="shared" si="11"/>
        <v>5653050.0004465636</v>
      </c>
      <c r="K42" s="100">
        <f t="shared" si="11"/>
        <v>5499419.4267590921</v>
      </c>
      <c r="L42" s="100">
        <f t="shared" si="11"/>
        <v>5349892.4367509037</v>
      </c>
      <c r="M42" s="100">
        <f t="shared" si="11"/>
        <v>5202656.5694784578</v>
      </c>
      <c r="N42" s="100">
        <f t="shared" si="11"/>
        <v>5055748.7737714611</v>
      </c>
      <c r="O42" s="100">
        <f t="shared" si="11"/>
        <v>4908840.9780644635</v>
      </c>
      <c r="P42" s="100">
        <f t="shared" si="11"/>
        <v>4761933.1823574658</v>
      </c>
      <c r="Q42" s="100">
        <f t="shared" si="11"/>
        <v>4615025.3866504673</v>
      </c>
      <c r="R42" s="100">
        <f t="shared" si="11"/>
        <v>4468117.5909434715</v>
      </c>
      <c r="S42" s="100">
        <f t="shared" si="11"/>
        <v>4321209.795236473</v>
      </c>
      <c r="T42" s="100">
        <f t="shared" si="11"/>
        <v>4174301.9995294749</v>
      </c>
      <c r="U42" s="100">
        <f t="shared" si="11"/>
        <v>4027394.2038224777</v>
      </c>
      <c r="V42" s="100">
        <f t="shared" si="11"/>
        <v>3880486.4081154806</v>
      </c>
      <c r="W42" s="100">
        <f t="shared" si="11"/>
        <v>3733578.6124084829</v>
      </c>
      <c r="X42" s="100">
        <f t="shared" si="11"/>
        <v>3586670.8167014858</v>
      </c>
      <c r="Y42" s="100">
        <f t="shared" si="11"/>
        <v>3451761.8351340373</v>
      </c>
      <c r="Z42" s="100">
        <f t="shared" si="11"/>
        <v>3340845.1036233036</v>
      </c>
      <c r="AA42" s="100">
        <f t="shared" si="11"/>
        <v>3241927.186252119</v>
      </c>
      <c r="AB42" s="100">
        <f t="shared" si="11"/>
        <v>3143009.2688809345</v>
      </c>
      <c r="AC42" s="100">
        <f t="shared" si="11"/>
        <v>3044091.3515097494</v>
      </c>
      <c r="AD42" s="100">
        <f t="shared" si="11"/>
        <v>2945173.4341385644</v>
      </c>
      <c r="AE42" s="100">
        <f t="shared" si="11"/>
        <v>2846255.5167673794</v>
      </c>
      <c r="AF42" s="100">
        <f t="shared" si="11"/>
        <v>2747337.5993961948</v>
      </c>
      <c r="AG42" s="100">
        <f t="shared" si="11"/>
        <v>2648419.6820250098</v>
      </c>
      <c r="AH42" s="100">
        <f t="shared" si="11"/>
        <v>2549501.7646538247</v>
      </c>
      <c r="AI42" s="100">
        <f t="shared" si="11"/>
        <v>2450583.8472826402</v>
      </c>
      <c r="AJ42" s="100">
        <f t="shared" si="11"/>
        <v>2351665.9299114547</v>
      </c>
      <c r="AK42" s="100">
        <f t="shared" si="11"/>
        <v>2252748.0125402696</v>
      </c>
      <c r="AL42" s="100">
        <f t="shared" si="11"/>
        <v>2153830.0951690846</v>
      </c>
      <c r="AM42" s="100">
        <f t="shared" si="11"/>
        <v>2054912.1777979</v>
      </c>
      <c r="AN42" s="100">
        <f t="shared" si="11"/>
        <v>1955994.2604267148</v>
      </c>
      <c r="AO42" s="100">
        <f t="shared" si="11"/>
        <v>1857076.34305553</v>
      </c>
      <c r="AP42" s="100">
        <f t="shared" si="11"/>
        <v>1758158.4256843447</v>
      </c>
      <c r="AQ42" s="100">
        <f t="shared" si="11"/>
        <v>1659240.5083131599</v>
      </c>
      <c r="AR42" s="100">
        <f t="shared" si="11"/>
        <v>1560322.5909419751</v>
      </c>
      <c r="AS42" s="100">
        <f t="shared" si="11"/>
        <v>1334568.8267339948</v>
      </c>
      <c r="AT42" s="100">
        <f t="shared" si="11"/>
        <v>92095.723431427032</v>
      </c>
      <c r="AU42" s="105">
        <f t="shared" si="3"/>
        <v>151393091.25315019</v>
      </c>
    </row>
    <row r="43" spans="1:47" x14ac:dyDescent="0.2">
      <c r="A43" s="231">
        <f t="shared" si="10"/>
        <v>13</v>
      </c>
      <c r="B43" s="2"/>
      <c r="C43" s="2"/>
      <c r="D43" s="263"/>
      <c r="E43" s="83"/>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row>
    <row r="44" spans="1:47" outlineLevel="1" x14ac:dyDescent="0.2">
      <c r="A44" s="231">
        <f t="shared" si="10"/>
        <v>14</v>
      </c>
      <c r="B44" s="2"/>
      <c r="C44" s="2"/>
      <c r="D44" s="263"/>
      <c r="E44" s="43"/>
      <c r="F44" s="263"/>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row>
    <row r="45" spans="1:47" outlineLevel="1" x14ac:dyDescent="0.2">
      <c r="A45" s="231">
        <f t="shared" si="10"/>
        <v>15</v>
      </c>
      <c r="B45" s="2" t="s">
        <v>63</v>
      </c>
      <c r="C45" s="263"/>
      <c r="D45" s="263"/>
      <c r="E45" s="45">
        <f>+E42/$F$22</f>
        <v>0.11683178739321196</v>
      </c>
      <c r="F45" s="101">
        <f t="shared" ref="F45:AT45" si="12">+F42/$F$22</f>
        <v>0.1140024955276841</v>
      </c>
      <c r="G45" s="101">
        <f t="shared" si="12"/>
        <v>0.11086792628880872</v>
      </c>
      <c r="H45" s="101">
        <f t="shared" si="12"/>
        <v>0.10783451506803055</v>
      </c>
      <c r="I45" s="101">
        <f t="shared" si="12"/>
        <v>0.10489468957608704</v>
      </c>
      <c r="J45" s="101">
        <f t="shared" si="12"/>
        <v>0.10204146000750504</v>
      </c>
      <c r="K45" s="101">
        <f t="shared" si="12"/>
        <v>9.9268321959969333E-2</v>
      </c>
      <c r="L45" s="101">
        <f t="shared" si="12"/>
        <v>9.6569256434322487E-2</v>
      </c>
      <c r="M45" s="101">
        <f t="shared" si="12"/>
        <v>9.3911547257724937E-2</v>
      </c>
      <c r="N45" s="101">
        <f t="shared" si="12"/>
        <v>9.1259759999653273E-2</v>
      </c>
      <c r="O45" s="101">
        <f t="shared" si="12"/>
        <v>8.8607972741581595E-2</v>
      </c>
      <c r="P45" s="101">
        <f t="shared" si="12"/>
        <v>8.5956185483509903E-2</v>
      </c>
      <c r="Q45" s="101">
        <f t="shared" si="12"/>
        <v>8.3304398225438211E-2</v>
      </c>
      <c r="R45" s="101">
        <f t="shared" si="12"/>
        <v>8.0652610967366561E-2</v>
      </c>
      <c r="S45" s="101">
        <f t="shared" si="12"/>
        <v>7.8000823709294856E-2</v>
      </c>
      <c r="T45" s="101">
        <f t="shared" si="12"/>
        <v>7.5349036451223164E-2</v>
      </c>
      <c r="U45" s="101">
        <f t="shared" si="12"/>
        <v>7.2697249193151486E-2</v>
      </c>
      <c r="V45" s="101">
        <f t="shared" si="12"/>
        <v>7.0045461935079822E-2</v>
      </c>
      <c r="W45" s="101">
        <f t="shared" si="12"/>
        <v>6.7393674677008131E-2</v>
      </c>
      <c r="X45" s="101">
        <f t="shared" si="12"/>
        <v>6.4741887418936453E-2</v>
      </c>
      <c r="Y45" s="101">
        <f t="shared" si="12"/>
        <v>6.2306687049900174E-2</v>
      </c>
      <c r="Z45" s="101">
        <f t="shared" si="12"/>
        <v>6.0304563378303137E-2</v>
      </c>
      <c r="AA45" s="101">
        <f t="shared" si="12"/>
        <v>5.85190265957415E-2</v>
      </c>
      <c r="AB45" s="101">
        <f t="shared" si="12"/>
        <v>5.6733489813179862E-2</v>
      </c>
      <c r="AC45" s="101">
        <f t="shared" si="12"/>
        <v>5.4947953030618217E-2</v>
      </c>
      <c r="AD45" s="101">
        <f t="shared" si="12"/>
        <v>5.3162416248056572E-2</v>
      </c>
      <c r="AE45" s="101">
        <f t="shared" si="12"/>
        <v>5.1376879465494928E-2</v>
      </c>
      <c r="AF45" s="101">
        <f t="shared" si="12"/>
        <v>4.959134268293329E-2</v>
      </c>
      <c r="AG45" s="101">
        <f t="shared" si="12"/>
        <v>4.7805805900371645E-2</v>
      </c>
      <c r="AH45" s="101">
        <f t="shared" si="12"/>
        <v>4.602026911781E-2</v>
      </c>
      <c r="AI45" s="101">
        <f t="shared" si="12"/>
        <v>4.4234732335248363E-2</v>
      </c>
      <c r="AJ45" s="101">
        <f t="shared" si="12"/>
        <v>4.2449195552686711E-2</v>
      </c>
      <c r="AK45" s="101">
        <f t="shared" si="12"/>
        <v>4.0663658770125066E-2</v>
      </c>
      <c r="AL45" s="101">
        <f t="shared" si="12"/>
        <v>3.8878121987563415E-2</v>
      </c>
      <c r="AM45" s="101">
        <f t="shared" si="12"/>
        <v>3.7092585205001784E-2</v>
      </c>
      <c r="AN45" s="101">
        <f t="shared" si="12"/>
        <v>3.5307048422440132E-2</v>
      </c>
      <c r="AO45" s="101">
        <f t="shared" si="12"/>
        <v>3.3521511639878487E-2</v>
      </c>
      <c r="AP45" s="101">
        <f t="shared" si="12"/>
        <v>3.1735974857316843E-2</v>
      </c>
      <c r="AQ45" s="101">
        <f t="shared" si="12"/>
        <v>2.9950438074755198E-2</v>
      </c>
      <c r="AR45" s="101">
        <f t="shared" si="12"/>
        <v>2.8164901292193557E-2</v>
      </c>
      <c r="AS45" s="101">
        <f t="shared" si="12"/>
        <v>2.4089889802793571E-2</v>
      </c>
      <c r="AT45" s="101">
        <f t="shared" si="12"/>
        <v>1.6623914663142629E-3</v>
      </c>
    </row>
    <row r="46" spans="1:47" outlineLevel="1" x14ac:dyDescent="0.2">
      <c r="A46" s="231">
        <f t="shared" si="10"/>
        <v>16</v>
      </c>
      <c r="B46" s="2"/>
      <c r="C46" s="2"/>
      <c r="D46" s="263"/>
      <c r="E46" s="43"/>
      <c r="F46" s="263"/>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row>
    <row r="47" spans="1:47" outlineLevel="1" x14ac:dyDescent="0.2">
      <c r="A47" s="231">
        <f t="shared" si="10"/>
        <v>17</v>
      </c>
      <c r="B47" s="2"/>
      <c r="C47" s="2"/>
      <c r="D47" s="263"/>
      <c r="E47" s="43">
        <f>+E27/2</f>
        <v>677133.94107697764</v>
      </c>
      <c r="F47" s="99"/>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row>
    <row r="48" spans="1:47" outlineLevel="1" x14ac:dyDescent="0.2">
      <c r="A48" s="231">
        <f t="shared" si="10"/>
        <v>18</v>
      </c>
      <c r="B48" s="2"/>
      <c r="C48" s="2"/>
      <c r="D48" s="263"/>
      <c r="E48" s="43">
        <f>+E60/2</f>
        <v>63281.302708403877</v>
      </c>
      <c r="F48" s="99"/>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row>
    <row r="49" spans="1:47" x14ac:dyDescent="0.2">
      <c r="A49" s="231">
        <f t="shared" si="10"/>
        <v>19</v>
      </c>
      <c r="B49" s="46" t="s">
        <v>64</v>
      </c>
      <c r="C49" s="2"/>
      <c r="D49" s="263"/>
      <c r="E49" s="41">
        <f>F22-E27/2-E60/2</f>
        <v>54659125.29621461</v>
      </c>
      <c r="F49" s="118">
        <f>$F$22-(SUM($E$27:E27)+F27/2)-(SUM($E$60:E60)+F60/2)</f>
        <v>52963848.491662249</v>
      </c>
      <c r="G49" s="118">
        <f>$F$22-(SUM($E$27:F27)+G27/2)-(SUM($E$60:F60)+G60/2)</f>
        <v>51085653.24864959</v>
      </c>
      <c r="H49" s="118">
        <f>$F$22-(SUM($E$27:G27)+H27/2)-(SUM($E$60:G60)+H60/2)</f>
        <v>49268070.642941743</v>
      </c>
      <c r="I49" s="118">
        <f>$F$22-(SUM($E$27:H27)+I27/2)-(SUM($E$60:H60)+I60/2)</f>
        <v>47506563.452168494</v>
      </c>
      <c r="J49" s="118">
        <f>$F$22-(SUM($E$27:I27)+J27/2)-(SUM($E$60:I60)+J60/2)</f>
        <v>45796943.471065</v>
      </c>
      <c r="K49" s="118">
        <f>$F$22-(SUM($E$27:J27)+K27/2)-(SUM($E$60:J60)+K60/2)</f>
        <v>44135313.341954283</v>
      </c>
      <c r="L49" s="118">
        <f>$F$22-(SUM($E$27:K27)+L27/2)-(SUM($E$60:K60)+L60/2)</f>
        <v>42518066.554747187</v>
      </c>
      <c r="M49" s="118">
        <f>$F$22-(SUM($E$27:L27)+M27/2)-(SUM($E$60:L60)+M60/2)</f>
        <v>40925599.982023634</v>
      </c>
      <c r="N49" s="118">
        <f>$F$22-(SUM($E$27:M27)+N27/2)-(SUM($E$60:M60)+N60/2)</f>
        <v>39336681.749871671</v>
      </c>
      <c r="O49" s="118">
        <f>$F$22-(SUM($E$27:N27)+O27/2)-(SUM($E$60:N60)+O60/2)</f>
        <v>37747763.517719708</v>
      </c>
      <c r="P49" s="118">
        <f>$F$22-(SUM($E$27:O27)+P27/2)-(SUM($E$60:O60)+P60/2)</f>
        <v>36158845.285567746</v>
      </c>
      <c r="Q49" s="118">
        <f>$F$22-(SUM($E$27:P27)+Q27/2)-(SUM($E$60:P60)+Q60/2)</f>
        <v>34569927.053415775</v>
      </c>
      <c r="R49" s="118">
        <f>$F$22-(SUM($E$27:Q27)+R27/2)-(SUM($E$60:Q60)+R60/2)</f>
        <v>32981008.821263816</v>
      </c>
      <c r="S49" s="118">
        <f>$F$22-(SUM($E$27:R27)+S27/2)-(SUM($E$60:R60)+S60/2)</f>
        <v>31392090.589111846</v>
      </c>
      <c r="T49" s="118">
        <f>$F$22-(SUM($E$27:S27)+T27/2)-(SUM($E$60:S60)+T60/2)</f>
        <v>29803172.356959879</v>
      </c>
      <c r="U49" s="118">
        <f>$F$22-(SUM($E$27:T27)+U27/2)-(SUM($E$60:T60)+U60/2)</f>
        <v>28214254.124807917</v>
      </c>
      <c r="V49" s="118">
        <f>$F$22-(SUM($E$27:U27)+V27/2)-(SUM($E$60:U60)+V60/2)</f>
        <v>26625335.892655954</v>
      </c>
      <c r="W49" s="118">
        <f>$F$22-(SUM($E$27:V27)+W27/2)-(SUM($E$60:V60)+W60/2)</f>
        <v>25036417.660503987</v>
      </c>
      <c r="X49" s="118">
        <f>$F$22-(SUM($E$27:W27)+X27/2)-(SUM($E$60:W60)+X60/2)</f>
        <v>23447499.428352024</v>
      </c>
      <c r="Y49" s="118">
        <f>$F$22-(SUM($E$27:X27)+Y27/2)-(SUM($E$60:X60)+Y60/2)</f>
        <v>21988357.389892034</v>
      </c>
      <c r="Z49" s="118">
        <f>$F$22-(SUM($E$27:Y27)+Z27/2)-(SUM($E$60:Y60)+Z60/2)</f>
        <v>20788709.569298435</v>
      </c>
      <c r="AA49" s="118">
        <f>$F$22-(SUM($E$27:Z27)+AA27/2)-(SUM($E$60:Z60)+AA60/2)</f>
        <v>19718837.942396812</v>
      </c>
      <c r="AB49" s="118">
        <f>$F$22-(SUM($E$27:AA27)+AB27/2)-(SUM($E$60:AA60)+AB60/2)</f>
        <v>18648966.315495189</v>
      </c>
      <c r="AC49" s="118">
        <f>$F$22-(SUM($E$27:AB27)+AC27/2)-(SUM($E$60:AB60)+AC60/2)</f>
        <v>17579094.688593566</v>
      </c>
      <c r="AD49" s="118">
        <f>$F$22-(SUM($E$27:AC27)+AD27/2)-(SUM($E$60:AC60)+AD60/2)</f>
        <v>16509223.061691936</v>
      </c>
      <c r="AE49" s="118">
        <f>$F$22-(SUM($E$27:AD27)+AE27/2)-(SUM($E$60:AD60)+AE60/2)</f>
        <v>15439351.43479031</v>
      </c>
      <c r="AF49" s="118">
        <f>$F$22-(SUM($E$27:AE27)+AF27/2)-(SUM($E$60:AE60)+AF60/2)</f>
        <v>14369479.807888681</v>
      </c>
      <c r="AG49" s="118">
        <f>$F$22-(SUM($E$27:AF27)+AG27/2)-(SUM($E$60:AF60)+AG60/2)</f>
        <v>13299608.180987054</v>
      </c>
      <c r="AH49" s="118">
        <f>$F$22-(SUM($E$27:AG27)+AH27/2)-(SUM($E$60:AG60)+AH60/2)</f>
        <v>12229736.554085426</v>
      </c>
      <c r="AI49" s="118">
        <f>$F$22-(SUM($E$27:AH27)+AI27/2)-(SUM($E$60:AH60)+AI60/2)</f>
        <v>11159864.927183799</v>
      </c>
      <c r="AJ49" s="118">
        <f>$F$22-(SUM($E$27:AI27)+AJ27/2)-(SUM($E$60:AI60)+AJ60/2)</f>
        <v>10089993.300282171</v>
      </c>
      <c r="AK49" s="118">
        <f>$F$22-(SUM($E$27:AJ27)+AK27/2)-(SUM($E$60:AJ60)+AK60/2)</f>
        <v>9020121.6733805444</v>
      </c>
      <c r="AL49" s="118">
        <f>$F$22-(SUM($E$27:AK27)+AL27/2)-(SUM($E$60:AK60)+AL60/2)</f>
        <v>7950250.046478916</v>
      </c>
      <c r="AM49" s="118">
        <f>$F$22-(SUM($E$27:AL27)+AM27/2)-(SUM($E$60:AL60)+AM60/2)</f>
        <v>6880378.4195772894</v>
      </c>
      <c r="AN49" s="118">
        <f>$F$22-(SUM($E$27:AM27)+AN27/2)-(SUM($E$60:AM60)+AN60/2)</f>
        <v>5810506.7926756609</v>
      </c>
      <c r="AO49" s="118">
        <f>$F$22-(SUM($E$27:AN27)+AO27/2)-(SUM($E$60:AN60)+AO60/2)</f>
        <v>4740635.1657740343</v>
      </c>
      <c r="AP49" s="118">
        <f>$F$22-(SUM($E$27:AO27)+AP27/2)-(SUM($E$60:AO60)+AP60/2)</f>
        <v>3670763.5388724064</v>
      </c>
      <c r="AQ49" s="118">
        <f>$F$22-(SUM($E$27:AP27)+AQ27/2)-(SUM($E$60:AP60)+AQ60/2)</f>
        <v>2600891.9119707788</v>
      </c>
      <c r="AR49" s="118">
        <f>$F$22-(SUM($E$27:AQ27)+AR27/2)-(SUM($E$60:AQ60)+AR60/2)</f>
        <v>1531020.2850691513</v>
      </c>
      <c r="AS49" s="118">
        <f>$F$22-(SUM($E$27:AR27)+AS27/2)-(SUM($E$60:AR60)+AS60/2)</f>
        <v>510698.49635083793</v>
      </c>
      <c r="AT49" s="118">
        <f>$F$22-(SUM($E$27:AR27)+AT27/2)-(SUM($E$60:AR60)+AT60/2)</f>
        <v>996084.47161833767</v>
      </c>
      <c r="AU49" s="105">
        <f t="shared" ref="AU49:AU60" si="13">SUM(D49:AT49)</f>
        <v>1009704754.9360095</v>
      </c>
    </row>
    <row r="50" spans="1:47" x14ac:dyDescent="0.2">
      <c r="A50" s="231">
        <f t="shared" si="10"/>
        <v>20</v>
      </c>
      <c r="B50" s="2"/>
      <c r="C50" s="2"/>
      <c r="D50" s="263"/>
      <c r="E50" s="84"/>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5">
        <f t="shared" si="13"/>
        <v>0</v>
      </c>
    </row>
    <row r="51" spans="1:47" x14ac:dyDescent="0.2">
      <c r="A51" s="231">
        <f t="shared" si="10"/>
        <v>21</v>
      </c>
      <c r="B51" s="2"/>
      <c r="C51" s="2"/>
      <c r="D51" s="263"/>
      <c r="E51" s="38"/>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5">
        <f t="shared" si="13"/>
        <v>0</v>
      </c>
    </row>
    <row r="52" spans="1:47" x14ac:dyDescent="0.2">
      <c r="A52" s="231">
        <f t="shared" si="10"/>
        <v>22</v>
      </c>
      <c r="B52" s="2" t="s">
        <v>65</v>
      </c>
      <c r="C52" s="2"/>
      <c r="D52" s="263"/>
      <c r="E52" s="38">
        <f>(E34)/(1-$F$15)</f>
        <v>3189602.1217158143</v>
      </c>
      <c r="F52" s="102">
        <f t="shared" ref="F52:AT52" si="14">(F34)/(1-$F$15)</f>
        <v>3090675.2094501639</v>
      </c>
      <c r="G52" s="102">
        <f t="shared" si="14"/>
        <v>2981074.1959022102</v>
      </c>
      <c r="H52" s="102">
        <f t="shared" si="14"/>
        <v>2875010.1982779931</v>
      </c>
      <c r="I52" s="102">
        <f t="shared" si="14"/>
        <v>2772218.4495505919</v>
      </c>
      <c r="J52" s="102">
        <f t="shared" si="14"/>
        <v>2672454.5493874638</v>
      </c>
      <c r="K52" s="102">
        <f t="shared" si="14"/>
        <v>2575491.0697013829</v>
      </c>
      <c r="L52" s="102">
        <f t="shared" si="14"/>
        <v>2481117.5546504371</v>
      </c>
      <c r="M52" s="102">
        <f t="shared" si="14"/>
        <v>2388190.0749003664</v>
      </c>
      <c r="N52" s="102">
        <f t="shared" si="14"/>
        <v>2295469.6565431445</v>
      </c>
      <c r="O52" s="102">
        <f t="shared" si="14"/>
        <v>2202749.2381859221</v>
      </c>
      <c r="P52" s="102">
        <f t="shared" si="14"/>
        <v>2110028.8198286998</v>
      </c>
      <c r="Q52" s="102">
        <f t="shared" si="14"/>
        <v>2017308.4014714775</v>
      </c>
      <c r="R52" s="102">
        <f t="shared" si="14"/>
        <v>1924587.9831142554</v>
      </c>
      <c r="S52" s="102">
        <f t="shared" si="14"/>
        <v>1831867.564757033</v>
      </c>
      <c r="T52" s="102">
        <f t="shared" si="14"/>
        <v>1739147.1463998107</v>
      </c>
      <c r="U52" s="102">
        <f t="shared" si="14"/>
        <v>1646426.7280425883</v>
      </c>
      <c r="V52" s="102">
        <f t="shared" si="14"/>
        <v>1553706.3096853665</v>
      </c>
      <c r="W52" s="102">
        <f t="shared" si="14"/>
        <v>1460985.8913281439</v>
      </c>
      <c r="X52" s="102">
        <f t="shared" si="14"/>
        <v>1368265.472970922</v>
      </c>
      <c r="Y52" s="102">
        <f t="shared" si="14"/>
        <v>1283118.0704734465</v>
      </c>
      <c r="Z52" s="102">
        <f t="shared" si="14"/>
        <v>1213113.3052464023</v>
      </c>
      <c r="AA52" s="102">
        <f t="shared" si="14"/>
        <v>1150681.5558791051</v>
      </c>
      <c r="AB52" s="102">
        <f t="shared" si="14"/>
        <v>1088249.806511808</v>
      </c>
      <c r="AC52" s="102">
        <f t="shared" si="14"/>
        <v>1025818.0571445106</v>
      </c>
      <c r="AD52" s="102">
        <f t="shared" si="14"/>
        <v>963386.30777721293</v>
      </c>
      <c r="AE52" s="102">
        <f t="shared" si="14"/>
        <v>900954.55840991542</v>
      </c>
      <c r="AF52" s="102">
        <f t="shared" si="14"/>
        <v>838522.80904261803</v>
      </c>
      <c r="AG52" s="102">
        <f t="shared" si="14"/>
        <v>776091.05967532052</v>
      </c>
      <c r="AH52" s="102">
        <f t="shared" si="14"/>
        <v>713659.31030802301</v>
      </c>
      <c r="AI52" s="102">
        <f t="shared" si="14"/>
        <v>651227.5609407255</v>
      </c>
      <c r="AJ52" s="102">
        <f t="shared" si="14"/>
        <v>588795.81157342799</v>
      </c>
      <c r="AK52" s="102">
        <f t="shared" si="14"/>
        <v>526364.06220613047</v>
      </c>
      <c r="AL52" s="102">
        <f t="shared" si="14"/>
        <v>463932.31283883296</v>
      </c>
      <c r="AM52" s="102">
        <f t="shared" si="14"/>
        <v>401500.56347153551</v>
      </c>
      <c r="AN52" s="102">
        <f t="shared" si="14"/>
        <v>339068.81410423788</v>
      </c>
      <c r="AO52" s="102">
        <f t="shared" si="14"/>
        <v>276637.06473694049</v>
      </c>
      <c r="AP52" s="102">
        <f t="shared" si="14"/>
        <v>214205.31536964298</v>
      </c>
      <c r="AQ52" s="102">
        <f t="shared" si="14"/>
        <v>151773.56600234544</v>
      </c>
      <c r="AR52" s="102">
        <f t="shared" si="14"/>
        <v>89341.816635047944</v>
      </c>
      <c r="AS52" s="102">
        <f t="shared" si="14"/>
        <v>29801.519850346365</v>
      </c>
      <c r="AT52" s="102">
        <f t="shared" si="14"/>
        <v>58125.941951399196</v>
      </c>
      <c r="AU52" s="105">
        <f t="shared" si="13"/>
        <v>58920745.82601276</v>
      </c>
    </row>
    <row r="53" spans="1:47" x14ac:dyDescent="0.2">
      <c r="A53" s="231">
        <f t="shared" si="10"/>
        <v>23</v>
      </c>
      <c r="B53" s="2" t="s">
        <v>66</v>
      </c>
      <c r="C53" s="2"/>
      <c r="D53" s="263"/>
      <c r="E53" s="40">
        <f t="shared" ref="E53:AT53" si="15">E52*$F15</f>
        <v>669816.44556032098</v>
      </c>
      <c r="F53" s="100">
        <f t="shared" si="15"/>
        <v>649041.79398453434</v>
      </c>
      <c r="G53" s="100">
        <f t="shared" si="15"/>
        <v>626025.58113946416</v>
      </c>
      <c r="H53" s="100">
        <f t="shared" si="15"/>
        <v>603752.1416383785</v>
      </c>
      <c r="I53" s="100">
        <f t="shared" si="15"/>
        <v>582165.87440562423</v>
      </c>
      <c r="J53" s="100">
        <f t="shared" si="15"/>
        <v>561215.4553713674</v>
      </c>
      <c r="K53" s="100">
        <f t="shared" si="15"/>
        <v>540853.12463729037</v>
      </c>
      <c r="L53" s="100">
        <f t="shared" si="15"/>
        <v>521034.68647659174</v>
      </c>
      <c r="M53" s="100">
        <f t="shared" si="15"/>
        <v>501519.91572907689</v>
      </c>
      <c r="N53" s="100">
        <f t="shared" si="15"/>
        <v>482048.6278740603</v>
      </c>
      <c r="O53" s="100">
        <f t="shared" si="15"/>
        <v>462577.34001904365</v>
      </c>
      <c r="P53" s="100">
        <f t="shared" si="15"/>
        <v>443106.05216402694</v>
      </c>
      <c r="Q53" s="100">
        <f t="shared" si="15"/>
        <v>423634.76430901024</v>
      </c>
      <c r="R53" s="100">
        <f t="shared" si="15"/>
        <v>404163.47645399359</v>
      </c>
      <c r="S53" s="100">
        <f t="shared" si="15"/>
        <v>384692.18859897694</v>
      </c>
      <c r="T53" s="100">
        <f t="shared" si="15"/>
        <v>365220.90074396023</v>
      </c>
      <c r="U53" s="100">
        <f t="shared" si="15"/>
        <v>345749.61288894352</v>
      </c>
      <c r="V53" s="100">
        <f t="shared" si="15"/>
        <v>326278.32503392693</v>
      </c>
      <c r="W53" s="100">
        <f t="shared" si="15"/>
        <v>306807.03717891022</v>
      </c>
      <c r="X53" s="100">
        <f t="shared" si="15"/>
        <v>287335.74932389363</v>
      </c>
      <c r="Y53" s="100">
        <f t="shared" si="15"/>
        <v>269454.79479942378</v>
      </c>
      <c r="Z53" s="100">
        <f t="shared" si="15"/>
        <v>254753.79410174448</v>
      </c>
      <c r="AA53" s="100">
        <f t="shared" si="15"/>
        <v>241643.12673461207</v>
      </c>
      <c r="AB53" s="100">
        <f t="shared" si="15"/>
        <v>228532.45936747966</v>
      </c>
      <c r="AC53" s="100">
        <f t="shared" si="15"/>
        <v>215421.7920003472</v>
      </c>
      <c r="AD53" s="100">
        <f t="shared" si="15"/>
        <v>202311.1246332147</v>
      </c>
      <c r="AE53" s="100">
        <f t="shared" si="15"/>
        <v>189200.45726608223</v>
      </c>
      <c r="AF53" s="100">
        <f t="shared" si="15"/>
        <v>176089.78989894979</v>
      </c>
      <c r="AG53" s="100">
        <f t="shared" si="15"/>
        <v>162979.12253181729</v>
      </c>
      <c r="AH53" s="100">
        <f t="shared" si="15"/>
        <v>149868.45516468483</v>
      </c>
      <c r="AI53" s="100">
        <f t="shared" si="15"/>
        <v>136757.78779755236</v>
      </c>
      <c r="AJ53" s="100">
        <f t="shared" si="15"/>
        <v>123647.12043041988</v>
      </c>
      <c r="AK53" s="100">
        <f t="shared" si="15"/>
        <v>110536.45306328739</v>
      </c>
      <c r="AL53" s="100">
        <f t="shared" si="15"/>
        <v>97425.785696154926</v>
      </c>
      <c r="AM53" s="100">
        <f t="shared" si="15"/>
        <v>84315.118329022458</v>
      </c>
      <c r="AN53" s="100">
        <f t="shared" si="15"/>
        <v>71204.450961889946</v>
      </c>
      <c r="AO53" s="100">
        <f t="shared" si="15"/>
        <v>58093.7835947575</v>
      </c>
      <c r="AP53" s="100">
        <f t="shared" si="15"/>
        <v>44983.116227625025</v>
      </c>
      <c r="AQ53" s="100">
        <f t="shared" si="15"/>
        <v>31872.448860492543</v>
      </c>
      <c r="AR53" s="100">
        <f t="shared" si="15"/>
        <v>18761.781493360068</v>
      </c>
      <c r="AS53" s="100">
        <f t="shared" si="15"/>
        <v>6258.3191685727361</v>
      </c>
      <c r="AT53" s="100">
        <f t="shared" si="15"/>
        <v>12206.44780979383</v>
      </c>
      <c r="AU53" s="105">
        <f t="shared" si="13"/>
        <v>12373356.623462679</v>
      </c>
    </row>
    <row r="54" spans="1:47" x14ac:dyDescent="0.2">
      <c r="A54" s="231">
        <f t="shared" si="10"/>
        <v>24</v>
      </c>
      <c r="B54" s="2" t="s">
        <v>67</v>
      </c>
      <c r="C54" s="2"/>
      <c r="D54" s="263"/>
      <c r="E54" s="38">
        <f>E52-E53</f>
        <v>2519785.6761554936</v>
      </c>
      <c r="F54" s="102">
        <f t="shared" ref="F54:AT54" si="16">F52-F53</f>
        <v>2441633.4154656297</v>
      </c>
      <c r="G54" s="102">
        <f t="shared" si="16"/>
        <v>2355048.6147627458</v>
      </c>
      <c r="H54" s="102">
        <f t="shared" si="16"/>
        <v>2271258.0566396145</v>
      </c>
      <c r="I54" s="102">
        <f t="shared" si="16"/>
        <v>2190052.5751449675</v>
      </c>
      <c r="J54" s="102">
        <f t="shared" si="16"/>
        <v>2111239.0940160966</v>
      </c>
      <c r="K54" s="102">
        <f t="shared" si="16"/>
        <v>2034637.9450640925</v>
      </c>
      <c r="L54" s="102">
        <f t="shared" si="16"/>
        <v>1960082.8681738453</v>
      </c>
      <c r="M54" s="102">
        <f t="shared" si="16"/>
        <v>1886670.1591712895</v>
      </c>
      <c r="N54" s="102">
        <f t="shared" si="16"/>
        <v>1813421.0286690842</v>
      </c>
      <c r="O54" s="102">
        <f t="shared" si="16"/>
        <v>1740171.8981668786</v>
      </c>
      <c r="P54" s="102">
        <f t="shared" si="16"/>
        <v>1666922.7676646728</v>
      </c>
      <c r="Q54" s="102">
        <f t="shared" si="16"/>
        <v>1593673.6371624672</v>
      </c>
      <c r="R54" s="102">
        <f t="shared" si="16"/>
        <v>1520424.5066602617</v>
      </c>
      <c r="S54" s="102">
        <f t="shared" si="16"/>
        <v>1447175.3761580561</v>
      </c>
      <c r="T54" s="102">
        <f t="shared" si="16"/>
        <v>1373926.2456558505</v>
      </c>
      <c r="U54" s="102">
        <f t="shared" si="16"/>
        <v>1300677.1151536447</v>
      </c>
      <c r="V54" s="102">
        <f t="shared" si="16"/>
        <v>1227427.9846514396</v>
      </c>
      <c r="W54" s="102">
        <f t="shared" si="16"/>
        <v>1154178.8541492335</v>
      </c>
      <c r="X54" s="102">
        <f t="shared" si="16"/>
        <v>1080929.7236470284</v>
      </c>
      <c r="Y54" s="102">
        <f t="shared" si="16"/>
        <v>1013663.2756740227</v>
      </c>
      <c r="Z54" s="102">
        <f t="shared" si="16"/>
        <v>958359.51114465785</v>
      </c>
      <c r="AA54" s="102">
        <f t="shared" si="16"/>
        <v>909038.42914449307</v>
      </c>
      <c r="AB54" s="102">
        <f t="shared" si="16"/>
        <v>859717.34714432829</v>
      </c>
      <c r="AC54" s="102">
        <f t="shared" si="16"/>
        <v>810396.26514416339</v>
      </c>
      <c r="AD54" s="102">
        <f t="shared" si="16"/>
        <v>761075.18314399826</v>
      </c>
      <c r="AE54" s="102">
        <f t="shared" si="16"/>
        <v>711754.10114383325</v>
      </c>
      <c r="AF54" s="102">
        <f t="shared" si="16"/>
        <v>662433.01914366824</v>
      </c>
      <c r="AG54" s="102">
        <f t="shared" si="16"/>
        <v>613111.93714350322</v>
      </c>
      <c r="AH54" s="102">
        <f t="shared" si="16"/>
        <v>563790.85514333821</v>
      </c>
      <c r="AI54" s="102">
        <f t="shared" si="16"/>
        <v>514469.77314317314</v>
      </c>
      <c r="AJ54" s="102">
        <f t="shared" si="16"/>
        <v>465148.69114300812</v>
      </c>
      <c r="AK54" s="102">
        <f t="shared" si="16"/>
        <v>415827.60914284305</v>
      </c>
      <c r="AL54" s="102">
        <f t="shared" si="16"/>
        <v>366506.52714267804</v>
      </c>
      <c r="AM54" s="102">
        <f t="shared" si="16"/>
        <v>317185.44514251302</v>
      </c>
      <c r="AN54" s="102">
        <f t="shared" si="16"/>
        <v>267864.36314234795</v>
      </c>
      <c r="AO54" s="102">
        <f t="shared" si="16"/>
        <v>218543.281142183</v>
      </c>
      <c r="AP54" s="102">
        <f t="shared" si="16"/>
        <v>169222.19914201795</v>
      </c>
      <c r="AQ54" s="102">
        <f t="shared" si="16"/>
        <v>119901.1171418529</v>
      </c>
      <c r="AR54" s="102">
        <f t="shared" si="16"/>
        <v>70580.035141687869</v>
      </c>
      <c r="AS54" s="102">
        <f t="shared" si="16"/>
        <v>23543.200681773629</v>
      </c>
      <c r="AT54" s="102">
        <f t="shared" si="16"/>
        <v>45919.494141605363</v>
      </c>
      <c r="AU54" s="105">
        <f t="shared" si="13"/>
        <v>46547389.202550083</v>
      </c>
    </row>
    <row r="55" spans="1:47" x14ac:dyDescent="0.2">
      <c r="A55" s="231">
        <f t="shared" si="10"/>
        <v>25</v>
      </c>
      <c r="B55" s="2"/>
      <c r="C55" s="2"/>
      <c r="D55" s="263"/>
      <c r="E55" s="265"/>
      <c r="F55" s="264"/>
      <c r="G55" s="264"/>
      <c r="H55" s="264"/>
      <c r="I55" s="264"/>
      <c r="J55" s="264"/>
      <c r="K55" s="264"/>
      <c r="L55" s="264"/>
      <c r="M55" s="264"/>
      <c r="N55" s="264"/>
      <c r="O55" s="264"/>
      <c r="P55" s="264"/>
      <c r="Q55" s="264"/>
      <c r="R55" s="264"/>
      <c r="S55" s="264"/>
      <c r="T55" s="264"/>
      <c r="U55" s="264"/>
      <c r="V55" s="264"/>
      <c r="W55" s="264"/>
      <c r="X55" s="264"/>
      <c r="Y55" s="264"/>
      <c r="Z55" s="264"/>
      <c r="AA55" s="264"/>
      <c r="AB55" s="264"/>
      <c r="AC55" s="264"/>
      <c r="AD55" s="264"/>
      <c r="AE55" s="264"/>
      <c r="AF55" s="264"/>
      <c r="AG55" s="264"/>
      <c r="AH55" s="264"/>
      <c r="AI55" s="264"/>
      <c r="AJ55" s="264"/>
      <c r="AK55" s="264"/>
      <c r="AL55" s="264"/>
      <c r="AM55" s="264"/>
      <c r="AN55" s="264"/>
      <c r="AO55" s="264"/>
      <c r="AP55" s="264"/>
      <c r="AQ55" s="264"/>
      <c r="AR55" s="264"/>
      <c r="AS55" s="264"/>
      <c r="AT55" s="264"/>
      <c r="AU55" s="105">
        <f t="shared" si="13"/>
        <v>0</v>
      </c>
    </row>
    <row r="56" spans="1:47" x14ac:dyDescent="0.2">
      <c r="A56" s="231">
        <f t="shared" si="10"/>
        <v>26</v>
      </c>
      <c r="B56" s="2"/>
      <c r="C56" s="2"/>
      <c r="D56" s="263"/>
      <c r="E56" s="84"/>
      <c r="F56" s="264"/>
      <c r="G56" s="264"/>
      <c r="H56" s="264"/>
      <c r="I56" s="264"/>
      <c r="J56" s="264"/>
      <c r="K56" s="264"/>
      <c r="L56" s="264"/>
      <c r="M56" s="264"/>
      <c r="N56" s="264"/>
      <c r="O56" s="264"/>
      <c r="P56" s="264"/>
      <c r="Q56" s="264"/>
      <c r="R56" s="264"/>
      <c r="S56" s="264"/>
      <c r="T56" s="264"/>
      <c r="U56" s="264"/>
      <c r="V56" s="264"/>
      <c r="W56" s="264"/>
      <c r="X56" s="264"/>
      <c r="Y56" s="264"/>
      <c r="Z56" s="264"/>
      <c r="AA56" s="264"/>
      <c r="AB56" s="264"/>
      <c r="AC56" s="264"/>
      <c r="AD56" s="264"/>
      <c r="AE56" s="264"/>
      <c r="AF56" s="264"/>
      <c r="AG56" s="264"/>
      <c r="AH56" s="264"/>
      <c r="AI56" s="264"/>
      <c r="AJ56" s="264"/>
      <c r="AK56" s="264"/>
      <c r="AL56" s="264"/>
      <c r="AM56" s="264"/>
      <c r="AN56" s="264"/>
      <c r="AO56" s="264"/>
      <c r="AP56" s="264"/>
      <c r="AQ56" s="264"/>
      <c r="AR56" s="264"/>
      <c r="AS56" s="264"/>
      <c r="AT56" s="264"/>
      <c r="AU56" s="105">
        <f t="shared" si="13"/>
        <v>0</v>
      </c>
    </row>
    <row r="57" spans="1:47" x14ac:dyDescent="0.2">
      <c r="A57" s="231">
        <f t="shared" si="10"/>
        <v>27</v>
      </c>
      <c r="B57" s="2" t="s">
        <v>68</v>
      </c>
      <c r="C57" s="2"/>
      <c r="D57" s="263"/>
      <c r="E57" s="38">
        <f>E27</f>
        <v>1354267.8821539553</v>
      </c>
      <c r="F57" s="102">
        <f>F27</f>
        <v>1354267.8821539553</v>
      </c>
      <c r="G57" s="102">
        <f>G27</f>
        <v>1354267.8821539553</v>
      </c>
      <c r="H57" s="102">
        <f t="shared" ref="H57:AT57" si="17">H27</f>
        <v>1354267.8821539553</v>
      </c>
      <c r="I57" s="102">
        <f t="shared" si="17"/>
        <v>1354267.8821539553</v>
      </c>
      <c r="J57" s="102">
        <f t="shared" si="17"/>
        <v>1354267.8821539553</v>
      </c>
      <c r="K57" s="102">
        <f t="shared" si="17"/>
        <v>1354267.8821539553</v>
      </c>
      <c r="L57" s="102">
        <f t="shared" si="17"/>
        <v>1354267.8821539553</v>
      </c>
      <c r="M57" s="102">
        <f t="shared" si="17"/>
        <v>1354267.8821539553</v>
      </c>
      <c r="N57" s="102">
        <f t="shared" si="17"/>
        <v>1354267.8821539553</v>
      </c>
      <c r="O57" s="102">
        <f t="shared" si="17"/>
        <v>1354267.8821539553</v>
      </c>
      <c r="P57" s="102">
        <f t="shared" si="17"/>
        <v>1354267.8821539553</v>
      </c>
      <c r="Q57" s="102">
        <f t="shared" si="17"/>
        <v>1354267.8821539553</v>
      </c>
      <c r="R57" s="102">
        <f t="shared" si="17"/>
        <v>1354267.8821539553</v>
      </c>
      <c r="S57" s="102">
        <f t="shared" si="17"/>
        <v>1354267.8821539553</v>
      </c>
      <c r="T57" s="102">
        <f t="shared" si="17"/>
        <v>1354267.8821539553</v>
      </c>
      <c r="U57" s="102">
        <f t="shared" si="17"/>
        <v>1354267.8821539553</v>
      </c>
      <c r="V57" s="102">
        <f t="shared" si="17"/>
        <v>1354267.8821539553</v>
      </c>
      <c r="W57" s="102">
        <f t="shared" si="17"/>
        <v>1354267.8821539553</v>
      </c>
      <c r="X57" s="102">
        <f t="shared" si="17"/>
        <v>1354267.8821539553</v>
      </c>
      <c r="Y57" s="102">
        <f t="shared" si="17"/>
        <v>1354267.8821539553</v>
      </c>
      <c r="Z57" s="102">
        <f t="shared" si="17"/>
        <v>1354267.8821539553</v>
      </c>
      <c r="AA57" s="102">
        <f t="shared" si="17"/>
        <v>1354267.8821539553</v>
      </c>
      <c r="AB57" s="102">
        <f t="shared" si="17"/>
        <v>1354267.8821539553</v>
      </c>
      <c r="AC57" s="102">
        <f t="shared" si="17"/>
        <v>1354267.8821539553</v>
      </c>
      <c r="AD57" s="102">
        <f t="shared" si="17"/>
        <v>1354267.8821539553</v>
      </c>
      <c r="AE57" s="102">
        <f t="shared" si="17"/>
        <v>1354267.8821539553</v>
      </c>
      <c r="AF57" s="102">
        <f t="shared" si="17"/>
        <v>1354267.8821539553</v>
      </c>
      <c r="AG57" s="102">
        <f t="shared" si="17"/>
        <v>1354267.8821539553</v>
      </c>
      <c r="AH57" s="102">
        <f t="shared" si="17"/>
        <v>1354267.8821539553</v>
      </c>
      <c r="AI57" s="102">
        <f t="shared" si="17"/>
        <v>1354267.8821539553</v>
      </c>
      <c r="AJ57" s="102">
        <f t="shared" si="17"/>
        <v>1354267.8821539553</v>
      </c>
      <c r="AK57" s="102">
        <f t="shared" si="17"/>
        <v>1354267.8821539553</v>
      </c>
      <c r="AL57" s="102">
        <f t="shared" si="17"/>
        <v>1354267.8821539553</v>
      </c>
      <c r="AM57" s="102">
        <f t="shared" si="17"/>
        <v>1354267.8821539553</v>
      </c>
      <c r="AN57" s="102">
        <f t="shared" si="17"/>
        <v>1354267.8821539553</v>
      </c>
      <c r="AO57" s="102">
        <f t="shared" si="17"/>
        <v>1354267.8821539553</v>
      </c>
      <c r="AP57" s="102">
        <f t="shared" si="17"/>
        <v>1354267.8821539553</v>
      </c>
      <c r="AQ57" s="102">
        <f t="shared" si="17"/>
        <v>1354267.8821539553</v>
      </c>
      <c r="AR57" s="102">
        <f t="shared" si="17"/>
        <v>1354267.8821539553</v>
      </c>
      <c r="AS57" s="102">
        <f t="shared" si="17"/>
        <v>1228825.2538417773</v>
      </c>
      <c r="AT57" s="102">
        <f t="shared" si="17"/>
        <v>0</v>
      </c>
      <c r="AU57" s="105">
        <f t="shared" si="13"/>
        <v>55399540.540000021</v>
      </c>
    </row>
    <row r="58" spans="1:47" x14ac:dyDescent="0.2">
      <c r="A58" s="231">
        <f t="shared" si="10"/>
        <v>28</v>
      </c>
      <c r="B58" s="2" t="s">
        <v>69</v>
      </c>
      <c r="C58" s="2"/>
      <c r="D58" s="263"/>
      <c r="E58" s="38">
        <f>$F22*E62</f>
        <v>2077482.7702499996</v>
      </c>
      <c r="F58" s="102">
        <f t="shared" ref="F58:AT58" si="18">$F22*F62</f>
        <v>3999292.8315825998</v>
      </c>
      <c r="G58" s="102">
        <f t="shared" si="18"/>
        <v>3699027.3218557993</v>
      </c>
      <c r="H58" s="102">
        <f t="shared" si="18"/>
        <v>3422029.6191557995</v>
      </c>
      <c r="I58" s="102">
        <f t="shared" si="18"/>
        <v>3164975.7510501994</v>
      </c>
      <c r="J58" s="102">
        <f t="shared" si="18"/>
        <v>2927865.7175389994</v>
      </c>
      <c r="K58" s="102">
        <f t="shared" si="18"/>
        <v>2707929.5415951996</v>
      </c>
      <c r="L58" s="102">
        <f t="shared" si="18"/>
        <v>2505167.2232188</v>
      </c>
      <c r="M58" s="102">
        <f t="shared" si="18"/>
        <v>2471927.4988947995</v>
      </c>
      <c r="N58" s="102">
        <f t="shared" si="18"/>
        <v>2471373.5034893998</v>
      </c>
      <c r="O58" s="102">
        <f t="shared" si="18"/>
        <v>2471927.4988947995</v>
      </c>
      <c r="P58" s="102">
        <f t="shared" si="18"/>
        <v>2471373.5034893998</v>
      </c>
      <c r="Q58" s="102">
        <f t="shared" si="18"/>
        <v>2471927.4988947995</v>
      </c>
      <c r="R58" s="102">
        <f t="shared" si="18"/>
        <v>2471373.5034893998</v>
      </c>
      <c r="S58" s="102">
        <f t="shared" si="18"/>
        <v>2471927.4988947995</v>
      </c>
      <c r="T58" s="102">
        <f t="shared" si="18"/>
        <v>2471373.5034893998</v>
      </c>
      <c r="U58" s="102">
        <f t="shared" si="18"/>
        <v>2471927.4988947995</v>
      </c>
      <c r="V58" s="102">
        <f t="shared" si="18"/>
        <v>2471373.5034893998</v>
      </c>
      <c r="W58" s="102">
        <f t="shared" si="18"/>
        <v>2471927.4988947995</v>
      </c>
      <c r="X58" s="102">
        <f t="shared" si="18"/>
        <v>2471373.5034893998</v>
      </c>
      <c r="Y58" s="102">
        <f t="shared" si="18"/>
        <v>1235963.7494473998</v>
      </c>
      <c r="Z58" s="102">
        <f t="shared" si="18"/>
        <v>0</v>
      </c>
      <c r="AA58" s="102">
        <f t="shared" si="18"/>
        <v>0</v>
      </c>
      <c r="AB58" s="102">
        <f t="shared" si="18"/>
        <v>0</v>
      </c>
      <c r="AC58" s="102">
        <f t="shared" si="18"/>
        <v>0</v>
      </c>
      <c r="AD58" s="102">
        <f t="shared" si="18"/>
        <v>0</v>
      </c>
      <c r="AE58" s="102">
        <f t="shared" si="18"/>
        <v>0</v>
      </c>
      <c r="AF58" s="102">
        <f t="shared" si="18"/>
        <v>0</v>
      </c>
      <c r="AG58" s="102">
        <f t="shared" si="18"/>
        <v>0</v>
      </c>
      <c r="AH58" s="102">
        <f t="shared" si="18"/>
        <v>0</v>
      </c>
      <c r="AI58" s="102">
        <f t="shared" si="18"/>
        <v>0</v>
      </c>
      <c r="AJ58" s="102">
        <f t="shared" si="18"/>
        <v>0</v>
      </c>
      <c r="AK58" s="102">
        <f t="shared" si="18"/>
        <v>0</v>
      </c>
      <c r="AL58" s="102">
        <f t="shared" si="18"/>
        <v>0</v>
      </c>
      <c r="AM58" s="102">
        <f t="shared" si="18"/>
        <v>0</v>
      </c>
      <c r="AN58" s="102">
        <f t="shared" si="18"/>
        <v>0</v>
      </c>
      <c r="AO58" s="102">
        <f t="shared" si="18"/>
        <v>0</v>
      </c>
      <c r="AP58" s="102">
        <f t="shared" si="18"/>
        <v>0</v>
      </c>
      <c r="AQ58" s="102">
        <f t="shared" si="18"/>
        <v>0</v>
      </c>
      <c r="AR58" s="102">
        <f t="shared" si="18"/>
        <v>0</v>
      </c>
      <c r="AS58" s="102">
        <f t="shared" si="18"/>
        <v>0</v>
      </c>
      <c r="AT58" s="102">
        <f t="shared" si="18"/>
        <v>0</v>
      </c>
      <c r="AU58" s="105">
        <f t="shared" si="13"/>
        <v>55399540.539999992</v>
      </c>
    </row>
    <row r="59" spans="1:47" x14ac:dyDescent="0.2">
      <c r="A59" s="231">
        <f t="shared" si="10"/>
        <v>29</v>
      </c>
      <c r="B59" s="2" t="s">
        <v>70</v>
      </c>
      <c r="C59" s="2"/>
      <c r="D59" s="263"/>
      <c r="E59" s="38">
        <f>E58-E57</f>
        <v>723214.88809604431</v>
      </c>
      <c r="F59" s="102">
        <f>F58-F57</f>
        <v>2645024.9494286445</v>
      </c>
      <c r="G59" s="102">
        <f>G58-G57</f>
        <v>2344759.439701844</v>
      </c>
      <c r="H59" s="102">
        <f t="shared" ref="H59:AT59" si="19">H58-H57</f>
        <v>2067761.7370018442</v>
      </c>
      <c r="I59" s="102">
        <f t="shared" si="19"/>
        <v>1810707.8688962441</v>
      </c>
      <c r="J59" s="102">
        <f t="shared" si="19"/>
        <v>1573597.8353850441</v>
      </c>
      <c r="K59" s="102">
        <f t="shared" si="19"/>
        <v>1353661.6594412443</v>
      </c>
      <c r="L59" s="102">
        <f t="shared" si="19"/>
        <v>1150899.3410648447</v>
      </c>
      <c r="M59" s="102">
        <f t="shared" si="19"/>
        <v>1117659.6167408442</v>
      </c>
      <c r="N59" s="102">
        <f t="shared" si="19"/>
        <v>1117105.6213354445</v>
      </c>
      <c r="O59" s="102">
        <f t="shared" si="19"/>
        <v>1117659.6167408442</v>
      </c>
      <c r="P59" s="102">
        <f t="shared" si="19"/>
        <v>1117105.6213354445</v>
      </c>
      <c r="Q59" s="102">
        <f t="shared" si="19"/>
        <v>1117659.6167408442</v>
      </c>
      <c r="R59" s="102">
        <f t="shared" si="19"/>
        <v>1117105.6213354445</v>
      </c>
      <c r="S59" s="102">
        <f t="shared" si="19"/>
        <v>1117659.6167408442</v>
      </c>
      <c r="T59" s="102">
        <f t="shared" si="19"/>
        <v>1117105.6213354445</v>
      </c>
      <c r="U59" s="102">
        <f t="shared" si="19"/>
        <v>1117659.6167408442</v>
      </c>
      <c r="V59" s="102">
        <f t="shared" si="19"/>
        <v>1117105.6213354445</v>
      </c>
      <c r="W59" s="102">
        <f t="shared" si="19"/>
        <v>1117659.6167408442</v>
      </c>
      <c r="X59" s="102">
        <f t="shared" si="19"/>
        <v>1117105.6213354445</v>
      </c>
      <c r="Y59" s="102">
        <f t="shared" si="19"/>
        <v>-118304.13270655554</v>
      </c>
      <c r="Z59" s="102">
        <f t="shared" si="19"/>
        <v>-1354267.8821539553</v>
      </c>
      <c r="AA59" s="102">
        <f t="shared" si="19"/>
        <v>-1354267.8821539553</v>
      </c>
      <c r="AB59" s="102">
        <f t="shared" si="19"/>
        <v>-1354267.8821539553</v>
      </c>
      <c r="AC59" s="102">
        <f t="shared" si="19"/>
        <v>-1354267.8821539553</v>
      </c>
      <c r="AD59" s="102">
        <f t="shared" si="19"/>
        <v>-1354267.8821539553</v>
      </c>
      <c r="AE59" s="102">
        <f t="shared" si="19"/>
        <v>-1354267.8821539553</v>
      </c>
      <c r="AF59" s="102">
        <f t="shared" si="19"/>
        <v>-1354267.8821539553</v>
      </c>
      <c r="AG59" s="102">
        <f t="shared" si="19"/>
        <v>-1354267.8821539553</v>
      </c>
      <c r="AH59" s="102">
        <f t="shared" si="19"/>
        <v>-1354267.8821539553</v>
      </c>
      <c r="AI59" s="102">
        <f t="shared" si="19"/>
        <v>-1354267.8821539553</v>
      </c>
      <c r="AJ59" s="102">
        <f t="shared" si="19"/>
        <v>-1354267.8821539553</v>
      </c>
      <c r="AK59" s="102">
        <f t="shared" si="19"/>
        <v>-1354267.8821539553</v>
      </c>
      <c r="AL59" s="102">
        <f t="shared" si="19"/>
        <v>-1354267.8821539553</v>
      </c>
      <c r="AM59" s="102">
        <f t="shared" si="19"/>
        <v>-1354267.8821539553</v>
      </c>
      <c r="AN59" s="102">
        <f t="shared" si="19"/>
        <v>-1354267.8821539553</v>
      </c>
      <c r="AO59" s="102">
        <f t="shared" si="19"/>
        <v>-1354267.8821539553</v>
      </c>
      <c r="AP59" s="102">
        <f t="shared" si="19"/>
        <v>-1354267.8821539553</v>
      </c>
      <c r="AQ59" s="102">
        <f t="shared" si="19"/>
        <v>-1354267.8821539553</v>
      </c>
      <c r="AR59" s="102">
        <f t="shared" si="19"/>
        <v>-1354267.8821539553</v>
      </c>
      <c r="AS59" s="102">
        <f t="shared" si="19"/>
        <v>-1228825.2538417773</v>
      </c>
      <c r="AT59" s="102">
        <f t="shared" si="19"/>
        <v>0</v>
      </c>
      <c r="AU59" s="105">
        <f t="shared" si="13"/>
        <v>1.2107193470001221E-8</v>
      </c>
    </row>
    <row r="60" spans="1:47" x14ac:dyDescent="0.2">
      <c r="A60" s="231">
        <f t="shared" si="10"/>
        <v>30</v>
      </c>
      <c r="B60" s="2" t="s">
        <v>71</v>
      </c>
      <c r="C60" s="2"/>
      <c r="D60" s="263"/>
      <c r="E60" s="38">
        <f>E59/12*2*J15+E59/12*10*F15</f>
        <v>126562.60541680775</v>
      </c>
      <c r="F60" s="102">
        <f t="shared" ref="F60:AT60" si="20">F59*$F$15</f>
        <v>555455.23938001529</v>
      </c>
      <c r="G60" s="102">
        <f t="shared" si="20"/>
        <v>492399.48233738722</v>
      </c>
      <c r="H60" s="102">
        <f t="shared" si="20"/>
        <v>434229.96477038728</v>
      </c>
      <c r="I60" s="102">
        <f t="shared" si="20"/>
        <v>380248.65246821125</v>
      </c>
      <c r="J60" s="102">
        <f t="shared" si="20"/>
        <v>330455.54543085926</v>
      </c>
      <c r="K60" s="102">
        <f t="shared" si="20"/>
        <v>284268.94848266128</v>
      </c>
      <c r="L60" s="102">
        <f t="shared" si="20"/>
        <v>241688.86162361738</v>
      </c>
      <c r="M60" s="102">
        <f t="shared" si="20"/>
        <v>234708.51951557727</v>
      </c>
      <c r="N60" s="102">
        <f t="shared" si="20"/>
        <v>234592.18048044335</v>
      </c>
      <c r="O60" s="102">
        <f t="shared" si="20"/>
        <v>234708.51951557727</v>
      </c>
      <c r="P60" s="102">
        <f t="shared" si="20"/>
        <v>234592.18048044335</v>
      </c>
      <c r="Q60" s="102">
        <f t="shared" si="20"/>
        <v>234708.51951557727</v>
      </c>
      <c r="R60" s="102">
        <f t="shared" si="20"/>
        <v>234592.18048044335</v>
      </c>
      <c r="S60" s="102">
        <f t="shared" si="20"/>
        <v>234708.51951557727</v>
      </c>
      <c r="T60" s="102">
        <f t="shared" si="20"/>
        <v>234592.18048044335</v>
      </c>
      <c r="U60" s="102">
        <f t="shared" si="20"/>
        <v>234708.51951557727</v>
      </c>
      <c r="V60" s="102">
        <f t="shared" si="20"/>
        <v>234592.18048044335</v>
      </c>
      <c r="W60" s="102">
        <f t="shared" si="20"/>
        <v>234708.51951557727</v>
      </c>
      <c r="X60" s="102">
        <f t="shared" si="20"/>
        <v>234592.18048044335</v>
      </c>
      <c r="Y60" s="102">
        <f t="shared" si="20"/>
        <v>-24843.867868376663</v>
      </c>
      <c r="Z60" s="102">
        <f t="shared" si="20"/>
        <v>-284396.25525233062</v>
      </c>
      <c r="AA60" s="102">
        <f t="shared" si="20"/>
        <v>-284396.25525233062</v>
      </c>
      <c r="AB60" s="102">
        <f t="shared" si="20"/>
        <v>-284396.25525233062</v>
      </c>
      <c r="AC60" s="102">
        <f t="shared" si="20"/>
        <v>-284396.25525233062</v>
      </c>
      <c r="AD60" s="102">
        <f t="shared" si="20"/>
        <v>-284396.25525233062</v>
      </c>
      <c r="AE60" s="102">
        <f t="shared" si="20"/>
        <v>-284396.25525233062</v>
      </c>
      <c r="AF60" s="102">
        <f t="shared" si="20"/>
        <v>-284396.25525233062</v>
      </c>
      <c r="AG60" s="102">
        <f t="shared" si="20"/>
        <v>-284396.25525233062</v>
      </c>
      <c r="AH60" s="102">
        <f t="shared" si="20"/>
        <v>-284396.25525233062</v>
      </c>
      <c r="AI60" s="102">
        <f t="shared" si="20"/>
        <v>-284396.25525233062</v>
      </c>
      <c r="AJ60" s="102">
        <f t="shared" si="20"/>
        <v>-284396.25525233062</v>
      </c>
      <c r="AK60" s="102">
        <f t="shared" si="20"/>
        <v>-284396.25525233062</v>
      </c>
      <c r="AL60" s="102">
        <f t="shared" si="20"/>
        <v>-284396.25525233062</v>
      </c>
      <c r="AM60" s="102">
        <f t="shared" si="20"/>
        <v>-284396.25525233062</v>
      </c>
      <c r="AN60" s="102">
        <f t="shared" si="20"/>
        <v>-284396.25525233062</v>
      </c>
      <c r="AO60" s="102">
        <f t="shared" si="20"/>
        <v>-284396.25525233062</v>
      </c>
      <c r="AP60" s="102">
        <f t="shared" si="20"/>
        <v>-284396.25525233062</v>
      </c>
      <c r="AQ60" s="102">
        <f t="shared" si="20"/>
        <v>-284396.25525233062</v>
      </c>
      <c r="AR60" s="102">
        <f t="shared" si="20"/>
        <v>-284396.25525233062</v>
      </c>
      <c r="AS60" s="102">
        <f t="shared" si="20"/>
        <v>-258053.30330677322</v>
      </c>
      <c r="AT60" s="102">
        <f t="shared" si="20"/>
        <v>0</v>
      </c>
      <c r="AU60" s="105">
        <f t="shared" si="13"/>
        <v>-25312.521083360567</v>
      </c>
    </row>
    <row r="61" spans="1:47" x14ac:dyDescent="0.2">
      <c r="A61" s="231">
        <f t="shared" si="10"/>
        <v>31</v>
      </c>
      <c r="B61" s="2"/>
      <c r="C61" s="2"/>
      <c r="D61" s="263"/>
      <c r="E61" s="84"/>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263"/>
    </row>
    <row r="62" spans="1:47" s="50" customFormat="1" x14ac:dyDescent="0.2">
      <c r="A62" s="231">
        <f t="shared" si="10"/>
        <v>32</v>
      </c>
      <c r="B62" s="2" t="str">
        <f t="shared" ref="B62" si="21">IF($F$18=1,B66,B65)</f>
        <v>MACRS Depreciation - 20</v>
      </c>
      <c r="C62" s="2"/>
      <c r="D62" s="47"/>
      <c r="E62" s="62">
        <f t="shared" ref="E62:Y62" si="22">IF($F$18=1,E66,E65)</f>
        <v>3.7499999999999999E-2</v>
      </c>
      <c r="F62" s="58">
        <f t="shared" si="22"/>
        <v>7.2190000000000004E-2</v>
      </c>
      <c r="G62" s="58">
        <f t="shared" si="22"/>
        <v>6.6769999999999996E-2</v>
      </c>
      <c r="H62" s="61">
        <f t="shared" si="22"/>
        <v>6.1769999999999999E-2</v>
      </c>
      <c r="I62" s="61">
        <f t="shared" si="22"/>
        <v>5.713E-2</v>
      </c>
      <c r="J62" s="61">
        <f t="shared" si="22"/>
        <v>5.2850000000000001E-2</v>
      </c>
      <c r="K62" s="61">
        <f t="shared" si="22"/>
        <v>4.888E-2</v>
      </c>
      <c r="L62" s="61">
        <f t="shared" si="22"/>
        <v>4.5220000000000003E-2</v>
      </c>
      <c r="M62" s="61">
        <f t="shared" si="22"/>
        <v>4.462E-2</v>
      </c>
      <c r="N62" s="61">
        <f t="shared" si="22"/>
        <v>4.4610000000000004E-2</v>
      </c>
      <c r="O62" s="61">
        <f t="shared" si="22"/>
        <v>4.462E-2</v>
      </c>
      <c r="P62" s="61">
        <f t="shared" si="22"/>
        <v>4.4610000000000004E-2</v>
      </c>
      <c r="Q62" s="61">
        <f t="shared" si="22"/>
        <v>4.462E-2</v>
      </c>
      <c r="R62" s="61">
        <f t="shared" si="22"/>
        <v>4.4610000000000004E-2</v>
      </c>
      <c r="S62" s="61">
        <f t="shared" si="22"/>
        <v>4.462E-2</v>
      </c>
      <c r="T62" s="61">
        <f t="shared" si="22"/>
        <v>4.4610000000000004E-2</v>
      </c>
      <c r="U62" s="61">
        <f t="shared" si="22"/>
        <v>4.462E-2</v>
      </c>
      <c r="V62" s="61">
        <f t="shared" si="22"/>
        <v>4.4610000000000004E-2</v>
      </c>
      <c r="W62" s="61">
        <f t="shared" si="22"/>
        <v>4.462E-2</v>
      </c>
      <c r="X62" s="61">
        <f t="shared" si="22"/>
        <v>4.4610000000000004E-2</v>
      </c>
      <c r="Y62" s="61">
        <f t="shared" si="22"/>
        <v>2.231E-2</v>
      </c>
      <c r="Z62" s="48"/>
      <c r="AA62" s="48"/>
      <c r="AB62" s="48"/>
      <c r="AC62" s="48"/>
      <c r="AD62" s="48"/>
      <c r="AE62" s="48"/>
      <c r="AF62" s="48"/>
      <c r="AG62" s="48"/>
      <c r="AH62" s="48"/>
      <c r="AI62" s="48"/>
      <c r="AJ62" s="48"/>
      <c r="AK62" s="48"/>
      <c r="AL62" s="48"/>
      <c r="AM62" s="48"/>
      <c r="AN62" s="48"/>
      <c r="AO62" s="48"/>
      <c r="AP62" s="47"/>
    </row>
    <row r="63" spans="1:47" outlineLevel="1" x14ac:dyDescent="0.25">
      <c r="A63" s="231">
        <f t="shared" si="10"/>
        <v>33</v>
      </c>
      <c r="B63" s="2"/>
      <c r="C63" s="266"/>
      <c r="E63" s="267"/>
      <c r="F63" s="268"/>
      <c r="G63" s="268"/>
      <c r="H63" s="268"/>
      <c r="I63" s="268"/>
      <c r="J63" s="268"/>
      <c r="K63" s="268"/>
      <c r="L63" s="268"/>
      <c r="M63" s="269"/>
      <c r="N63" s="269"/>
      <c r="O63" s="269"/>
      <c r="P63" s="269"/>
      <c r="Q63" s="269"/>
      <c r="R63" s="269"/>
      <c r="S63" s="269"/>
      <c r="T63" s="269"/>
      <c r="U63" s="269"/>
      <c r="V63" s="269"/>
      <c r="W63" s="269"/>
      <c r="X63" s="269"/>
      <c r="Y63" s="269"/>
      <c r="Z63" s="263"/>
      <c r="AA63" s="263"/>
      <c r="AB63" s="263"/>
      <c r="AC63" s="263"/>
      <c r="AD63" s="263"/>
      <c r="AE63" s="263"/>
      <c r="AF63" s="263"/>
      <c r="AG63" s="263"/>
      <c r="AH63" s="263"/>
      <c r="AI63" s="263"/>
      <c r="AJ63" s="263"/>
      <c r="AK63" s="263"/>
      <c r="AL63" s="263"/>
      <c r="AM63" s="263"/>
      <c r="AN63" s="263"/>
      <c r="AO63" s="3"/>
    </row>
    <row r="64" spans="1:47" outlineLevel="1" x14ac:dyDescent="0.25">
      <c r="A64" s="231">
        <f t="shared" si="10"/>
        <v>34</v>
      </c>
      <c r="B64" s="2"/>
      <c r="C64" s="266"/>
      <c r="E64" s="267"/>
      <c r="F64" s="268"/>
      <c r="G64" s="268"/>
      <c r="H64" s="268"/>
      <c r="I64" s="268"/>
      <c r="J64" s="268"/>
      <c r="K64" s="268"/>
      <c r="L64" s="268"/>
      <c r="M64" s="269"/>
      <c r="N64" s="269"/>
      <c r="O64" s="269"/>
      <c r="P64" s="269"/>
      <c r="Q64" s="269"/>
      <c r="R64" s="269"/>
      <c r="S64" s="269"/>
      <c r="T64" s="269"/>
      <c r="U64" s="269"/>
      <c r="V64" s="269"/>
      <c r="W64" s="269"/>
      <c r="X64" s="269"/>
      <c r="Y64" s="269"/>
      <c r="Z64" s="263"/>
      <c r="AA64" s="263"/>
      <c r="AB64" s="263"/>
      <c r="AC64" s="263"/>
      <c r="AD64" s="263"/>
      <c r="AE64" s="263"/>
      <c r="AF64" s="263"/>
      <c r="AG64" s="263"/>
      <c r="AH64" s="263"/>
      <c r="AI64" s="263"/>
      <c r="AJ64" s="263"/>
      <c r="AK64" s="263"/>
      <c r="AL64" s="263"/>
      <c r="AM64" s="263"/>
      <c r="AN64" s="263"/>
      <c r="AO64" s="3"/>
    </row>
    <row r="65" spans="1:42" s="50" customFormat="1" x14ac:dyDescent="0.25">
      <c r="A65" s="231">
        <f t="shared" si="10"/>
        <v>35</v>
      </c>
      <c r="B65" s="2" t="s">
        <v>72</v>
      </c>
      <c r="C65" s="2"/>
      <c r="D65" s="51">
        <v>0</v>
      </c>
      <c r="E65" s="59">
        <v>3.7499999999999999E-2</v>
      </c>
      <c r="F65" s="58">
        <v>7.2190000000000004E-2</v>
      </c>
      <c r="G65" s="58">
        <v>6.6769999999999996E-2</v>
      </c>
      <c r="H65" s="60">
        <v>6.1769999999999999E-2</v>
      </c>
      <c r="I65" s="60">
        <v>5.713E-2</v>
      </c>
      <c r="J65" s="60">
        <v>5.2850000000000001E-2</v>
      </c>
      <c r="K65" s="60">
        <v>4.888E-2</v>
      </c>
      <c r="L65" s="60">
        <v>4.5220000000000003E-2</v>
      </c>
      <c r="M65" s="60">
        <v>4.462E-2</v>
      </c>
      <c r="N65" s="60">
        <v>4.4610000000000004E-2</v>
      </c>
      <c r="O65" s="60">
        <v>4.462E-2</v>
      </c>
      <c r="P65" s="60">
        <v>4.4610000000000004E-2</v>
      </c>
      <c r="Q65" s="60">
        <v>4.462E-2</v>
      </c>
      <c r="R65" s="60">
        <v>4.4610000000000004E-2</v>
      </c>
      <c r="S65" s="60">
        <v>4.462E-2</v>
      </c>
      <c r="T65" s="60">
        <v>4.4610000000000004E-2</v>
      </c>
      <c r="U65" s="60">
        <v>4.462E-2</v>
      </c>
      <c r="V65" s="60">
        <v>4.4610000000000004E-2</v>
      </c>
      <c r="W65" s="60">
        <v>4.462E-2</v>
      </c>
      <c r="X65" s="60">
        <v>4.4610000000000004E-2</v>
      </c>
      <c r="Y65" s="60">
        <v>2.231E-2</v>
      </c>
      <c r="Z65" s="52"/>
      <c r="AA65" s="48"/>
      <c r="AB65" s="48"/>
      <c r="AC65" s="48"/>
      <c r="AD65" s="48"/>
      <c r="AE65" s="48"/>
      <c r="AF65" s="48"/>
      <c r="AG65" s="48"/>
      <c r="AH65" s="48"/>
      <c r="AI65" s="48"/>
      <c r="AJ65" s="48"/>
      <c r="AK65" s="48"/>
      <c r="AL65" s="48"/>
      <c r="AM65" s="48"/>
      <c r="AN65" s="47"/>
      <c r="AP65" s="53"/>
    </row>
    <row r="66" spans="1:42" x14ac:dyDescent="0.2">
      <c r="A66" s="231">
        <f t="shared" si="10"/>
        <v>36</v>
      </c>
      <c r="B66" s="2" t="s">
        <v>73</v>
      </c>
      <c r="C66" s="2"/>
      <c r="D66" s="51">
        <v>0</v>
      </c>
      <c r="E66" s="59">
        <v>0.51875000000000004</v>
      </c>
      <c r="F66" s="58">
        <v>3.6095000000000002E-2</v>
      </c>
      <c r="G66" s="58">
        <v>3.3384999999999998E-2</v>
      </c>
      <c r="H66" s="61">
        <v>3.0884999999999999E-2</v>
      </c>
      <c r="I66" s="61">
        <v>2.8565E-2</v>
      </c>
      <c r="J66" s="61">
        <v>2.6425000000000001E-2</v>
      </c>
      <c r="K66" s="61">
        <v>2.444E-2</v>
      </c>
      <c r="L66" s="61">
        <v>2.2610000000000002E-2</v>
      </c>
      <c r="M66" s="61">
        <v>2.231E-2</v>
      </c>
      <c r="N66" s="61">
        <v>2.2305000000000002E-2</v>
      </c>
      <c r="O66" s="61">
        <v>2.231E-2</v>
      </c>
      <c r="P66" s="61">
        <v>2.2305000000000002E-2</v>
      </c>
      <c r="Q66" s="61">
        <v>2.231E-2</v>
      </c>
      <c r="R66" s="61">
        <v>2.2305000000000002E-2</v>
      </c>
      <c r="S66" s="61">
        <v>2.231E-2</v>
      </c>
      <c r="T66" s="61">
        <v>2.2305000000000002E-2</v>
      </c>
      <c r="U66" s="61">
        <v>2.231E-2</v>
      </c>
      <c r="V66" s="61">
        <v>2.2305000000000002E-2</v>
      </c>
      <c r="W66" s="61">
        <v>2.231E-2</v>
      </c>
      <c r="X66" s="61">
        <v>2.2305000000000002E-2</v>
      </c>
      <c r="Y66" s="61">
        <v>1.1155E-2</v>
      </c>
      <c r="Z66" s="49"/>
      <c r="AA66" s="49"/>
      <c r="AB66" s="54"/>
      <c r="AC66" s="54"/>
      <c r="AD66" s="54"/>
      <c r="AE66" s="54"/>
      <c r="AF66" s="54"/>
      <c r="AG66" s="54"/>
      <c r="AH66" s="54"/>
      <c r="AI66" s="54"/>
      <c r="AJ66" s="54"/>
      <c r="AK66" s="54"/>
      <c r="AL66" s="54"/>
      <c r="AM66" s="54"/>
      <c r="AN66" s="263"/>
      <c r="AO66" s="3"/>
      <c r="AP66" s="53">
        <f>SUM(D66:AO66)</f>
        <v>1.0000000000000004</v>
      </c>
    </row>
    <row r="69" spans="1:42" x14ac:dyDescent="0.25">
      <c r="B69" s="55"/>
    </row>
  </sheetData>
  <mergeCells count="1">
    <mergeCell ref="E1:F1"/>
  </mergeCells>
  <printOptions horizontalCentered="1"/>
  <pageMargins left="0.75" right="0.5" top="0.5" bottom="0.5" header="0.5" footer="0.25"/>
  <pageSetup scale="15" orientation="portrait" blackAndWhite="1" r:id="rId1"/>
  <headerFooter alignWithMargins="0"/>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4"/>
  <sheetViews>
    <sheetView topLeftCell="A13" workbookViewId="0">
      <selection activeCell="D38" sqref="D38"/>
    </sheetView>
  </sheetViews>
  <sheetFormatPr defaultColWidth="9.140625" defaultRowHeight="15" x14ac:dyDescent="0.25"/>
  <cols>
    <col min="1" max="1" width="3" style="129" bestFit="1" customWidth="1"/>
    <col min="2" max="2" width="24.28515625" style="129" customWidth="1"/>
    <col min="3" max="3" width="19.5703125" style="129" bestFit="1" customWidth="1"/>
    <col min="4" max="5" width="19.7109375" style="125" bestFit="1" customWidth="1"/>
    <col min="6" max="6" width="12.28515625" style="125" bestFit="1" customWidth="1"/>
    <col min="7" max="8" width="9.140625" style="129"/>
    <col min="9" max="10" width="12.5703125" style="129" bestFit="1" customWidth="1"/>
    <col min="11" max="11" width="12.42578125" style="129" bestFit="1" customWidth="1"/>
    <col min="12" max="16384" width="9.140625" style="129"/>
  </cols>
  <sheetData>
    <row r="2" spans="1:12" ht="15.75" x14ac:dyDescent="0.25">
      <c r="B2" s="91" t="s">
        <v>158</v>
      </c>
      <c r="C2" s="91"/>
      <c r="D2" s="92"/>
      <c r="E2" s="92"/>
      <c r="F2" s="92"/>
    </row>
    <row r="3" spans="1:12" ht="15.75" x14ac:dyDescent="0.25">
      <c r="B3" s="91"/>
      <c r="C3" s="91"/>
      <c r="D3" s="92"/>
      <c r="E3" s="92"/>
      <c r="F3" s="92"/>
    </row>
    <row r="4" spans="1:12" ht="16.5" thickBot="1" x14ac:dyDescent="0.3">
      <c r="B4" s="180" t="s">
        <v>184</v>
      </c>
      <c r="C4" s="181"/>
      <c r="D4" s="182">
        <f>D23</f>
        <v>6472427.3420509053</v>
      </c>
      <c r="E4" s="182">
        <f t="shared" ref="E4:F4" si="0">E23</f>
        <v>7083256.8804140398</v>
      </c>
      <c r="F4" s="182">
        <f t="shared" si="0"/>
        <v>610829.53836313449</v>
      </c>
    </row>
    <row r="5" spans="1:12" ht="15.75" x14ac:dyDescent="0.25">
      <c r="B5" s="91"/>
      <c r="C5" s="91"/>
      <c r="D5" s="93" t="s">
        <v>157</v>
      </c>
      <c r="E5" s="93" t="s">
        <v>157</v>
      </c>
      <c r="F5" s="92"/>
    </row>
    <row r="6" spans="1:12" x14ac:dyDescent="0.25">
      <c r="A6" s="94"/>
      <c r="B6" s="94"/>
      <c r="C6" s="94"/>
      <c r="D6" s="95" t="s">
        <v>118</v>
      </c>
      <c r="E6" s="95" t="s">
        <v>119</v>
      </c>
      <c r="F6" s="95"/>
      <c r="I6"/>
      <c r="J6"/>
      <c r="K6"/>
      <c r="L6"/>
    </row>
    <row r="7" spans="1:12" x14ac:dyDescent="0.25">
      <c r="A7" s="96"/>
      <c r="B7" s="96"/>
      <c r="C7" s="96"/>
      <c r="D7" s="97"/>
      <c r="I7"/>
      <c r="J7"/>
      <c r="K7"/>
      <c r="L7"/>
    </row>
    <row r="8" spans="1:12" x14ac:dyDescent="0.25">
      <c r="A8" s="98">
        <v>1</v>
      </c>
      <c r="B8" s="2" t="s">
        <v>53</v>
      </c>
      <c r="C8" s="2"/>
      <c r="D8" s="102">
        <f>'2019 CRM Orig Flng'!E27</f>
        <v>1354267.8821539553</v>
      </c>
      <c r="E8" s="130">
        <f>E38</f>
        <v>1482270.176383141</v>
      </c>
      <c r="F8" s="130">
        <f>E8-D8</f>
        <v>128002.29422918567</v>
      </c>
      <c r="H8" s="271">
        <f>E8/E30</f>
        <v>2.4780774958672348E-2</v>
      </c>
      <c r="I8"/>
      <c r="J8"/>
      <c r="K8"/>
      <c r="L8"/>
    </row>
    <row r="9" spans="1:12" x14ac:dyDescent="0.25">
      <c r="A9" s="96"/>
      <c r="B9" s="2"/>
      <c r="C9" s="2"/>
      <c r="D9" s="137"/>
      <c r="I9"/>
      <c r="J9"/>
      <c r="K9"/>
      <c r="L9"/>
    </row>
    <row r="10" spans="1:12" x14ac:dyDescent="0.25">
      <c r="A10" s="98">
        <f>A8+1</f>
        <v>2</v>
      </c>
      <c r="B10" s="2" t="s">
        <v>54</v>
      </c>
      <c r="C10" s="2"/>
      <c r="D10" s="102">
        <f>'2019 CRM Orig Flng'!E29</f>
        <v>669816.44556032098</v>
      </c>
      <c r="E10" s="130">
        <f>'2019 CRM+True Up '!E53</f>
        <v>733002.76971787796</v>
      </c>
      <c r="F10" s="130">
        <f>E10-D10</f>
        <v>63186.324157556985</v>
      </c>
      <c r="I10"/>
      <c r="J10"/>
      <c r="K10"/>
      <c r="L10"/>
    </row>
    <row r="11" spans="1:12" x14ac:dyDescent="0.25">
      <c r="A11" s="96"/>
      <c r="B11" s="2"/>
      <c r="C11" s="2"/>
      <c r="D11" s="137"/>
      <c r="I11"/>
      <c r="J11"/>
      <c r="K11"/>
      <c r="L11"/>
    </row>
    <row r="12" spans="1:12" x14ac:dyDescent="0.25">
      <c r="A12" s="96"/>
      <c r="B12" s="2" t="s">
        <v>55</v>
      </c>
      <c r="C12" s="2"/>
      <c r="D12" s="137"/>
      <c r="I12"/>
      <c r="J12"/>
      <c r="K12"/>
      <c r="L12"/>
    </row>
    <row r="13" spans="1:12" x14ac:dyDescent="0.25">
      <c r="A13" s="98">
        <f>A10+1</f>
        <v>3</v>
      </c>
      <c r="B13" s="2"/>
      <c r="C13" s="2" t="s">
        <v>56</v>
      </c>
      <c r="D13" s="99">
        <v>0</v>
      </c>
      <c r="E13" s="130">
        <v>0</v>
      </c>
      <c r="F13" s="131">
        <f t="shared" ref="F13:F16" si="1">E13-D13</f>
        <v>0</v>
      </c>
      <c r="I13"/>
      <c r="J13"/>
      <c r="K13"/>
      <c r="L13"/>
    </row>
    <row r="14" spans="1:12" x14ac:dyDescent="0.25">
      <c r="A14" s="98">
        <f>A13+1</f>
        <v>4</v>
      </c>
      <c r="B14" s="2"/>
      <c r="C14" s="2" t="s">
        <v>57</v>
      </c>
      <c r="D14" s="99">
        <f>'2019 CRM Orig Flng'!E33</f>
        <v>1634307.8463568168</v>
      </c>
      <c r="E14" s="130">
        <f>'2019 CRM+True Up '!E33</f>
        <v>1788478.3001245733</v>
      </c>
      <c r="F14" s="131">
        <f t="shared" si="1"/>
        <v>154170.45376775647</v>
      </c>
      <c r="I14"/>
      <c r="J14"/>
      <c r="K14"/>
      <c r="L14"/>
    </row>
    <row r="15" spans="1:12" x14ac:dyDescent="0.25">
      <c r="A15" s="98">
        <f>A14+1</f>
        <v>5</v>
      </c>
      <c r="B15" s="2"/>
      <c r="C15" s="2" t="s">
        <v>9</v>
      </c>
      <c r="D15" s="100">
        <f>'2019 CRM Orig Flng'!E34</f>
        <v>2519785.6761554936</v>
      </c>
      <c r="E15" s="132">
        <f>'2019 CRM+True Up '!E34</f>
        <v>2757486.6098910649</v>
      </c>
      <c r="F15" s="132">
        <f t="shared" si="1"/>
        <v>237700.93373557134</v>
      </c>
      <c r="I15"/>
      <c r="J15"/>
      <c r="K15"/>
      <c r="L15"/>
    </row>
    <row r="16" spans="1:12" x14ac:dyDescent="0.25">
      <c r="A16" s="98">
        <f>A15+1</f>
        <v>6</v>
      </c>
      <c r="B16" s="2"/>
      <c r="C16" s="2" t="s">
        <v>58</v>
      </c>
      <c r="D16" s="102">
        <f>'2019 CRM Orig Flng'!E35</f>
        <v>4154093.5225123102</v>
      </c>
      <c r="E16" s="130">
        <f>SUM(E13:E15)</f>
        <v>4545964.910015638</v>
      </c>
      <c r="F16" s="130">
        <f t="shared" si="1"/>
        <v>391871.3875033278</v>
      </c>
      <c r="I16"/>
      <c r="J16"/>
      <c r="K16"/>
      <c r="L16"/>
    </row>
    <row r="17" spans="1:12" x14ac:dyDescent="0.25">
      <c r="A17" s="96"/>
      <c r="B17" s="2"/>
      <c r="C17" s="2"/>
      <c r="D17" s="137"/>
      <c r="I17"/>
      <c r="J17"/>
      <c r="K17"/>
      <c r="L17"/>
    </row>
    <row r="18" spans="1:12" x14ac:dyDescent="0.25">
      <c r="A18" s="98">
        <f>A16+1</f>
        <v>7</v>
      </c>
      <c r="B18" s="2" t="s">
        <v>59</v>
      </c>
      <c r="C18" s="2"/>
      <c r="D18" s="99">
        <f>'2019 CRM Orig Flng'!E37</f>
        <v>6178177.8502265867</v>
      </c>
      <c r="E18" s="130">
        <f>SUM(E8,E10,E16)</f>
        <v>6761237.8561166571</v>
      </c>
      <c r="F18" s="130">
        <f t="shared" ref="F18:F20" si="2">E18-D18</f>
        <v>583060.00589007046</v>
      </c>
      <c r="I18"/>
      <c r="J18"/>
      <c r="K18"/>
      <c r="L18"/>
    </row>
    <row r="19" spans="1:12" x14ac:dyDescent="0.25">
      <c r="A19" s="98">
        <f>A18+1</f>
        <v>8</v>
      </c>
      <c r="B19" s="2" t="s">
        <v>60</v>
      </c>
      <c r="C19" s="2"/>
      <c r="D19" s="100">
        <f>'2019 CRM Orig Flng'!E38</f>
        <v>294249.49182431865</v>
      </c>
      <c r="E19" s="132">
        <f>'2019 CRM+True Up '!E38</f>
        <v>322019.02429738268</v>
      </c>
      <c r="F19" s="132">
        <f>E19-D19</f>
        <v>27769.532473064028</v>
      </c>
      <c r="I19"/>
      <c r="J19"/>
      <c r="K19"/>
      <c r="L19"/>
    </row>
    <row r="20" spans="1:12" x14ac:dyDescent="0.25">
      <c r="A20" s="98">
        <f>A19+1</f>
        <v>9</v>
      </c>
      <c r="B20" s="2"/>
      <c r="C20" s="2" t="s">
        <v>61</v>
      </c>
      <c r="D20" s="99">
        <f>SUM(D18:D19)</f>
        <v>6472427.3420509053</v>
      </c>
      <c r="E20" s="130">
        <f>SUM(E18:E19)</f>
        <v>7083256.8804140398</v>
      </c>
      <c r="F20" s="130">
        <f t="shared" si="2"/>
        <v>610829.53836313449</v>
      </c>
      <c r="I20"/>
      <c r="J20"/>
      <c r="K20"/>
      <c r="L20"/>
    </row>
    <row r="21" spans="1:12" x14ac:dyDescent="0.25">
      <c r="A21" s="98">
        <f t="shared" ref="A21:A43" si="3">A20+1</f>
        <v>10</v>
      </c>
      <c r="B21" s="2"/>
      <c r="C21" s="2"/>
      <c r="D21" s="162"/>
      <c r="I21"/>
      <c r="J21"/>
      <c r="K21"/>
      <c r="L21"/>
    </row>
    <row r="22" spans="1:12" x14ac:dyDescent="0.25">
      <c r="A22" s="98">
        <f t="shared" si="3"/>
        <v>11</v>
      </c>
      <c r="B22" s="2"/>
      <c r="C22" s="2"/>
      <c r="D22" s="137"/>
      <c r="I22"/>
      <c r="J22"/>
      <c r="K22"/>
      <c r="L22"/>
    </row>
    <row r="23" spans="1:12" x14ac:dyDescent="0.25">
      <c r="A23" s="98">
        <f t="shared" si="3"/>
        <v>12</v>
      </c>
      <c r="B23" s="2" t="s">
        <v>62</v>
      </c>
      <c r="C23" s="2"/>
      <c r="D23" s="100">
        <f>D20</f>
        <v>6472427.3420509053</v>
      </c>
      <c r="E23" s="132">
        <f>+E20</f>
        <v>7083256.8804140398</v>
      </c>
      <c r="F23" s="132">
        <f>E23-D23</f>
        <v>610829.53836313449</v>
      </c>
      <c r="I23"/>
      <c r="J23"/>
      <c r="K23"/>
      <c r="L23"/>
    </row>
    <row r="24" spans="1:12" ht="15.75" thickBot="1" x14ac:dyDescent="0.3">
      <c r="A24" s="98">
        <f t="shared" si="3"/>
        <v>13</v>
      </c>
      <c r="B24" s="177" t="s">
        <v>102</v>
      </c>
      <c r="C24" s="177"/>
      <c r="D24" s="178"/>
      <c r="E24" s="179">
        <f>+E23-D23</f>
        <v>610829.53836313449</v>
      </c>
      <c r="F24" s="179"/>
      <c r="I24"/>
      <c r="J24"/>
      <c r="K24"/>
      <c r="L24"/>
    </row>
    <row r="25" spans="1:12" ht="15.75" thickTop="1" x14ac:dyDescent="0.25">
      <c r="A25" s="98">
        <f t="shared" si="3"/>
        <v>14</v>
      </c>
      <c r="B25" s="2"/>
      <c r="C25" s="2"/>
      <c r="D25" s="122"/>
      <c r="I25"/>
      <c r="J25"/>
      <c r="K25"/>
      <c r="L25"/>
    </row>
    <row r="26" spans="1:12" x14ac:dyDescent="0.25">
      <c r="A26" s="98">
        <f t="shared" si="3"/>
        <v>15</v>
      </c>
      <c r="B26" s="2" t="s">
        <v>63</v>
      </c>
      <c r="C26" s="122"/>
      <c r="D26" s="101">
        <f>'2019 CRM Orig Flng'!E45</f>
        <v>0.11683178739321196</v>
      </c>
      <c r="E26" s="133">
        <f>'2019 CRM Orig Flng'!E45</f>
        <v>0.11683178739321196</v>
      </c>
      <c r="F26" s="133">
        <f>E26-D26</f>
        <v>0</v>
      </c>
      <c r="I26"/>
      <c r="J26"/>
      <c r="K26"/>
      <c r="L26"/>
    </row>
    <row r="27" spans="1:12" x14ac:dyDescent="0.25">
      <c r="A27" s="98">
        <f t="shared" si="3"/>
        <v>16</v>
      </c>
      <c r="B27" s="2"/>
      <c r="C27" s="2"/>
      <c r="D27" s="122"/>
      <c r="I27"/>
      <c r="J27"/>
      <c r="K27"/>
      <c r="L27"/>
    </row>
    <row r="28" spans="1:12" x14ac:dyDescent="0.25">
      <c r="A28" s="98">
        <f t="shared" si="3"/>
        <v>17</v>
      </c>
      <c r="B28" s="2" t="s">
        <v>146</v>
      </c>
      <c r="C28" s="2"/>
      <c r="D28" s="101">
        <f>'2019 CRM Orig Flng'!F16</f>
        <v>4.5462000000000002E-2</v>
      </c>
      <c r="E28" s="101">
        <f>D28</f>
        <v>4.5462000000000002E-2</v>
      </c>
      <c r="F28" s="130"/>
      <c r="I28"/>
      <c r="J28"/>
      <c r="K28"/>
      <c r="L28"/>
    </row>
    <row r="29" spans="1:12" x14ac:dyDescent="0.25">
      <c r="A29" s="98">
        <f t="shared" si="3"/>
        <v>18</v>
      </c>
      <c r="B29" s="2"/>
      <c r="C29" s="2"/>
      <c r="D29" s="232"/>
      <c r="E29" s="132"/>
      <c r="F29" s="132"/>
      <c r="I29"/>
      <c r="J29"/>
      <c r="K29"/>
      <c r="L29"/>
    </row>
    <row r="30" spans="1:12" x14ac:dyDescent="0.25">
      <c r="A30" s="98">
        <f t="shared" si="3"/>
        <v>19</v>
      </c>
      <c r="B30" s="46" t="s">
        <v>64</v>
      </c>
      <c r="C30" s="2"/>
      <c r="D30" s="99">
        <f>'2019 CRM Orig Flng'!E49</f>
        <v>54659125.29621461</v>
      </c>
      <c r="E30" s="130">
        <f>'2019 CRM+True Up '!E49</f>
        <v>59815327.763363659</v>
      </c>
      <c r="F30" s="130">
        <f t="shared" ref="F30" si="4">E30-D30</f>
        <v>5156202.467149049</v>
      </c>
      <c r="I30"/>
      <c r="J30"/>
      <c r="K30"/>
      <c r="L30"/>
    </row>
    <row r="31" spans="1:12" x14ac:dyDescent="0.25">
      <c r="A31" s="98">
        <f t="shared" si="3"/>
        <v>20</v>
      </c>
      <c r="B31" s="2"/>
      <c r="C31" s="2"/>
      <c r="D31" s="102"/>
      <c r="I31"/>
      <c r="J31"/>
      <c r="K31"/>
      <c r="L31"/>
    </row>
    <row r="32" spans="1:12" x14ac:dyDescent="0.25">
      <c r="A32" s="98">
        <f t="shared" si="3"/>
        <v>21</v>
      </c>
      <c r="B32" s="2"/>
      <c r="C32" s="2"/>
      <c r="D32" s="102"/>
      <c r="I32"/>
      <c r="J32"/>
      <c r="K32"/>
      <c r="L32"/>
    </row>
    <row r="33" spans="1:12" x14ac:dyDescent="0.25">
      <c r="A33" s="98">
        <f t="shared" si="3"/>
        <v>22</v>
      </c>
      <c r="B33" s="2" t="s">
        <v>65</v>
      </c>
      <c r="C33" s="2"/>
      <c r="D33" s="102">
        <f>'2019 CRM Orig Flng'!E52</f>
        <v>3189602.1217158143</v>
      </c>
      <c r="E33" s="130">
        <f>'2019 CRM+True Up '!E52</f>
        <v>3490489.3796089427</v>
      </c>
      <c r="F33" s="130">
        <f>E33-D33</f>
        <v>300887.25789312832</v>
      </c>
      <c r="I33"/>
      <c r="J33"/>
      <c r="K33"/>
      <c r="L33"/>
    </row>
    <row r="34" spans="1:12" x14ac:dyDescent="0.25">
      <c r="A34" s="98">
        <f t="shared" si="3"/>
        <v>23</v>
      </c>
      <c r="B34" s="2" t="s">
        <v>66</v>
      </c>
      <c r="C34" s="2"/>
      <c r="D34" s="100">
        <f>'2019 CRM Orig Flng'!E53</f>
        <v>669816.44556032098</v>
      </c>
      <c r="E34" s="132">
        <f>'2019 CRM+True Up '!E53</f>
        <v>733002.76971787796</v>
      </c>
      <c r="F34" s="132">
        <f>E34-D34</f>
        <v>63186.324157556985</v>
      </c>
      <c r="I34"/>
      <c r="J34"/>
      <c r="K34"/>
      <c r="L34"/>
    </row>
    <row r="35" spans="1:12" x14ac:dyDescent="0.25">
      <c r="A35" s="98">
        <f t="shared" si="3"/>
        <v>24</v>
      </c>
      <c r="B35" s="2" t="s">
        <v>67</v>
      </c>
      <c r="C35" s="2"/>
      <c r="D35" s="130">
        <f>D33-D34</f>
        <v>2519785.6761554936</v>
      </c>
      <c r="E35" s="130">
        <f>E33-E34</f>
        <v>2757486.6098910645</v>
      </c>
      <c r="F35" s="130">
        <f>E35-D35</f>
        <v>237700.93373557087</v>
      </c>
      <c r="I35"/>
      <c r="J35"/>
      <c r="K35"/>
      <c r="L35"/>
    </row>
    <row r="36" spans="1:12" x14ac:dyDescent="0.25">
      <c r="A36" s="98">
        <f t="shared" si="3"/>
        <v>25</v>
      </c>
      <c r="B36" s="2"/>
      <c r="C36" s="2"/>
      <c r="D36" s="123"/>
      <c r="I36"/>
      <c r="J36"/>
      <c r="K36"/>
      <c r="L36"/>
    </row>
    <row r="37" spans="1:12" x14ac:dyDescent="0.25">
      <c r="A37" s="98">
        <f t="shared" si="3"/>
        <v>26</v>
      </c>
      <c r="B37" s="2"/>
      <c r="C37" s="2"/>
      <c r="D37" s="123"/>
      <c r="I37"/>
      <c r="J37"/>
      <c r="K37"/>
      <c r="L37"/>
    </row>
    <row r="38" spans="1:12" x14ac:dyDescent="0.25">
      <c r="A38" s="98">
        <f t="shared" si="3"/>
        <v>27</v>
      </c>
      <c r="B38" s="2" t="s">
        <v>68</v>
      </c>
      <c r="C38" s="2"/>
      <c r="D38" s="102">
        <f>'2019 CRM Orig Flng'!E57</f>
        <v>1354267.8821539553</v>
      </c>
      <c r="E38" s="130">
        <f>'2019 CRM+True Up '!E27</f>
        <v>1482270.176383141</v>
      </c>
      <c r="F38" s="130">
        <f t="shared" ref="F38:F41" si="5">E38-D38</f>
        <v>128002.29422918567</v>
      </c>
      <c r="I38"/>
      <c r="J38"/>
      <c r="K38"/>
      <c r="L38"/>
    </row>
    <row r="39" spans="1:12" x14ac:dyDescent="0.25">
      <c r="A39" s="98">
        <f t="shared" si="3"/>
        <v>28</v>
      </c>
      <c r="B39" s="2" t="s">
        <v>69</v>
      </c>
      <c r="C39" s="2"/>
      <c r="D39" s="102">
        <f>'2019 CRM Orig Flng'!E58</f>
        <v>2077482.7702499996</v>
      </c>
      <c r="E39" s="130">
        <f>'2019 CRM+True Up '!E58</f>
        <v>2273984.7329999995</v>
      </c>
      <c r="F39" s="130">
        <f t="shared" si="5"/>
        <v>196501.96274999995</v>
      </c>
      <c r="I39"/>
      <c r="J39"/>
      <c r="K39"/>
      <c r="L39"/>
    </row>
    <row r="40" spans="1:12" x14ac:dyDescent="0.25">
      <c r="A40" s="98">
        <f t="shared" si="3"/>
        <v>29</v>
      </c>
      <c r="B40" s="2" t="s">
        <v>70</v>
      </c>
      <c r="C40" s="2"/>
      <c r="D40" s="102">
        <f>'2019 CRM Orig Flng'!E59</f>
        <v>723214.88809604431</v>
      </c>
      <c r="E40" s="130">
        <f>E39-E38</f>
        <v>791714.55661685858</v>
      </c>
      <c r="F40" s="130">
        <f t="shared" si="5"/>
        <v>68499.668520814274</v>
      </c>
      <c r="I40"/>
      <c r="J40"/>
      <c r="K40"/>
      <c r="L40"/>
    </row>
    <row r="41" spans="1:12" x14ac:dyDescent="0.25">
      <c r="A41" s="98">
        <f t="shared" si="3"/>
        <v>30</v>
      </c>
      <c r="B41" s="2" t="s">
        <v>71</v>
      </c>
      <c r="C41" s="2"/>
      <c r="D41" s="102">
        <f>'2019 CRM Orig Flng'!E60</f>
        <v>126562.60541680775</v>
      </c>
      <c r="E41" s="130">
        <f>'2019 CRM+True Up '!E60</f>
        <v>166260.05688954028</v>
      </c>
      <c r="F41" s="130">
        <f t="shared" si="5"/>
        <v>39697.45147273253</v>
      </c>
      <c r="I41"/>
      <c r="J41"/>
      <c r="K41"/>
      <c r="L41"/>
    </row>
    <row r="42" spans="1:12" x14ac:dyDescent="0.25">
      <c r="A42" s="98">
        <f t="shared" si="3"/>
        <v>31</v>
      </c>
      <c r="B42" s="2"/>
      <c r="C42" s="2"/>
      <c r="D42" s="103"/>
      <c r="I42"/>
      <c r="J42"/>
      <c r="K42"/>
      <c r="L42"/>
    </row>
    <row r="43" spans="1:12" x14ac:dyDescent="0.25">
      <c r="A43" s="98">
        <f t="shared" si="3"/>
        <v>32</v>
      </c>
      <c r="B43" s="2" t="s">
        <v>72</v>
      </c>
      <c r="C43" s="2"/>
      <c r="D43" s="104">
        <f>'2019 CRM Orig Flng'!E66</f>
        <v>0.51875000000000004</v>
      </c>
      <c r="E43" s="134">
        <f>'2019 CRM+True Up '!E66</f>
        <v>0.51875000000000004</v>
      </c>
      <c r="F43" s="134">
        <f>E43-D43</f>
        <v>0</v>
      </c>
      <c r="I43"/>
      <c r="J43"/>
      <c r="K43"/>
      <c r="L43"/>
    </row>
    <row r="44" spans="1:12" x14ac:dyDescent="0.25">
      <c r="I44"/>
      <c r="J44"/>
      <c r="K44"/>
      <c r="L44"/>
    </row>
  </sheetData>
  <pageMargins left="0.45" right="0.45" top="0.75" bottom="0.75" header="0.3" footer="0.3"/>
  <pageSetup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FEB3498DA4D74468420633951C73946" ma:contentTypeVersion="52" ma:contentTypeDescription="" ma:contentTypeScope="" ma:versionID="37cd7cf7ac4221db81cad4eefa3d561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2020-10-01T07:00:00+00:00</OpenedDate>
    <SignificantOrder xmlns="dc463f71-b30c-4ab2-9473-d307f9d35888">false</SignificantOrder>
    <Date1 xmlns="dc463f71-b30c-4ab2-9473-d307f9d35888">2020-10-15T07:00:00+00:00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200840</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1E48532-E297-4262-807C-59C7C01CCCC4}"/>
</file>

<file path=customXml/itemProps2.xml><?xml version="1.0" encoding="utf-8"?>
<ds:datastoreItem xmlns:ds="http://schemas.openxmlformats.org/officeDocument/2006/customXml" ds:itemID="{ED0F84AC-27EE-4112-B845-EC2F6D903E33}"/>
</file>

<file path=customXml/itemProps3.xml><?xml version="1.0" encoding="utf-8"?>
<ds:datastoreItem xmlns:ds="http://schemas.openxmlformats.org/officeDocument/2006/customXml" ds:itemID="{497A3F3D-7669-41DF-B07D-8E38F74888E4}"/>
</file>

<file path=customXml/itemProps4.xml><?xml version="1.0" encoding="utf-8"?>
<ds:datastoreItem xmlns:ds="http://schemas.openxmlformats.org/officeDocument/2006/customXml" ds:itemID="{DBC59A6B-7038-4514-92B9-2467CBA621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Work Papers--&gt;</vt:lpstr>
      <vt:lpstr>2020 CAP CRM</vt:lpstr>
      <vt:lpstr>2020 C&amp;OM</vt:lpstr>
      <vt:lpstr>Summary Prog Orders</vt:lpstr>
      <vt:lpstr>CRM CAP Forecast</vt:lpstr>
      <vt:lpstr>2019 CRM+True Up </vt:lpstr>
      <vt:lpstr>2019 CRM Orig Flng</vt:lpstr>
      <vt:lpstr>2019TrueUp</vt:lpstr>
      <vt:lpstr>2017 CRM</vt:lpstr>
      <vt:lpstr>2018 CRM</vt:lpstr>
      <vt:lpstr>2017 4.01 G</vt:lpstr>
      <vt:lpstr>2019 GRC</vt:lpstr>
      <vt:lpstr>MACRS 20</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SFree</dc:creator>
  <cp:lastModifiedBy>Puget Sound Energy</cp:lastModifiedBy>
  <cp:lastPrinted>2019-10-14T16:46:50Z</cp:lastPrinted>
  <dcterms:created xsi:type="dcterms:W3CDTF">2017-05-26T23:01:59Z</dcterms:created>
  <dcterms:modified xsi:type="dcterms:W3CDTF">2020-10-14T22:12:14Z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0x0101006E56B4D1795A2E4DB2F0B01679ED314A00AFEB3498DA4D74468420633951C73946</vt:lpwstr>
  </property>
  <property fmtid="{D5CDD505-2E9C-101B-9397-08002B2CF9AE}" pid="3" name="_docset_NoMedatataSyncRequired">
    <vt:lpwstr>False</vt:lpwstr>
  </property>
  <property fmtid="{D5CDD505-2E9C-101B-9397-08002B2CF9AE}" pid="4" name="IsEFSEC">
    <vt:bool>false</vt:bool>
  </property>
</Properties>
</file>