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2020 Regulatory Filings\2020 Energy Independence Act\2020 I-937 Filing\Updated Filing\"/>
    </mc:Choice>
  </mc:AlternateContent>
  <bookViews>
    <workbookView xWindow="0" yWindow="0" windowWidth="16380" windowHeight="4845" tabRatio="653" activeTab="2"/>
  </bookViews>
  <sheets>
    <sheet name="Summary" sheetId="6" r:id="rId1"/>
    <sheet name="Facility Detail" sheetId="1" r:id="rId2"/>
    <sheet name="Generation Rollup" sheetId="9" r:id="rId3"/>
  </sheet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Facility">'Facility Detail'!$B$607:$B$616</definedName>
    <definedName name="LaborBonus" localSheetId="2">'Facility Detail'!$B$596:$B$598</definedName>
    <definedName name="LaborBonus">'Facility Detail'!$B$596:$B$598</definedName>
    <definedName name="OwnedCont">#REF!</definedName>
    <definedName name="_xlnm.Print_Area" localSheetId="1">'Facility Detail'!$A$1:$L$743</definedName>
    <definedName name="_xlnm.Print_Area" localSheetId="2">'Generation Rollup'!$A$1:$K$40</definedName>
    <definedName name="_xlnm.Print_Area" localSheetId="0">Summary!$A$1:$K$48</definedName>
    <definedName name="REN_Expenditure_Amount_2014">#REF!</definedName>
    <definedName name="REN_Load_2012">#REF!</definedName>
    <definedName name="REN_Load_2013">#REF!</definedName>
    <definedName name="REN_RetailRevenueRequirement_2014">#REF!</definedName>
    <definedName name="Resourc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YesNo">#REF!</definedName>
  </definedNames>
  <calcPr calcId="152511"/>
</workbook>
</file>

<file path=xl/calcChain.xml><?xml version="1.0" encoding="utf-8"?>
<calcChain xmlns="http://schemas.openxmlformats.org/spreadsheetml/2006/main">
  <c r="K367" i="1" l="1"/>
  <c r="L367" i="1"/>
  <c r="I5" i="9" l="1"/>
  <c r="J187" i="1" l="1"/>
  <c r="K187" i="1"/>
  <c r="L187" i="1"/>
  <c r="J151" i="1"/>
  <c r="K151" i="1"/>
  <c r="L151" i="1"/>
  <c r="J115" i="1"/>
  <c r="K115" i="1"/>
  <c r="L115" i="1"/>
  <c r="K557" i="1" l="1"/>
  <c r="J557" i="1"/>
  <c r="K406" i="1" l="1"/>
  <c r="K618" i="1"/>
  <c r="L618" i="1"/>
  <c r="C39" i="9"/>
  <c r="D39" i="9"/>
  <c r="E39" i="9"/>
  <c r="F39" i="9"/>
  <c r="G39" i="9"/>
  <c r="H39" i="9"/>
  <c r="I39" i="9"/>
  <c r="J39" i="9"/>
  <c r="K39" i="9"/>
  <c r="J223" i="1" l="1"/>
  <c r="F19" i="6" l="1"/>
  <c r="G19" i="6"/>
  <c r="H19" i="6"/>
  <c r="H18" i="6"/>
  <c r="I18" i="6"/>
  <c r="J18" i="6"/>
  <c r="I17" i="6"/>
  <c r="H17" i="6"/>
  <c r="G17" i="6"/>
  <c r="F17" i="6"/>
  <c r="E13" i="6"/>
  <c r="D13" i="6"/>
  <c r="C13" i="6"/>
  <c r="F13" i="6"/>
  <c r="G13" i="6"/>
  <c r="H13" i="6"/>
  <c r="F12" i="6"/>
  <c r="G12" i="6"/>
  <c r="H12" i="6"/>
  <c r="K40" i="6"/>
  <c r="J40" i="6"/>
  <c r="I40" i="6"/>
  <c r="H40" i="6"/>
  <c r="G40" i="6"/>
  <c r="F40" i="6"/>
  <c r="E40" i="6"/>
  <c r="D40" i="6"/>
  <c r="C40" i="6"/>
  <c r="A37" i="6"/>
  <c r="A36" i="6"/>
  <c r="A34" i="6"/>
  <c r="K19" i="6"/>
  <c r="K18" i="6"/>
  <c r="K17" i="6"/>
  <c r="J17" i="6"/>
  <c r="B39" i="9"/>
  <c r="A39" i="9"/>
  <c r="K32" i="9"/>
  <c r="K36" i="9"/>
  <c r="K37" i="9"/>
  <c r="K38" i="9"/>
  <c r="J6" i="9" l="1"/>
  <c r="I10" i="9"/>
  <c r="I12" i="9"/>
  <c r="H10" i="9"/>
  <c r="H12" i="9"/>
  <c r="G5" i="9"/>
  <c r="C5" i="9"/>
  <c r="C7" i="9"/>
  <c r="C9" i="9"/>
  <c r="C11" i="9"/>
  <c r="C13" i="9"/>
  <c r="B6" i="9"/>
  <c r="B8" i="9"/>
  <c r="B10" i="9"/>
  <c r="B12" i="9"/>
  <c r="D5" i="9"/>
  <c r="D7" i="9"/>
  <c r="D9" i="9"/>
  <c r="D11" i="9"/>
  <c r="D13" i="9"/>
  <c r="E6" i="9"/>
  <c r="E8" i="9"/>
  <c r="E10" i="9"/>
  <c r="E12" i="9"/>
  <c r="F5" i="9"/>
  <c r="F7" i="9"/>
  <c r="F9" i="9"/>
  <c r="F11" i="9"/>
  <c r="F13" i="9"/>
  <c r="G8" i="9"/>
  <c r="G10" i="9"/>
  <c r="G12" i="9"/>
  <c r="J9" i="9"/>
  <c r="J11" i="9"/>
  <c r="J13" i="9"/>
  <c r="I9" i="9"/>
  <c r="I11" i="9"/>
  <c r="I13" i="9"/>
  <c r="H9" i="9"/>
  <c r="H11" i="9"/>
  <c r="H13" i="9"/>
  <c r="G6" i="9"/>
  <c r="C6" i="9"/>
  <c r="C8" i="9"/>
  <c r="C10" i="9"/>
  <c r="C12" i="9"/>
  <c r="B5" i="9"/>
  <c r="B7" i="9"/>
  <c r="B9" i="9"/>
  <c r="B11" i="9"/>
  <c r="B13" i="9"/>
  <c r="D6" i="9"/>
  <c r="D8" i="9"/>
  <c r="D10" i="9"/>
  <c r="D12" i="9"/>
  <c r="E5" i="9"/>
  <c r="E7" i="9"/>
  <c r="E9" i="9"/>
  <c r="E11" i="9"/>
  <c r="E13" i="9"/>
  <c r="F6" i="9"/>
  <c r="F8" i="9"/>
  <c r="F10" i="9"/>
  <c r="F12" i="9"/>
  <c r="G7" i="9"/>
  <c r="G9" i="9"/>
  <c r="G11" i="9"/>
  <c r="G13" i="9"/>
  <c r="J10" i="9"/>
  <c r="J12" i="9"/>
  <c r="K38" i="6"/>
  <c r="K20" i="6"/>
  <c r="K9" i="6"/>
  <c r="J34" i="6"/>
  <c r="A35" i="6"/>
  <c r="J9" i="6"/>
  <c r="J32" i="6"/>
  <c r="J38" i="6" s="1"/>
  <c r="J736" i="1" l="1"/>
  <c r="B735" i="1"/>
  <c r="B734" i="1"/>
  <c r="B732" i="1"/>
  <c r="C703" i="1"/>
  <c r="L736" i="1"/>
  <c r="K736" i="1"/>
  <c r="H736" i="1"/>
  <c r="F736" i="1"/>
  <c r="D736" i="1"/>
  <c r="B733" i="1"/>
  <c r="H732" i="1"/>
  <c r="J731" i="1"/>
  <c r="I731" i="1"/>
  <c r="B731" i="1"/>
  <c r="G730" i="1"/>
  <c r="B730" i="1"/>
  <c r="H729" i="1"/>
  <c r="B729" i="1"/>
  <c r="F728" i="1"/>
  <c r="B728" i="1"/>
  <c r="I727" i="1"/>
  <c r="I736" i="1" s="1"/>
  <c r="G727" i="1"/>
  <c r="G736" i="1" s="1"/>
  <c r="B727" i="1"/>
  <c r="E726" i="1"/>
  <c r="B726" i="1"/>
  <c r="F725" i="1"/>
  <c r="B725" i="1"/>
  <c r="D724" i="1"/>
  <c r="B724" i="1"/>
  <c r="E723" i="1"/>
  <c r="E736" i="1" s="1"/>
  <c r="B723" i="1"/>
  <c r="E722" i="1"/>
  <c r="F722" i="1" s="1"/>
  <c r="G722" i="1" s="1"/>
  <c r="H722" i="1" s="1"/>
  <c r="I722" i="1" s="1"/>
  <c r="J722" i="1" s="1"/>
  <c r="K722" i="1" s="1"/>
  <c r="L722" i="1" s="1"/>
  <c r="D722" i="1"/>
  <c r="L720" i="1"/>
  <c r="K720" i="1"/>
  <c r="J720" i="1"/>
  <c r="I720" i="1"/>
  <c r="H720" i="1"/>
  <c r="G720" i="1"/>
  <c r="F720" i="1"/>
  <c r="E720" i="1"/>
  <c r="D720" i="1"/>
  <c r="E716" i="1"/>
  <c r="F716" i="1" s="1"/>
  <c r="G716" i="1" s="1"/>
  <c r="H716" i="1" s="1"/>
  <c r="I716" i="1" s="1"/>
  <c r="J716" i="1" s="1"/>
  <c r="K716" i="1" s="1"/>
  <c r="L716" i="1" s="1"/>
  <c r="D716" i="1"/>
  <c r="L713" i="1"/>
  <c r="K713" i="1"/>
  <c r="J713" i="1"/>
  <c r="I713" i="1"/>
  <c r="H713" i="1"/>
  <c r="G713" i="1"/>
  <c r="F713" i="1"/>
  <c r="E713" i="1"/>
  <c r="D713" i="1"/>
  <c r="L712" i="1"/>
  <c r="L714" i="1" s="1"/>
  <c r="K712" i="1"/>
  <c r="J712" i="1"/>
  <c r="J714" i="1" s="1"/>
  <c r="I712" i="1"/>
  <c r="H712" i="1"/>
  <c r="H714" i="1" s="1"/>
  <c r="G712" i="1"/>
  <c r="G714" i="1" s="1"/>
  <c r="G740" i="1" s="1"/>
  <c r="F712" i="1"/>
  <c r="F714" i="1" s="1"/>
  <c r="E712" i="1"/>
  <c r="E714" i="1" s="1"/>
  <c r="E740" i="1" s="1"/>
  <c r="D712" i="1"/>
  <c r="D714" i="1" s="1"/>
  <c r="E711" i="1"/>
  <c r="F711" i="1" s="1"/>
  <c r="G711" i="1" s="1"/>
  <c r="H711" i="1" s="1"/>
  <c r="I711" i="1" s="1"/>
  <c r="J711" i="1" s="1"/>
  <c r="K711" i="1" s="1"/>
  <c r="L711" i="1" s="1"/>
  <c r="D711" i="1"/>
  <c r="L709" i="1"/>
  <c r="K709" i="1"/>
  <c r="J709" i="1"/>
  <c r="I709" i="1"/>
  <c r="H709" i="1"/>
  <c r="G709" i="1"/>
  <c r="F709" i="1"/>
  <c r="E709" i="1"/>
  <c r="D709" i="1"/>
  <c r="F705" i="1"/>
  <c r="G705" i="1" s="1"/>
  <c r="H705" i="1" s="1"/>
  <c r="I705" i="1" s="1"/>
  <c r="J705" i="1" s="1"/>
  <c r="K705" i="1" s="1"/>
  <c r="L705" i="1" s="1"/>
  <c r="E705" i="1"/>
  <c r="D740" i="1" l="1"/>
  <c r="F740" i="1"/>
  <c r="H740" i="1"/>
  <c r="L740" i="1"/>
  <c r="K714" i="1"/>
  <c r="K740" i="1" s="1"/>
  <c r="I714" i="1"/>
  <c r="I740" i="1" s="1"/>
  <c r="J727" i="1"/>
  <c r="J740" i="1" s="1"/>
  <c r="K454" i="1"/>
  <c r="L454" i="1" s="1"/>
  <c r="L694" i="1" l="1"/>
  <c r="L682" i="1"/>
  <c r="L680" i="1"/>
  <c r="L676" i="1"/>
  <c r="L673" i="1"/>
  <c r="L672" i="1"/>
  <c r="L674" i="1" s="1"/>
  <c r="L698" i="1" s="1"/>
  <c r="L671" i="1"/>
  <c r="L669" i="1"/>
  <c r="L665" i="1"/>
  <c r="L642" i="1"/>
  <c r="L640" i="1"/>
  <c r="L636" i="1"/>
  <c r="L633" i="1"/>
  <c r="L632" i="1"/>
  <c r="L634" i="1" s="1"/>
  <c r="L631" i="1"/>
  <c r="L629" i="1"/>
  <c r="L658" i="1" s="1"/>
  <c r="L625" i="1"/>
  <c r="L614" i="1"/>
  <c r="L600" i="1"/>
  <c r="L596" i="1"/>
  <c r="L592" i="1"/>
  <c r="L591" i="1"/>
  <c r="L589" i="1"/>
  <c r="L593" i="1" s="1"/>
  <c r="L585" i="1"/>
  <c r="L574" i="1"/>
  <c r="L562" i="1"/>
  <c r="L560" i="1"/>
  <c r="L556" i="1"/>
  <c r="L553" i="1"/>
  <c r="L551" i="1"/>
  <c r="L549" i="1"/>
  <c r="L545" i="1"/>
  <c r="L534" i="1"/>
  <c r="L526" i="1"/>
  <c r="L524" i="1"/>
  <c r="L520" i="1"/>
  <c r="L517" i="1"/>
  <c r="L516" i="1"/>
  <c r="L518" i="1" s="1"/>
  <c r="L515" i="1"/>
  <c r="L513" i="1"/>
  <c r="L538" i="1" s="1"/>
  <c r="K34" i="9" s="1"/>
  <c r="L509" i="1"/>
  <c r="L498" i="1"/>
  <c r="L490" i="1"/>
  <c r="L488" i="1"/>
  <c r="L484" i="1"/>
  <c r="L481" i="1"/>
  <c r="L480" i="1"/>
  <c r="L482" i="1" s="1"/>
  <c r="L479" i="1"/>
  <c r="L477" i="1"/>
  <c r="L473" i="1"/>
  <c r="L462" i="1"/>
  <c r="L452" i="1"/>
  <c r="L448" i="1"/>
  <c r="L445" i="1"/>
  <c r="L444" i="1"/>
  <c r="L446" i="1" s="1"/>
  <c r="L443" i="1"/>
  <c r="L441" i="1"/>
  <c r="L466" i="1" s="1"/>
  <c r="L437" i="1"/>
  <c r="L428" i="1"/>
  <c r="L416" i="1"/>
  <c r="L414" i="1"/>
  <c r="L413" i="1"/>
  <c r="L410" i="1"/>
  <c r="L407" i="1"/>
  <c r="L405" i="1"/>
  <c r="L403" i="1"/>
  <c r="L399" i="1"/>
  <c r="L388" i="1"/>
  <c r="L380" i="1"/>
  <c r="L378" i="1"/>
  <c r="L374" i="1"/>
  <c r="L371" i="1"/>
  <c r="L370" i="1"/>
  <c r="L369" i="1"/>
  <c r="L363" i="1"/>
  <c r="L352" i="1"/>
  <c r="L344" i="1"/>
  <c r="L342" i="1"/>
  <c r="L338" i="1"/>
  <c r="L335" i="1"/>
  <c r="L334" i="1"/>
  <c r="L333" i="1"/>
  <c r="L331" i="1"/>
  <c r="L327" i="1"/>
  <c r="L316" i="1"/>
  <c r="L308" i="1"/>
  <c r="L306" i="1"/>
  <c r="L302" i="1"/>
  <c r="L299" i="1"/>
  <c r="L298" i="1"/>
  <c r="L300" i="1" s="1"/>
  <c r="L297" i="1"/>
  <c r="L295" i="1"/>
  <c r="L291" i="1"/>
  <c r="L280" i="1"/>
  <c r="L270" i="1"/>
  <c r="L266" i="1"/>
  <c r="L263" i="1"/>
  <c r="L262" i="1"/>
  <c r="L264" i="1" s="1"/>
  <c r="L261" i="1"/>
  <c r="L259" i="1"/>
  <c r="L284" i="1" s="1"/>
  <c r="K27" i="9" s="1"/>
  <c r="L255" i="1"/>
  <c r="L244" i="1"/>
  <c r="L236" i="1"/>
  <c r="L234" i="1"/>
  <c r="L230" i="1"/>
  <c r="L227" i="1"/>
  <c r="L226" i="1"/>
  <c r="L225" i="1"/>
  <c r="L223" i="1"/>
  <c r="L219" i="1"/>
  <c r="L208" i="1"/>
  <c r="L200" i="1"/>
  <c r="L198" i="1"/>
  <c r="L194" i="1"/>
  <c r="L191" i="1"/>
  <c r="L190" i="1"/>
  <c r="L192" i="1" s="1"/>
  <c r="L212" i="1" s="1"/>
  <c r="K25" i="9" s="1"/>
  <c r="L189" i="1"/>
  <c r="L183" i="1"/>
  <c r="L172" i="1"/>
  <c r="L164" i="1"/>
  <c r="L162" i="1"/>
  <c r="L155" i="1"/>
  <c r="L154" i="1"/>
  <c r="L147" i="1"/>
  <c r="L136" i="1"/>
  <c r="L128" i="1"/>
  <c r="L126" i="1"/>
  <c r="L122" i="1"/>
  <c r="L119" i="1"/>
  <c r="L118" i="1"/>
  <c r="L120" i="1" s="1"/>
  <c r="L140" i="1" s="1"/>
  <c r="K23" i="9" s="1"/>
  <c r="L117" i="1"/>
  <c r="L111" i="1"/>
  <c r="L100" i="1"/>
  <c r="L92" i="1"/>
  <c r="L90" i="1"/>
  <c r="L86" i="1"/>
  <c r="L83" i="1"/>
  <c r="L82" i="1"/>
  <c r="L84" i="1" s="1"/>
  <c r="L81" i="1"/>
  <c r="L79" i="1"/>
  <c r="L104" i="1" s="1"/>
  <c r="K22" i="9" s="1"/>
  <c r="L75" i="1"/>
  <c r="L64" i="1"/>
  <c r="L55" i="1"/>
  <c r="L53" i="1"/>
  <c r="L47" i="1"/>
  <c r="L42" i="1"/>
  <c r="L38" i="1"/>
  <c r="L49" i="1" s="1"/>
  <c r="L372" i="1" l="1"/>
  <c r="L392" i="1" s="1"/>
  <c r="K30" i="9" s="1"/>
  <c r="L336" i="1"/>
  <c r="L356" i="1" s="1"/>
  <c r="K29" i="9" s="1"/>
  <c r="L228" i="1"/>
  <c r="L156" i="1"/>
  <c r="L176" i="1" s="1"/>
  <c r="K24" i="9" s="1"/>
  <c r="K12" i="6"/>
  <c r="L502" i="1"/>
  <c r="K33" i="9" s="1"/>
  <c r="L320" i="1"/>
  <c r="K28" i="9" s="1"/>
  <c r="L68" i="1"/>
  <c r="K21" i="9" s="1"/>
  <c r="L248" i="1"/>
  <c r="K26" i="9" s="1"/>
  <c r="L594" i="1"/>
  <c r="L44" i="1"/>
  <c r="L406" i="1"/>
  <c r="L408" i="1" s="1"/>
  <c r="L432" i="1" s="1"/>
  <c r="K31" i="9" s="1"/>
  <c r="J5" i="9" s="1"/>
  <c r="J36" i="9"/>
  <c r="I6" i="9" s="1"/>
  <c r="K694" i="1"/>
  <c r="K680" i="1"/>
  <c r="K672" i="1"/>
  <c r="K673" i="1"/>
  <c r="K674" i="1"/>
  <c r="K698" i="1" s="1"/>
  <c r="J38" i="9" s="1"/>
  <c r="K669" i="1"/>
  <c r="K614" i="1"/>
  <c r="K600" i="1"/>
  <c r="K589" i="1"/>
  <c r="K593" i="1" s="1"/>
  <c r="K574" i="1"/>
  <c r="K560" i="1"/>
  <c r="K553" i="1"/>
  <c r="K549" i="1"/>
  <c r="K534" i="1"/>
  <c r="K524" i="1"/>
  <c r="K516" i="1"/>
  <c r="K517" i="1"/>
  <c r="K513" i="1"/>
  <c r="K640" i="1"/>
  <c r="K629" i="1"/>
  <c r="K633" i="1" s="1"/>
  <c r="K280" i="1"/>
  <c r="K352" i="1"/>
  <c r="K428" i="1"/>
  <c r="K462" i="1"/>
  <c r="K498" i="1"/>
  <c r="K488" i="1"/>
  <c r="K480" i="1"/>
  <c r="K481" i="1"/>
  <c r="K477" i="1"/>
  <c r="K452" i="1"/>
  <c r="K444" i="1"/>
  <c r="K445" i="1"/>
  <c r="K441" i="1"/>
  <c r="K413" i="1"/>
  <c r="K414" i="1" l="1"/>
  <c r="J19" i="6"/>
  <c r="J20" i="6" s="1"/>
  <c r="J7" i="9"/>
  <c r="K482" i="1"/>
  <c r="K502" i="1" s="1"/>
  <c r="J33" i="9" s="1"/>
  <c r="K446" i="1"/>
  <c r="K466" i="1" s="1"/>
  <c r="J32" i="9" s="1"/>
  <c r="K518" i="1"/>
  <c r="K538" i="1" s="1"/>
  <c r="J34" i="9" s="1"/>
  <c r="K407" i="1" l="1"/>
  <c r="K403" i="1"/>
  <c r="K388" i="1"/>
  <c r="K378" i="1"/>
  <c r="K370" i="1"/>
  <c r="K371" i="1"/>
  <c r="K334" i="1"/>
  <c r="K335" i="1"/>
  <c r="K342" i="1"/>
  <c r="K316" i="1"/>
  <c r="K331" i="1"/>
  <c r="K306" i="1"/>
  <c r="K298" i="1"/>
  <c r="K299" i="1"/>
  <c r="K295" i="1"/>
  <c r="K372" i="1" l="1"/>
  <c r="K392" i="1" s="1"/>
  <c r="J30" i="9" s="1"/>
  <c r="K300" i="1"/>
  <c r="K320" i="1" s="1"/>
  <c r="J28" i="9" s="1"/>
  <c r="K336" i="1"/>
  <c r="K356" i="1" s="1"/>
  <c r="J29" i="9" s="1"/>
  <c r="K408" i="1"/>
  <c r="K432" i="1" s="1"/>
  <c r="J31" i="9" s="1"/>
  <c r="K270" i="1"/>
  <c r="K262" i="1"/>
  <c r="K263" i="1"/>
  <c r="K259" i="1"/>
  <c r="K244" i="1"/>
  <c r="K234" i="1"/>
  <c r="K226" i="1"/>
  <c r="K227" i="1"/>
  <c r="K223" i="1"/>
  <c r="K208" i="1"/>
  <c r="K198" i="1"/>
  <c r="K190" i="1"/>
  <c r="K191" i="1"/>
  <c r="K172" i="1"/>
  <c r="K162" i="1"/>
  <c r="K154" i="1"/>
  <c r="K155" i="1"/>
  <c r="K228" i="1" l="1"/>
  <c r="K248" i="1" s="1"/>
  <c r="J26" i="9" s="1"/>
  <c r="K192" i="1"/>
  <c r="K212" i="1" s="1"/>
  <c r="J25" i="9" s="1"/>
  <c r="K264" i="1"/>
  <c r="K284" i="1" s="1"/>
  <c r="J27" i="9" s="1"/>
  <c r="K156" i="1"/>
  <c r="K176" i="1" s="1"/>
  <c r="J24" i="9" s="1"/>
  <c r="K136" i="1"/>
  <c r="K100" i="1"/>
  <c r="K64" i="1"/>
  <c r="K53" i="1"/>
  <c r="K47" i="1"/>
  <c r="K79" i="1"/>
  <c r="K90" i="1"/>
  <c r="K82" i="1"/>
  <c r="K83" i="1"/>
  <c r="K84" i="1" l="1"/>
  <c r="K104" i="1" l="1"/>
  <c r="J22" i="9" s="1"/>
  <c r="K118" i="1"/>
  <c r="K119" i="1"/>
  <c r="K126" i="1"/>
  <c r="K42" i="1"/>
  <c r="K68" i="1" l="1"/>
  <c r="J21" i="9" s="1"/>
  <c r="J12" i="6"/>
  <c r="K120" i="1"/>
  <c r="B351" i="1"/>
  <c r="B350" i="1"/>
  <c r="B349" i="1"/>
  <c r="B348" i="1"/>
  <c r="B347" i="1"/>
  <c r="B346" i="1"/>
  <c r="B345" i="1"/>
  <c r="B315" i="1"/>
  <c r="B314" i="1"/>
  <c r="B313" i="1"/>
  <c r="B312" i="1"/>
  <c r="B311" i="1"/>
  <c r="B310" i="1"/>
  <c r="B309" i="1"/>
  <c r="B279" i="1"/>
  <c r="B278" i="1"/>
  <c r="B277" i="1"/>
  <c r="B276" i="1"/>
  <c r="B275" i="1"/>
  <c r="A33" i="6"/>
  <c r="A32" i="6"/>
  <c r="A31" i="6"/>
  <c r="A30" i="6"/>
  <c r="A29" i="6"/>
  <c r="A28" i="6"/>
  <c r="A27" i="6"/>
  <c r="A26" i="6"/>
  <c r="A25" i="6"/>
  <c r="A24" i="6"/>
  <c r="A23" i="6"/>
  <c r="C42" i="6"/>
  <c r="C16" i="6"/>
  <c r="C11" i="6"/>
  <c r="C22" i="6"/>
  <c r="C6" i="6"/>
  <c r="B274" i="1"/>
  <c r="B273" i="1"/>
  <c r="B207" i="1"/>
  <c r="B206" i="1"/>
  <c r="B205" i="1"/>
  <c r="B204" i="1"/>
  <c r="B203" i="1"/>
  <c r="B202" i="1"/>
  <c r="B201" i="1"/>
  <c r="B171" i="1"/>
  <c r="B170" i="1"/>
  <c r="B169" i="1"/>
  <c r="B168" i="1"/>
  <c r="B167" i="1"/>
  <c r="B166" i="1"/>
  <c r="B165" i="1"/>
  <c r="B135" i="1"/>
  <c r="B134" i="1"/>
  <c r="B133" i="1"/>
  <c r="B132" i="1"/>
  <c r="B131" i="1"/>
  <c r="B130" i="1"/>
  <c r="B129" i="1"/>
  <c r="B99" i="1"/>
  <c r="B98" i="1"/>
  <c r="B97" i="1"/>
  <c r="B96" i="1"/>
  <c r="B95" i="1"/>
  <c r="B94" i="1"/>
  <c r="B93" i="1"/>
  <c r="B62" i="1"/>
  <c r="B61" i="1"/>
  <c r="B60" i="1"/>
  <c r="B59" i="1"/>
  <c r="B706" i="1" s="1"/>
  <c r="B58" i="1"/>
  <c r="B243" i="1"/>
  <c r="B242" i="1"/>
  <c r="B241" i="1"/>
  <c r="B240" i="1"/>
  <c r="K140" i="1" l="1"/>
  <c r="J23" i="9" s="1"/>
  <c r="I7" i="9" s="1"/>
  <c r="J42" i="6"/>
  <c r="K42" i="6"/>
  <c r="I42" i="6"/>
  <c r="B239" i="1"/>
  <c r="B238" i="1"/>
  <c r="B237" i="1"/>
  <c r="B57" i="1"/>
  <c r="B56" i="1"/>
  <c r="B693" i="1"/>
  <c r="B692" i="1"/>
  <c r="B691" i="1"/>
  <c r="B690" i="1"/>
  <c r="B689" i="1"/>
  <c r="B688" i="1"/>
  <c r="B687" i="1"/>
  <c r="B686" i="1"/>
  <c r="B685" i="1"/>
  <c r="B684" i="1"/>
  <c r="B683" i="1"/>
  <c r="B653" i="1"/>
  <c r="B652" i="1"/>
  <c r="B651" i="1"/>
  <c r="B650" i="1"/>
  <c r="B649" i="1"/>
  <c r="B648" i="1"/>
  <c r="B647" i="1"/>
  <c r="B646" i="1"/>
  <c r="B645" i="1"/>
  <c r="B644" i="1"/>
  <c r="B643" i="1"/>
  <c r="B613" i="1"/>
  <c r="B612" i="1"/>
  <c r="B611" i="1"/>
  <c r="B610" i="1"/>
  <c r="B609" i="1"/>
  <c r="B608" i="1"/>
  <c r="B607" i="1"/>
  <c r="B606" i="1"/>
  <c r="B605" i="1"/>
  <c r="B604" i="1"/>
  <c r="B603" i="1"/>
  <c r="B573" i="1"/>
  <c r="B572" i="1"/>
  <c r="B571" i="1"/>
  <c r="B570" i="1"/>
  <c r="B569" i="1"/>
  <c r="B568" i="1"/>
  <c r="B567" i="1"/>
  <c r="B566" i="1"/>
  <c r="B565" i="1"/>
  <c r="B564" i="1"/>
  <c r="B563" i="1"/>
  <c r="B533" i="1"/>
  <c r="B532" i="1"/>
  <c r="B531" i="1"/>
  <c r="B530" i="1"/>
  <c r="B529" i="1"/>
  <c r="B528" i="1"/>
  <c r="B527" i="1"/>
  <c r="B497" i="1"/>
  <c r="B496" i="1"/>
  <c r="B495" i="1"/>
  <c r="B494" i="1"/>
  <c r="B493" i="1"/>
  <c r="B492" i="1"/>
  <c r="B491" i="1"/>
  <c r="B386" i="1"/>
  <c r="B385" i="1"/>
  <c r="B384" i="1"/>
  <c r="B383" i="1"/>
  <c r="B382" i="1"/>
  <c r="B381" i="1"/>
  <c r="B387" i="1"/>
  <c r="B461" i="1" l="1"/>
  <c r="B460" i="1"/>
  <c r="B459" i="1"/>
  <c r="B458" i="1"/>
  <c r="B457" i="1"/>
  <c r="B456" i="1"/>
  <c r="B455" i="1"/>
  <c r="B427" i="1"/>
  <c r="B426" i="1"/>
  <c r="B425" i="1"/>
  <c r="B424" i="1"/>
  <c r="B423" i="1"/>
  <c r="B422" i="1"/>
  <c r="B421" i="1"/>
  <c r="B420" i="1"/>
  <c r="B419" i="1"/>
  <c r="B418" i="1"/>
  <c r="B417" i="1"/>
  <c r="J673" i="1" l="1"/>
  <c r="I673" i="1"/>
  <c r="H673" i="1"/>
  <c r="G673" i="1"/>
  <c r="F673" i="1"/>
  <c r="E673" i="1"/>
  <c r="D673" i="1"/>
  <c r="J553" i="1"/>
  <c r="I553" i="1"/>
  <c r="H553" i="1"/>
  <c r="D553" i="1"/>
  <c r="E553" i="1"/>
  <c r="F553" i="1"/>
  <c r="G553" i="1"/>
  <c r="J481" i="1"/>
  <c r="I481" i="1"/>
  <c r="H481" i="1"/>
  <c r="F481" i="1"/>
  <c r="E481" i="1"/>
  <c r="D481" i="1"/>
  <c r="J445" i="1"/>
  <c r="I445" i="1"/>
  <c r="H445" i="1"/>
  <c r="D445" i="1"/>
  <c r="E445" i="1"/>
  <c r="F445" i="1"/>
  <c r="D672" i="1"/>
  <c r="E672" i="1"/>
  <c r="F672" i="1"/>
  <c r="F674" i="1" s="1"/>
  <c r="H672" i="1"/>
  <c r="I672" i="1"/>
  <c r="J672" i="1"/>
  <c r="G672" i="1"/>
  <c r="D516" i="1"/>
  <c r="E516" i="1"/>
  <c r="F516" i="1"/>
  <c r="H516" i="1"/>
  <c r="I516" i="1"/>
  <c r="J516" i="1"/>
  <c r="G516" i="1"/>
  <c r="D480" i="1"/>
  <c r="E480" i="1"/>
  <c r="F480" i="1"/>
  <c r="H480" i="1"/>
  <c r="I480" i="1"/>
  <c r="J480" i="1"/>
  <c r="G480" i="1"/>
  <c r="D444" i="1"/>
  <c r="E444" i="1"/>
  <c r="F444" i="1"/>
  <c r="H444" i="1"/>
  <c r="I444" i="1"/>
  <c r="J444" i="1"/>
  <c r="G444" i="1"/>
  <c r="D517" i="1" l="1"/>
  <c r="E517" i="1"/>
  <c r="F517" i="1"/>
  <c r="H517" i="1"/>
  <c r="I517" i="1"/>
  <c r="J517" i="1"/>
  <c r="G517" i="1"/>
  <c r="G481" i="1"/>
  <c r="G445" i="1"/>
  <c r="C663" i="1" l="1"/>
  <c r="C623" i="1"/>
  <c r="H694" i="1"/>
  <c r="F694" i="1"/>
  <c r="H692" i="1"/>
  <c r="I691" i="1"/>
  <c r="J691" i="1" s="1"/>
  <c r="G690" i="1"/>
  <c r="H689" i="1"/>
  <c r="F688" i="1"/>
  <c r="I687" i="1"/>
  <c r="I694" i="1" s="1"/>
  <c r="G687" i="1"/>
  <c r="G694" i="1" s="1"/>
  <c r="E686" i="1"/>
  <c r="F685" i="1"/>
  <c r="D684" i="1"/>
  <c r="D694" i="1" s="1"/>
  <c r="E683" i="1"/>
  <c r="D682" i="1"/>
  <c r="E682" i="1" s="1"/>
  <c r="F682" i="1" s="1"/>
  <c r="G682" i="1" s="1"/>
  <c r="H682" i="1" s="1"/>
  <c r="I682" i="1" s="1"/>
  <c r="J682" i="1" s="1"/>
  <c r="K682" i="1" s="1"/>
  <c r="J680" i="1"/>
  <c r="I680" i="1"/>
  <c r="H680" i="1"/>
  <c r="G680" i="1"/>
  <c r="F680" i="1"/>
  <c r="E680" i="1"/>
  <c r="D680" i="1"/>
  <c r="D676" i="1"/>
  <c r="E676" i="1" s="1"/>
  <c r="F676" i="1" s="1"/>
  <c r="G676" i="1" s="1"/>
  <c r="H676" i="1" s="1"/>
  <c r="I676" i="1" s="1"/>
  <c r="J676" i="1" s="1"/>
  <c r="K676" i="1" s="1"/>
  <c r="J674" i="1"/>
  <c r="G674" i="1"/>
  <c r="I674" i="1"/>
  <c r="H674" i="1"/>
  <c r="E674" i="1"/>
  <c r="D674" i="1"/>
  <c r="D671" i="1"/>
  <c r="E671" i="1" s="1"/>
  <c r="F671" i="1" s="1"/>
  <c r="G671" i="1" s="1"/>
  <c r="H671" i="1" s="1"/>
  <c r="I671" i="1" s="1"/>
  <c r="J671" i="1" s="1"/>
  <c r="K671" i="1" s="1"/>
  <c r="J669" i="1"/>
  <c r="I669" i="1"/>
  <c r="H669" i="1"/>
  <c r="G669" i="1"/>
  <c r="F669" i="1"/>
  <c r="F698" i="1" s="1"/>
  <c r="E38" i="9" s="1"/>
  <c r="E669" i="1"/>
  <c r="D669" i="1"/>
  <c r="E665" i="1"/>
  <c r="F665" i="1" s="1"/>
  <c r="G665" i="1" s="1"/>
  <c r="H665" i="1" s="1"/>
  <c r="I665" i="1" s="1"/>
  <c r="J665" i="1" s="1"/>
  <c r="K665" i="1" s="1"/>
  <c r="H654" i="1"/>
  <c r="H652" i="1"/>
  <c r="J651" i="1"/>
  <c r="I651" i="1"/>
  <c r="G650" i="1"/>
  <c r="H649" i="1"/>
  <c r="F648" i="1"/>
  <c r="I647" i="1"/>
  <c r="I654" i="1" s="1"/>
  <c r="G647" i="1"/>
  <c r="G654" i="1" s="1"/>
  <c r="E646" i="1"/>
  <c r="F645" i="1"/>
  <c r="D644" i="1"/>
  <c r="D654" i="1" s="1"/>
  <c r="E643" i="1"/>
  <c r="D642" i="1"/>
  <c r="E642" i="1" s="1"/>
  <c r="F642" i="1" s="1"/>
  <c r="G642" i="1" s="1"/>
  <c r="H642" i="1" s="1"/>
  <c r="I642" i="1" s="1"/>
  <c r="J642" i="1" s="1"/>
  <c r="K642" i="1" s="1"/>
  <c r="F640" i="1"/>
  <c r="E640" i="1"/>
  <c r="D640" i="1"/>
  <c r="D636" i="1"/>
  <c r="E636" i="1" s="1"/>
  <c r="F636" i="1" s="1"/>
  <c r="G636" i="1" s="1"/>
  <c r="H636" i="1" s="1"/>
  <c r="I636" i="1" s="1"/>
  <c r="J636" i="1" s="1"/>
  <c r="K636" i="1" s="1"/>
  <c r="D631" i="1"/>
  <c r="E631" i="1" s="1"/>
  <c r="F631" i="1" s="1"/>
  <c r="G631" i="1" s="1"/>
  <c r="H631" i="1" s="1"/>
  <c r="I631" i="1" s="1"/>
  <c r="J631" i="1" s="1"/>
  <c r="K631" i="1" s="1"/>
  <c r="J629" i="1"/>
  <c r="I629" i="1"/>
  <c r="H629" i="1"/>
  <c r="G629" i="1"/>
  <c r="F629" i="1"/>
  <c r="F633" i="1" s="1"/>
  <c r="E629" i="1"/>
  <c r="E633" i="1" s="1"/>
  <c r="D629" i="1"/>
  <c r="D633" i="1" s="1"/>
  <c r="E625" i="1"/>
  <c r="F625" i="1" s="1"/>
  <c r="G625" i="1" s="1"/>
  <c r="H625" i="1" s="1"/>
  <c r="I625" i="1" s="1"/>
  <c r="J625" i="1" s="1"/>
  <c r="K625" i="1" s="1"/>
  <c r="E694" i="1" l="1"/>
  <c r="D698" i="1"/>
  <c r="C38" i="9" s="1"/>
  <c r="E654" i="1"/>
  <c r="H698" i="1"/>
  <c r="G38" i="9" s="1"/>
  <c r="F654" i="1"/>
  <c r="G698" i="1"/>
  <c r="F38" i="9" s="1"/>
  <c r="I698" i="1"/>
  <c r="H38" i="9" s="1"/>
  <c r="J633" i="1"/>
  <c r="I633" i="1"/>
  <c r="H633" i="1"/>
  <c r="G633" i="1"/>
  <c r="E698" i="1"/>
  <c r="D38" i="9" s="1"/>
  <c r="J687" i="1"/>
  <c r="J694" i="1" s="1"/>
  <c r="J698" i="1" s="1"/>
  <c r="I38" i="9" s="1"/>
  <c r="J647" i="1"/>
  <c r="J654" i="1" s="1"/>
  <c r="C583" i="1"/>
  <c r="B37" i="9"/>
  <c r="B38" i="9"/>
  <c r="A37" i="9"/>
  <c r="A38" i="9"/>
  <c r="B36" i="9"/>
  <c r="A36" i="9"/>
  <c r="H614" i="1"/>
  <c r="H612" i="1"/>
  <c r="I611" i="1"/>
  <c r="J611" i="1" s="1"/>
  <c r="G610" i="1"/>
  <c r="H609" i="1"/>
  <c r="F608" i="1"/>
  <c r="I607" i="1"/>
  <c r="I614" i="1" s="1"/>
  <c r="G607" i="1"/>
  <c r="G614" i="1" s="1"/>
  <c r="E606" i="1"/>
  <c r="F605" i="1"/>
  <c r="D604" i="1"/>
  <c r="D614" i="1" s="1"/>
  <c r="E603" i="1"/>
  <c r="D602" i="1"/>
  <c r="E602" i="1" s="1"/>
  <c r="F602" i="1" s="1"/>
  <c r="G602" i="1" s="1"/>
  <c r="H602" i="1" s="1"/>
  <c r="I602" i="1" s="1"/>
  <c r="J602" i="1" s="1"/>
  <c r="I600" i="1"/>
  <c r="H600" i="1"/>
  <c r="G600" i="1"/>
  <c r="F600" i="1"/>
  <c r="E600" i="1"/>
  <c r="D600" i="1"/>
  <c r="D596" i="1"/>
  <c r="E596" i="1" s="1"/>
  <c r="F596" i="1" s="1"/>
  <c r="G596" i="1" s="1"/>
  <c r="H596" i="1" s="1"/>
  <c r="I596" i="1" s="1"/>
  <c r="J596" i="1" s="1"/>
  <c r="K596" i="1" s="1"/>
  <c r="D591" i="1"/>
  <c r="E591" i="1" s="1"/>
  <c r="F591" i="1" s="1"/>
  <c r="G591" i="1" s="1"/>
  <c r="H591" i="1" s="1"/>
  <c r="I591" i="1" s="1"/>
  <c r="J591" i="1" s="1"/>
  <c r="K591" i="1" s="1"/>
  <c r="J589" i="1"/>
  <c r="J593" i="1" s="1"/>
  <c r="I589" i="1"/>
  <c r="I593" i="1" s="1"/>
  <c r="H589" i="1"/>
  <c r="H593" i="1" s="1"/>
  <c r="G589" i="1"/>
  <c r="G593" i="1" s="1"/>
  <c r="F589" i="1"/>
  <c r="F593" i="1" s="1"/>
  <c r="E589" i="1"/>
  <c r="D589" i="1"/>
  <c r="E585" i="1"/>
  <c r="F585" i="1" s="1"/>
  <c r="G585" i="1" s="1"/>
  <c r="H585" i="1" s="1"/>
  <c r="I585" i="1" s="1"/>
  <c r="J585" i="1" s="1"/>
  <c r="K585" i="1" s="1"/>
  <c r="E614" i="1" l="1"/>
  <c r="F614" i="1"/>
  <c r="D593" i="1"/>
  <c r="E593" i="1"/>
  <c r="J607" i="1"/>
  <c r="J614" i="1" s="1"/>
  <c r="J640" i="1"/>
  <c r="I640" i="1"/>
  <c r="J560" i="1"/>
  <c r="J549" i="1"/>
  <c r="J524" i="1"/>
  <c r="J513" i="1"/>
  <c r="J488" i="1"/>
  <c r="J477" i="1"/>
  <c r="J462" i="1"/>
  <c r="J452" i="1"/>
  <c r="J441" i="1"/>
  <c r="J413" i="1"/>
  <c r="I19" i="6" s="1"/>
  <c r="J407" i="1"/>
  <c r="J403" i="1"/>
  <c r="J378" i="1"/>
  <c r="J371" i="1"/>
  <c r="J370" i="1"/>
  <c r="J367" i="1"/>
  <c r="J342" i="1"/>
  <c r="J335" i="1"/>
  <c r="J334" i="1"/>
  <c r="J331" i="1"/>
  <c r="J306" i="1"/>
  <c r="J299" i="1"/>
  <c r="J298" i="1"/>
  <c r="J295" i="1"/>
  <c r="J270" i="1"/>
  <c r="J263" i="1"/>
  <c r="J262" i="1"/>
  <c r="J259" i="1"/>
  <c r="J234" i="1"/>
  <c r="J227" i="1"/>
  <c r="J226" i="1"/>
  <c r="J198" i="1"/>
  <c r="J191" i="1"/>
  <c r="J190" i="1"/>
  <c r="J162" i="1"/>
  <c r="J155" i="1"/>
  <c r="J154" i="1"/>
  <c r="J126" i="1"/>
  <c r="J119" i="1"/>
  <c r="J118" i="1"/>
  <c r="J90" i="1"/>
  <c r="J83" i="1"/>
  <c r="J82" i="1"/>
  <c r="J79" i="1"/>
  <c r="J53" i="1"/>
  <c r="J46" i="1"/>
  <c r="J45" i="1"/>
  <c r="J42" i="1"/>
  <c r="I12" i="6" s="1"/>
  <c r="J84" i="1" l="1"/>
  <c r="J120" i="1"/>
  <c r="J156" i="1"/>
  <c r="J192" i="1"/>
  <c r="J264" i="1"/>
  <c r="J336" i="1"/>
  <c r="J372" i="1"/>
  <c r="J406" i="1"/>
  <c r="J408" i="1" s="1"/>
  <c r="J228" i="1"/>
  <c r="J414" i="1"/>
  <c r="J47" i="1"/>
  <c r="J300" i="1"/>
  <c r="G640" i="1"/>
  <c r="H640" i="1"/>
  <c r="I9" i="6"/>
  <c r="J600" i="1" l="1"/>
  <c r="I20" i="6"/>
  <c r="B14" i="6"/>
  <c r="B38" i="6"/>
  <c r="B20" i="6"/>
  <c r="B43" i="6" l="1"/>
  <c r="H426" i="1" l="1"/>
  <c r="H413" i="1" l="1"/>
  <c r="I413" i="1"/>
  <c r="G413" i="1"/>
  <c r="G30" i="6"/>
  <c r="H9" i="6"/>
  <c r="F460" i="1"/>
  <c r="I425" i="1"/>
  <c r="G424" i="1"/>
  <c r="H423" i="1"/>
  <c r="H428" i="1" s="1"/>
  <c r="E420" i="1"/>
  <c r="H572" i="1"/>
  <c r="I571" i="1"/>
  <c r="J571" i="1" s="1"/>
  <c r="G570" i="1"/>
  <c r="H569" i="1"/>
  <c r="G567" i="1"/>
  <c r="I567" i="1"/>
  <c r="I549" i="1"/>
  <c r="I560" i="1"/>
  <c r="I42" i="1"/>
  <c r="I45" i="1"/>
  <c r="I46" i="1"/>
  <c r="I53" i="1"/>
  <c r="I79" i="1"/>
  <c r="I82" i="1"/>
  <c r="I83" i="1"/>
  <c r="I90" i="1"/>
  <c r="I115" i="1"/>
  <c r="I118" i="1"/>
  <c r="I119" i="1"/>
  <c r="I126" i="1"/>
  <c r="I151" i="1"/>
  <c r="I154" i="1"/>
  <c r="I155" i="1"/>
  <c r="I162" i="1"/>
  <c r="I187" i="1"/>
  <c r="I190" i="1"/>
  <c r="I191" i="1"/>
  <c r="I198" i="1"/>
  <c r="I223" i="1"/>
  <c r="I226" i="1"/>
  <c r="I227" i="1"/>
  <c r="I234" i="1"/>
  <c r="I259" i="1"/>
  <c r="I262" i="1"/>
  <c r="I264" i="1" s="1"/>
  <c r="I263" i="1"/>
  <c r="I270" i="1"/>
  <c r="I295" i="1"/>
  <c r="I298" i="1"/>
  <c r="I300" i="1" s="1"/>
  <c r="I299" i="1"/>
  <c r="I306" i="1"/>
  <c r="I331" i="1"/>
  <c r="I334" i="1"/>
  <c r="I335" i="1"/>
  <c r="I342" i="1"/>
  <c r="I367" i="1"/>
  <c r="I370" i="1"/>
  <c r="I371" i="1"/>
  <c r="I378" i="1"/>
  <c r="I403" i="1"/>
  <c r="I406" i="1" s="1"/>
  <c r="I407" i="1"/>
  <c r="I441" i="1"/>
  <c r="I452" i="1"/>
  <c r="I462" i="1"/>
  <c r="I477" i="1"/>
  <c r="I488" i="1"/>
  <c r="I513" i="1"/>
  <c r="I524" i="1"/>
  <c r="J425" i="1" l="1"/>
  <c r="J428" i="1" s="1"/>
  <c r="I428" i="1"/>
  <c r="H32" i="6" s="1"/>
  <c r="H38" i="6" s="1"/>
  <c r="I228" i="1"/>
  <c r="I372" i="1"/>
  <c r="I414" i="1"/>
  <c r="H20" i="6"/>
  <c r="I574" i="1"/>
  <c r="J567" i="1"/>
  <c r="J574" i="1" s="1"/>
  <c r="I156" i="1"/>
  <c r="I120" i="1"/>
  <c r="I84" i="1"/>
  <c r="I47" i="1"/>
  <c r="G32" i="6"/>
  <c r="I408" i="1"/>
  <c r="I336" i="1"/>
  <c r="I192" i="1"/>
  <c r="I32" i="6" l="1"/>
  <c r="I38" i="6" s="1"/>
  <c r="J432" i="1"/>
  <c r="I31" i="9" s="1"/>
  <c r="H5" i="9" s="1"/>
  <c r="D562" i="1"/>
  <c r="D556" i="1"/>
  <c r="D551" i="1"/>
  <c r="E551" i="1" s="1"/>
  <c r="E545" i="1"/>
  <c r="D526" i="1"/>
  <c r="D520" i="1"/>
  <c r="D515" i="1"/>
  <c r="E515" i="1" s="1"/>
  <c r="E509" i="1"/>
  <c r="D490" i="1" l="1"/>
  <c r="D484" i="1"/>
  <c r="E484" i="1" s="1"/>
  <c r="D479" i="1"/>
  <c r="E479" i="1" s="1"/>
  <c r="E473" i="1"/>
  <c r="D454" i="1"/>
  <c r="D448" i="1"/>
  <c r="D443" i="1"/>
  <c r="E443" i="1" s="1"/>
  <c r="E437" i="1"/>
  <c r="E399" i="1"/>
  <c r="D416" i="1"/>
  <c r="D410" i="1"/>
  <c r="D405" i="1"/>
  <c r="E405" i="1" s="1"/>
  <c r="D380" i="1"/>
  <c r="D374" i="1"/>
  <c r="D369" i="1"/>
  <c r="D344" i="1"/>
  <c r="D338" i="1"/>
  <c r="D333" i="1"/>
  <c r="D308" i="1"/>
  <c r="D302" i="1"/>
  <c r="D297" i="1"/>
  <c r="D272" i="1"/>
  <c r="D266" i="1"/>
  <c r="D261" i="1"/>
  <c r="D236" i="1"/>
  <c r="D230" i="1"/>
  <c r="D225" i="1"/>
  <c r="D200" i="1"/>
  <c r="D194" i="1"/>
  <c r="D189" i="1"/>
  <c r="D164" i="1"/>
  <c r="D158" i="1"/>
  <c r="D153" i="1"/>
  <c r="D128" i="1"/>
  <c r="D122" i="1"/>
  <c r="D117" i="1"/>
  <c r="D92" i="1"/>
  <c r="D86" i="1"/>
  <c r="D81" i="1"/>
  <c r="D55" i="1"/>
  <c r="D44" i="1"/>
  <c r="A35" i="9" l="1"/>
  <c r="B34" i="9"/>
  <c r="B35" i="9"/>
  <c r="A34" i="9"/>
  <c r="C543" i="1" l="1"/>
  <c r="B546" i="1" s="1"/>
  <c r="E566" i="1"/>
  <c r="F565" i="1"/>
  <c r="D564" i="1"/>
  <c r="D574" i="1" s="1"/>
  <c r="E563" i="1"/>
  <c r="E562" i="1"/>
  <c r="F562" i="1" s="1"/>
  <c r="G562" i="1" s="1"/>
  <c r="H562" i="1" s="1"/>
  <c r="I562" i="1" s="1"/>
  <c r="J562" i="1" s="1"/>
  <c r="K562" i="1" s="1"/>
  <c r="H560" i="1"/>
  <c r="G560" i="1"/>
  <c r="F560" i="1"/>
  <c r="E560" i="1"/>
  <c r="D560" i="1"/>
  <c r="E556" i="1"/>
  <c r="F556" i="1" s="1"/>
  <c r="G556" i="1" s="1"/>
  <c r="H556" i="1" s="1"/>
  <c r="I556" i="1" s="1"/>
  <c r="J556" i="1" s="1"/>
  <c r="K556" i="1" s="1"/>
  <c r="F551" i="1"/>
  <c r="G551" i="1" s="1"/>
  <c r="H551" i="1" s="1"/>
  <c r="I551" i="1" s="1"/>
  <c r="J551" i="1" s="1"/>
  <c r="K551" i="1" s="1"/>
  <c r="H549" i="1"/>
  <c r="G549" i="1"/>
  <c r="F549" i="1"/>
  <c r="E549" i="1"/>
  <c r="D549" i="1"/>
  <c r="F545" i="1"/>
  <c r="G545" i="1" s="1"/>
  <c r="H545" i="1" s="1"/>
  <c r="I545" i="1" s="1"/>
  <c r="J545" i="1" s="1"/>
  <c r="K545" i="1" s="1"/>
  <c r="E574" i="1" l="1"/>
  <c r="F413" i="1"/>
  <c r="B33" i="9" l="1"/>
  <c r="A33" i="9"/>
  <c r="B32" i="9"/>
  <c r="C507" i="1" l="1"/>
  <c r="B510" i="1" s="1"/>
  <c r="C471" i="1"/>
  <c r="F532" i="1"/>
  <c r="G531" i="1"/>
  <c r="H531" i="1" s="1"/>
  <c r="E530" i="1"/>
  <c r="F529" i="1"/>
  <c r="F534" i="1" s="1"/>
  <c r="D528" i="1"/>
  <c r="D534" i="1" s="1"/>
  <c r="E527" i="1"/>
  <c r="E534" i="1" s="1"/>
  <c r="E526" i="1"/>
  <c r="F526" i="1" s="1"/>
  <c r="G526" i="1" s="1"/>
  <c r="H526" i="1" s="1"/>
  <c r="I526" i="1" s="1"/>
  <c r="J526" i="1" s="1"/>
  <c r="K526" i="1" s="1"/>
  <c r="H524" i="1"/>
  <c r="G524" i="1"/>
  <c r="F524" i="1"/>
  <c r="E524" i="1"/>
  <c r="D524" i="1"/>
  <c r="E520" i="1"/>
  <c r="F520" i="1" s="1"/>
  <c r="G520" i="1" s="1"/>
  <c r="H520" i="1" s="1"/>
  <c r="I520" i="1" s="1"/>
  <c r="J520" i="1" s="1"/>
  <c r="K520" i="1" s="1"/>
  <c r="F515" i="1"/>
  <c r="G515" i="1" s="1"/>
  <c r="H515" i="1" s="1"/>
  <c r="I515" i="1" s="1"/>
  <c r="J515" i="1" s="1"/>
  <c r="K515" i="1" s="1"/>
  <c r="H513" i="1"/>
  <c r="G513" i="1"/>
  <c r="F513" i="1"/>
  <c r="E513" i="1"/>
  <c r="D513" i="1"/>
  <c r="F509" i="1"/>
  <c r="G509" i="1" s="1"/>
  <c r="H509" i="1" s="1"/>
  <c r="I509" i="1" s="1"/>
  <c r="J509" i="1" s="1"/>
  <c r="K509" i="1" s="1"/>
  <c r="H488" i="1"/>
  <c r="H477" i="1"/>
  <c r="H452" i="1"/>
  <c r="H441" i="1"/>
  <c r="H414" i="1"/>
  <c r="H407" i="1"/>
  <c r="H403" i="1"/>
  <c r="H406" i="1" s="1"/>
  <c r="H378" i="1"/>
  <c r="H371" i="1"/>
  <c r="H370" i="1"/>
  <c r="H372" i="1" s="1"/>
  <c r="H367" i="1"/>
  <c r="H342" i="1"/>
  <c r="H335" i="1"/>
  <c r="H334" i="1"/>
  <c r="H336" i="1" s="1"/>
  <c r="H331" i="1"/>
  <c r="H306" i="1"/>
  <c r="H299" i="1"/>
  <c r="H298" i="1"/>
  <c r="H295" i="1"/>
  <c r="H270" i="1"/>
  <c r="H263" i="1"/>
  <c r="H262" i="1"/>
  <c r="H259" i="1"/>
  <c r="H234" i="1"/>
  <c r="H227" i="1"/>
  <c r="H226" i="1"/>
  <c r="H228" i="1" s="1"/>
  <c r="H223" i="1"/>
  <c r="H198" i="1"/>
  <c r="H191" i="1"/>
  <c r="H190" i="1"/>
  <c r="H187" i="1"/>
  <c r="H162" i="1"/>
  <c r="H155" i="1"/>
  <c r="H154" i="1"/>
  <c r="H156" i="1" s="1"/>
  <c r="H151" i="1"/>
  <c r="H126" i="1"/>
  <c r="H119" i="1"/>
  <c r="H118" i="1"/>
  <c r="H115" i="1"/>
  <c r="H90" i="1"/>
  <c r="H83" i="1"/>
  <c r="H82" i="1"/>
  <c r="H84" i="1" s="1"/>
  <c r="H79" i="1"/>
  <c r="H53" i="1"/>
  <c r="H46" i="1"/>
  <c r="H45" i="1"/>
  <c r="H47" i="1" s="1"/>
  <c r="H42" i="1"/>
  <c r="H534" i="1" l="1"/>
  <c r="I531" i="1"/>
  <c r="H264" i="1"/>
  <c r="H120" i="1"/>
  <c r="G534" i="1"/>
  <c r="H192" i="1"/>
  <c r="H300" i="1"/>
  <c r="H408" i="1"/>
  <c r="H432" i="1" s="1"/>
  <c r="I534" i="1" l="1"/>
  <c r="J531" i="1"/>
  <c r="J534" i="1" s="1"/>
  <c r="F496" i="1"/>
  <c r="G495" i="1"/>
  <c r="E494" i="1"/>
  <c r="F493" i="1"/>
  <c r="D492" i="1"/>
  <c r="D498" i="1" s="1"/>
  <c r="E491" i="1"/>
  <c r="E490" i="1"/>
  <c r="F490" i="1" s="1"/>
  <c r="G490" i="1" s="1"/>
  <c r="H490" i="1" s="1"/>
  <c r="I490" i="1" s="1"/>
  <c r="J490" i="1" s="1"/>
  <c r="K490" i="1" s="1"/>
  <c r="G488" i="1"/>
  <c r="F488" i="1"/>
  <c r="E488" i="1"/>
  <c r="D488" i="1"/>
  <c r="F484" i="1"/>
  <c r="G484" i="1" s="1"/>
  <c r="H484" i="1" s="1"/>
  <c r="I484" i="1" s="1"/>
  <c r="J484" i="1" s="1"/>
  <c r="K484" i="1" s="1"/>
  <c r="F479" i="1"/>
  <c r="G479" i="1" s="1"/>
  <c r="H479" i="1" s="1"/>
  <c r="I479" i="1" s="1"/>
  <c r="J479" i="1" s="1"/>
  <c r="K479" i="1" s="1"/>
  <c r="G477" i="1"/>
  <c r="F477" i="1"/>
  <c r="E477" i="1"/>
  <c r="D477" i="1"/>
  <c r="F473" i="1"/>
  <c r="G473" i="1" s="1"/>
  <c r="H473" i="1" s="1"/>
  <c r="I473" i="1" s="1"/>
  <c r="J473" i="1" s="1"/>
  <c r="K473" i="1" s="1"/>
  <c r="B474" i="1"/>
  <c r="E498" i="1" l="1"/>
  <c r="G498" i="1"/>
  <c r="H495" i="1"/>
  <c r="F498" i="1"/>
  <c r="F18" i="6"/>
  <c r="G18" i="6"/>
  <c r="G9" i="6"/>
  <c r="H498" i="1" l="1"/>
  <c r="I495" i="1"/>
  <c r="F20" i="6"/>
  <c r="G20" i="6"/>
  <c r="C435" i="1"/>
  <c r="B438" i="1" s="1"/>
  <c r="G459" i="1"/>
  <c r="G462" i="1" s="1"/>
  <c r="F27" i="6" s="1"/>
  <c r="E27" i="6" s="1"/>
  <c r="E458" i="1"/>
  <c r="F457" i="1"/>
  <c r="D456" i="1"/>
  <c r="D462" i="1" s="1"/>
  <c r="E455" i="1"/>
  <c r="E454" i="1"/>
  <c r="F454" i="1" s="1"/>
  <c r="G454" i="1" s="1"/>
  <c r="H454" i="1" s="1"/>
  <c r="I454" i="1" s="1"/>
  <c r="J454" i="1" s="1"/>
  <c r="G452" i="1"/>
  <c r="F452" i="1"/>
  <c r="E452" i="1"/>
  <c r="D452" i="1"/>
  <c r="E448" i="1"/>
  <c r="F448" i="1" s="1"/>
  <c r="G448" i="1" s="1"/>
  <c r="H448" i="1" s="1"/>
  <c r="I448" i="1" s="1"/>
  <c r="J448" i="1" s="1"/>
  <c r="K448" i="1" s="1"/>
  <c r="F443" i="1"/>
  <c r="G443" i="1" s="1"/>
  <c r="H443" i="1" s="1"/>
  <c r="I443" i="1" s="1"/>
  <c r="J443" i="1" s="1"/>
  <c r="K443" i="1" s="1"/>
  <c r="G441" i="1"/>
  <c r="F441" i="1"/>
  <c r="E441" i="1"/>
  <c r="D441" i="1"/>
  <c r="F437" i="1"/>
  <c r="G437" i="1" s="1"/>
  <c r="H437" i="1" s="1"/>
  <c r="I437" i="1" s="1"/>
  <c r="J437" i="1" s="1"/>
  <c r="K437" i="1" s="1"/>
  <c r="J495" i="1" l="1"/>
  <c r="J498" i="1" s="1"/>
  <c r="I498" i="1"/>
  <c r="H462" i="1"/>
  <c r="F462" i="1"/>
  <c r="E462" i="1"/>
  <c r="A32" i="9"/>
  <c r="F422" i="1" l="1"/>
  <c r="G421" i="1"/>
  <c r="G428" i="1" s="1"/>
  <c r="F419" i="1"/>
  <c r="F428" i="1" s="1"/>
  <c r="D418" i="1"/>
  <c r="D428" i="1" s="1"/>
  <c r="E417" i="1"/>
  <c r="E428" i="1" s="1"/>
  <c r="F386" i="1"/>
  <c r="G385" i="1"/>
  <c r="E384" i="1"/>
  <c r="F383" i="1"/>
  <c r="D382" i="1"/>
  <c r="D388" i="1" s="1"/>
  <c r="E381" i="1"/>
  <c r="F350" i="1"/>
  <c r="G349" i="1"/>
  <c r="E348" i="1"/>
  <c r="F347" i="1"/>
  <c r="D346" i="1"/>
  <c r="D352" i="1" s="1"/>
  <c r="E345" i="1"/>
  <c r="F314" i="1"/>
  <c r="G313" i="1"/>
  <c r="E312" i="1"/>
  <c r="F311" i="1"/>
  <c r="D310" i="1"/>
  <c r="D316" i="1" s="1"/>
  <c r="E309" i="1"/>
  <c r="F278" i="1"/>
  <c r="G277" i="1"/>
  <c r="E276" i="1"/>
  <c r="F275" i="1"/>
  <c r="D274" i="1"/>
  <c r="D280" i="1" s="1"/>
  <c r="E273" i="1"/>
  <c r="F242" i="1"/>
  <c r="G241" i="1"/>
  <c r="E240" i="1"/>
  <c r="F239" i="1"/>
  <c r="D238" i="1"/>
  <c r="D244" i="1" s="1"/>
  <c r="E237" i="1"/>
  <c r="F206" i="1"/>
  <c r="G205" i="1"/>
  <c r="E204" i="1"/>
  <c r="F203" i="1"/>
  <c r="D202" i="1"/>
  <c r="D208" i="1" s="1"/>
  <c r="E201" i="1"/>
  <c r="F170" i="1"/>
  <c r="G169" i="1"/>
  <c r="E168" i="1"/>
  <c r="F167" i="1"/>
  <c r="D166" i="1"/>
  <c r="D172" i="1" s="1"/>
  <c r="E165" i="1"/>
  <c r="F134" i="1"/>
  <c r="G133" i="1"/>
  <c r="E132" i="1"/>
  <c r="F131" i="1"/>
  <c r="D130" i="1"/>
  <c r="D136" i="1" s="1"/>
  <c r="E129" i="1"/>
  <c r="F98" i="1"/>
  <c r="G97" i="1"/>
  <c r="E96" i="1"/>
  <c r="F95" i="1"/>
  <c r="D94" i="1"/>
  <c r="D100" i="1" s="1"/>
  <c r="E93" i="1"/>
  <c r="F61" i="1"/>
  <c r="G60" i="1"/>
  <c r="E59" i="1"/>
  <c r="E280" i="1" l="1"/>
  <c r="E100" i="1"/>
  <c r="E244" i="1"/>
  <c r="F280" i="1"/>
  <c r="E388" i="1"/>
  <c r="E208" i="1"/>
  <c r="F244" i="1"/>
  <c r="F388" i="1"/>
  <c r="G208" i="1"/>
  <c r="H205" i="1"/>
  <c r="G352" i="1"/>
  <c r="H349" i="1"/>
  <c r="G316" i="1"/>
  <c r="H313" i="1"/>
  <c r="G136" i="1"/>
  <c r="H133" i="1"/>
  <c r="G280" i="1"/>
  <c r="H277" i="1"/>
  <c r="G64" i="1"/>
  <c r="H60" i="1"/>
  <c r="G172" i="1"/>
  <c r="H169" i="1"/>
  <c r="G100" i="1"/>
  <c r="H97" i="1"/>
  <c r="G244" i="1"/>
  <c r="H241" i="1"/>
  <c r="H421" i="1"/>
  <c r="G388" i="1"/>
  <c r="H385" i="1"/>
  <c r="E172" i="1"/>
  <c r="F208" i="1"/>
  <c r="E136" i="1"/>
  <c r="F172" i="1"/>
  <c r="F136" i="1"/>
  <c r="E352" i="1"/>
  <c r="F316" i="1"/>
  <c r="F100" i="1"/>
  <c r="E316" i="1"/>
  <c r="F352" i="1"/>
  <c r="E19" i="6"/>
  <c r="E18" i="6"/>
  <c r="E17" i="6"/>
  <c r="E9" i="6"/>
  <c r="G414" i="1"/>
  <c r="G407" i="1"/>
  <c r="G403" i="1"/>
  <c r="G406" i="1" s="1"/>
  <c r="G378" i="1"/>
  <c r="G371" i="1"/>
  <c r="G370" i="1"/>
  <c r="G367" i="1"/>
  <c r="G342" i="1"/>
  <c r="G335" i="1"/>
  <c r="G334" i="1"/>
  <c r="G331" i="1"/>
  <c r="G306" i="1"/>
  <c r="G299" i="1"/>
  <c r="G298" i="1"/>
  <c r="G295" i="1"/>
  <c r="G270" i="1"/>
  <c r="G263" i="1"/>
  <c r="G262" i="1"/>
  <c r="G259" i="1"/>
  <c r="G234" i="1"/>
  <c r="G227" i="1"/>
  <c r="G226" i="1"/>
  <c r="G223" i="1"/>
  <c r="G198" i="1"/>
  <c r="G191" i="1"/>
  <c r="G190" i="1"/>
  <c r="G187" i="1"/>
  <c r="G162" i="1"/>
  <c r="G155" i="1"/>
  <c r="G154" i="1"/>
  <c r="G151" i="1"/>
  <c r="G126" i="1"/>
  <c r="G119" i="1"/>
  <c r="G118" i="1"/>
  <c r="G115" i="1"/>
  <c r="G90" i="1"/>
  <c r="G83" i="1"/>
  <c r="G82" i="1"/>
  <c r="G79" i="1"/>
  <c r="G53" i="1"/>
  <c r="G46" i="1"/>
  <c r="G45" i="1"/>
  <c r="G42" i="1"/>
  <c r="D19" i="6"/>
  <c r="D17" i="6"/>
  <c r="C19" i="6"/>
  <c r="C17" i="6"/>
  <c r="H172" i="1" l="1"/>
  <c r="H176" i="1" s="1"/>
  <c r="G24" i="9" s="1"/>
  <c r="I169" i="1"/>
  <c r="H316" i="1"/>
  <c r="H320" i="1" s="1"/>
  <c r="G28" i="9" s="1"/>
  <c r="I313" i="1"/>
  <c r="H388" i="1"/>
  <c r="H392" i="1" s="1"/>
  <c r="G30" i="9" s="1"/>
  <c r="I385" i="1"/>
  <c r="H64" i="1"/>
  <c r="I60" i="1"/>
  <c r="H352" i="1"/>
  <c r="H356" i="1" s="1"/>
  <c r="G29" i="9" s="1"/>
  <c r="I349" i="1"/>
  <c r="H244" i="1"/>
  <c r="H248" i="1" s="1"/>
  <c r="G26" i="9" s="1"/>
  <c r="I241" i="1"/>
  <c r="H280" i="1"/>
  <c r="H284" i="1" s="1"/>
  <c r="G27" i="9" s="1"/>
  <c r="I277" i="1"/>
  <c r="H208" i="1"/>
  <c r="H212" i="1" s="1"/>
  <c r="G25" i="9" s="1"/>
  <c r="I205" i="1"/>
  <c r="H100" i="1"/>
  <c r="H104" i="1" s="1"/>
  <c r="G22" i="9" s="1"/>
  <c r="I97" i="1"/>
  <c r="H136" i="1"/>
  <c r="H140" i="1" s="1"/>
  <c r="G23" i="9" s="1"/>
  <c r="I133" i="1"/>
  <c r="G31" i="9"/>
  <c r="I421" i="1"/>
  <c r="H68" i="1"/>
  <c r="G21" i="9" s="1"/>
  <c r="G47" i="1"/>
  <c r="G120" i="1"/>
  <c r="G264" i="1"/>
  <c r="G408" i="1"/>
  <c r="G432" i="1" s="1"/>
  <c r="G84" i="1"/>
  <c r="G228" i="1"/>
  <c r="G372" i="1"/>
  <c r="G192" i="1"/>
  <c r="G336" i="1"/>
  <c r="G156" i="1"/>
  <c r="G300" i="1"/>
  <c r="E20" i="6"/>
  <c r="J349" i="1" l="1"/>
  <c r="J352" i="1" s="1"/>
  <c r="J356" i="1" s="1"/>
  <c r="I29" i="9" s="1"/>
  <c r="I352" i="1"/>
  <c r="I356" i="1" s="1"/>
  <c r="H29" i="9" s="1"/>
  <c r="I172" i="1"/>
  <c r="I176" i="1" s="1"/>
  <c r="H24" i="9" s="1"/>
  <c r="J169" i="1"/>
  <c r="J172" i="1" s="1"/>
  <c r="J176" i="1" s="1"/>
  <c r="I24" i="9" s="1"/>
  <c r="J205" i="1"/>
  <c r="J208" i="1" s="1"/>
  <c r="J212" i="1" s="1"/>
  <c r="I25" i="9" s="1"/>
  <c r="I208" i="1"/>
  <c r="I212" i="1" s="1"/>
  <c r="H25" i="9" s="1"/>
  <c r="J60" i="1"/>
  <c r="J64" i="1" s="1"/>
  <c r="J68" i="1" s="1"/>
  <c r="I21" i="9" s="1"/>
  <c r="I64" i="1"/>
  <c r="I68" i="1" s="1"/>
  <c r="H21" i="9" s="1"/>
  <c r="I432" i="1"/>
  <c r="H31" i="9" s="1"/>
  <c r="J421" i="1"/>
  <c r="J277" i="1"/>
  <c r="J280" i="1" s="1"/>
  <c r="J284" i="1" s="1"/>
  <c r="I27" i="9" s="1"/>
  <c r="I280" i="1"/>
  <c r="I284" i="1" s="1"/>
  <c r="H27" i="9" s="1"/>
  <c r="I388" i="1"/>
  <c r="I392" i="1" s="1"/>
  <c r="H30" i="9" s="1"/>
  <c r="J385" i="1"/>
  <c r="J388" i="1" s="1"/>
  <c r="J392" i="1" s="1"/>
  <c r="I30" i="9" s="1"/>
  <c r="J133" i="1"/>
  <c r="J136" i="1" s="1"/>
  <c r="J140" i="1" s="1"/>
  <c r="I23" i="9" s="1"/>
  <c r="I136" i="1"/>
  <c r="I140" i="1" s="1"/>
  <c r="H23" i="9" s="1"/>
  <c r="I244" i="1"/>
  <c r="I248" i="1" s="1"/>
  <c r="H26" i="9" s="1"/>
  <c r="J241" i="1"/>
  <c r="J244" i="1" s="1"/>
  <c r="J248" i="1" s="1"/>
  <c r="I26" i="9" s="1"/>
  <c r="I316" i="1"/>
  <c r="I320" i="1" s="1"/>
  <c r="H28" i="9" s="1"/>
  <c r="J313" i="1"/>
  <c r="J316" i="1" s="1"/>
  <c r="J320" i="1" s="1"/>
  <c r="I28" i="9" s="1"/>
  <c r="I100" i="1"/>
  <c r="I104" i="1" s="1"/>
  <c r="H22" i="9" s="1"/>
  <c r="J97" i="1"/>
  <c r="J100" i="1" s="1"/>
  <c r="J104" i="1" s="1"/>
  <c r="I22" i="9" s="1"/>
  <c r="D18" i="6"/>
  <c r="C18" i="6"/>
  <c r="C20" i="6" l="1"/>
  <c r="E187" i="1"/>
  <c r="F187" i="1"/>
  <c r="A45" i="6"/>
  <c r="F58" i="1" l="1"/>
  <c r="F64" i="1" s="1"/>
  <c r="D57" i="1"/>
  <c r="E56" i="1"/>
  <c r="G104" i="1"/>
  <c r="F22" i="9" s="1"/>
  <c r="G140" i="1"/>
  <c r="F23" i="9" s="1"/>
  <c r="G176" i="1"/>
  <c r="F24" i="9" s="1"/>
  <c r="G212" i="1"/>
  <c r="F25" i="9" s="1"/>
  <c r="G248" i="1"/>
  <c r="F26" i="9" s="1"/>
  <c r="G284" i="1"/>
  <c r="F27" i="9" s="1"/>
  <c r="G320" i="1"/>
  <c r="F28" i="9" s="1"/>
  <c r="G356" i="1"/>
  <c r="F29" i="9" s="1"/>
  <c r="F31" i="9" l="1"/>
  <c r="B31" i="9"/>
  <c r="A31" i="9"/>
  <c r="B30" i="9"/>
  <c r="A30" i="9"/>
  <c r="B29" i="9"/>
  <c r="A29" i="9"/>
  <c r="B28" i="9"/>
  <c r="A28" i="9"/>
  <c r="B27" i="9"/>
  <c r="A27" i="9"/>
  <c r="B26" i="9"/>
  <c r="A26" i="9"/>
  <c r="B25" i="9"/>
  <c r="A25" i="9"/>
  <c r="B24" i="9"/>
  <c r="A24" i="9"/>
  <c r="B23" i="9"/>
  <c r="A23" i="9"/>
  <c r="B22" i="9"/>
  <c r="A22" i="9"/>
  <c r="B21" i="9"/>
  <c r="A21" i="9"/>
  <c r="D9" i="6" l="1"/>
  <c r="E367" i="1"/>
  <c r="G68" i="1" l="1"/>
  <c r="F21" i="9" s="1"/>
  <c r="F403" i="1"/>
  <c r="F406" i="1" s="1"/>
  <c r="E403" i="1"/>
  <c r="E406" i="1" s="1"/>
  <c r="D403" i="1"/>
  <c r="D406" i="1" s="1"/>
  <c r="F367" i="1"/>
  <c r="D367" i="1"/>
  <c r="D370" i="1" s="1"/>
  <c r="F331" i="1"/>
  <c r="E331" i="1"/>
  <c r="D331" i="1"/>
  <c r="F295" i="1"/>
  <c r="E295" i="1"/>
  <c r="D295" i="1"/>
  <c r="F259" i="1"/>
  <c r="E259" i="1"/>
  <c r="D259" i="1"/>
  <c r="F223" i="1"/>
  <c r="E223" i="1"/>
  <c r="D223" i="1"/>
  <c r="D187" i="1"/>
  <c r="F151" i="1"/>
  <c r="E151" i="1"/>
  <c r="D151" i="1"/>
  <c r="F115" i="1"/>
  <c r="E115" i="1"/>
  <c r="D115" i="1"/>
  <c r="F79" i="1"/>
  <c r="E79" i="1"/>
  <c r="D79" i="1"/>
  <c r="F42" i="1"/>
  <c r="E42" i="1"/>
  <c r="D42" i="1"/>
  <c r="A20" i="6"/>
  <c r="F414" i="1"/>
  <c r="E414" i="1"/>
  <c r="D414" i="1"/>
  <c r="F378" i="1"/>
  <c r="E378" i="1"/>
  <c r="D378" i="1"/>
  <c r="F342" i="1"/>
  <c r="E342" i="1"/>
  <c r="D342" i="1"/>
  <c r="F306" i="1"/>
  <c r="E306" i="1"/>
  <c r="D306" i="1"/>
  <c r="F270" i="1"/>
  <c r="E270" i="1"/>
  <c r="D270" i="1"/>
  <c r="F234" i="1"/>
  <c r="E234" i="1"/>
  <c r="K632" i="1" s="1"/>
  <c r="K634" i="1" s="1"/>
  <c r="K658" i="1" s="1"/>
  <c r="J37" i="9" s="1"/>
  <c r="D234" i="1"/>
  <c r="F198" i="1"/>
  <c r="E198" i="1"/>
  <c r="D198" i="1"/>
  <c r="F162" i="1"/>
  <c r="E162" i="1"/>
  <c r="D162" i="1"/>
  <c r="F126" i="1"/>
  <c r="E126" i="1"/>
  <c r="F90" i="1"/>
  <c r="E90" i="1"/>
  <c r="D90" i="1"/>
  <c r="F53" i="1"/>
  <c r="E53" i="1"/>
  <c r="D53" i="1"/>
  <c r="C397" i="1"/>
  <c r="C361" i="1"/>
  <c r="B364" i="1" s="1"/>
  <c r="C325" i="1"/>
  <c r="B328" i="1" s="1"/>
  <c r="C289" i="1"/>
  <c r="B292" i="1" s="1"/>
  <c r="C253" i="1"/>
  <c r="B256" i="1" s="1"/>
  <c r="C217" i="1"/>
  <c r="B220" i="1" s="1"/>
  <c r="C181" i="1"/>
  <c r="B184" i="1" s="1"/>
  <c r="C145" i="1"/>
  <c r="B148" i="1" s="1"/>
  <c r="C109" i="1"/>
  <c r="B112" i="1" s="1"/>
  <c r="C73" i="1"/>
  <c r="B76" i="1" s="1"/>
  <c r="F45" i="1"/>
  <c r="F46" i="1"/>
  <c r="F82" i="1"/>
  <c r="F83" i="1"/>
  <c r="F118" i="1"/>
  <c r="F119" i="1"/>
  <c r="F154" i="1"/>
  <c r="F155" i="1"/>
  <c r="F190" i="1"/>
  <c r="F191" i="1"/>
  <c r="F226" i="1"/>
  <c r="F227" i="1"/>
  <c r="F262" i="1"/>
  <c r="F263" i="1"/>
  <c r="F298" i="1"/>
  <c r="F299" i="1"/>
  <c r="F334" i="1"/>
  <c r="F335" i="1"/>
  <c r="F370" i="1"/>
  <c r="F371" i="1"/>
  <c r="F407" i="1"/>
  <c r="E45" i="1"/>
  <c r="E46" i="1"/>
  <c r="E82" i="1"/>
  <c r="E83" i="1"/>
  <c r="E118" i="1"/>
  <c r="E119" i="1"/>
  <c r="E154" i="1"/>
  <c r="E155" i="1"/>
  <c r="E190" i="1"/>
  <c r="E191" i="1"/>
  <c r="E226" i="1"/>
  <c r="E227" i="1"/>
  <c r="E262" i="1"/>
  <c r="E263" i="1"/>
  <c r="E298" i="1"/>
  <c r="E299" i="1"/>
  <c r="E334" i="1"/>
  <c r="E335" i="1"/>
  <c r="E370" i="1"/>
  <c r="E371" i="1"/>
  <c r="D45" i="1"/>
  <c r="D46" i="1"/>
  <c r="D82" i="1"/>
  <c r="D83" i="1"/>
  <c r="D118" i="1"/>
  <c r="D119" i="1"/>
  <c r="D154" i="1"/>
  <c r="D155" i="1"/>
  <c r="D190" i="1"/>
  <c r="D191" i="1"/>
  <c r="D226" i="1"/>
  <c r="D227" i="1"/>
  <c r="D262" i="1"/>
  <c r="D263" i="1"/>
  <c r="D298" i="1"/>
  <c r="D299" i="1"/>
  <c r="D334" i="1"/>
  <c r="D335" i="1"/>
  <c r="D371" i="1"/>
  <c r="D64" i="1"/>
  <c r="E416" i="1"/>
  <c r="F416" i="1" s="1"/>
  <c r="G416" i="1" s="1"/>
  <c r="H416" i="1" s="1"/>
  <c r="I416" i="1" s="1"/>
  <c r="J416" i="1" s="1"/>
  <c r="K416" i="1" s="1"/>
  <c r="E380" i="1"/>
  <c r="F380" i="1" s="1"/>
  <c r="G380" i="1" s="1"/>
  <c r="H380" i="1" s="1"/>
  <c r="I380" i="1" s="1"/>
  <c r="J380" i="1" s="1"/>
  <c r="K380" i="1" s="1"/>
  <c r="E344" i="1"/>
  <c r="F344" i="1" s="1"/>
  <c r="G344" i="1" s="1"/>
  <c r="H344" i="1" s="1"/>
  <c r="I344" i="1" s="1"/>
  <c r="J344" i="1" s="1"/>
  <c r="K344" i="1" s="1"/>
  <c r="E308" i="1"/>
  <c r="F308" i="1" s="1"/>
  <c r="G308" i="1" s="1"/>
  <c r="H308" i="1" s="1"/>
  <c r="I308" i="1" s="1"/>
  <c r="J308" i="1" s="1"/>
  <c r="K308" i="1" s="1"/>
  <c r="E272" i="1"/>
  <c r="F272" i="1" s="1"/>
  <c r="G272" i="1" s="1"/>
  <c r="H272" i="1" s="1"/>
  <c r="I272" i="1" s="1"/>
  <c r="J272" i="1" s="1"/>
  <c r="E236" i="1"/>
  <c r="F236" i="1" s="1"/>
  <c r="G236" i="1" s="1"/>
  <c r="H236" i="1" s="1"/>
  <c r="I236" i="1" s="1"/>
  <c r="J236" i="1" s="1"/>
  <c r="K236" i="1" s="1"/>
  <c r="E200" i="1"/>
  <c r="F200" i="1" s="1"/>
  <c r="G200" i="1" s="1"/>
  <c r="H200" i="1" s="1"/>
  <c r="I200" i="1" s="1"/>
  <c r="J200" i="1" s="1"/>
  <c r="K200" i="1" s="1"/>
  <c r="E164" i="1"/>
  <c r="F164" i="1" s="1"/>
  <c r="G164" i="1" s="1"/>
  <c r="H164" i="1" s="1"/>
  <c r="I164" i="1" s="1"/>
  <c r="J164" i="1" s="1"/>
  <c r="K164" i="1" s="1"/>
  <c r="E128" i="1"/>
  <c r="F128" i="1" s="1"/>
  <c r="G128" i="1" s="1"/>
  <c r="H128" i="1" s="1"/>
  <c r="I128" i="1" s="1"/>
  <c r="J128" i="1" s="1"/>
  <c r="K128" i="1" s="1"/>
  <c r="E92" i="1"/>
  <c r="F92" i="1" s="1"/>
  <c r="G92" i="1" s="1"/>
  <c r="H92" i="1" s="1"/>
  <c r="I92" i="1" s="1"/>
  <c r="J92" i="1" s="1"/>
  <c r="K92" i="1" s="1"/>
  <c r="E55" i="1"/>
  <c r="F55" i="1" s="1"/>
  <c r="G55" i="1" s="1"/>
  <c r="H55" i="1" s="1"/>
  <c r="I55" i="1" s="1"/>
  <c r="J55" i="1" s="1"/>
  <c r="K55" i="1" s="1"/>
  <c r="E410" i="1"/>
  <c r="F410" i="1" s="1"/>
  <c r="G410" i="1" s="1"/>
  <c r="H410" i="1" s="1"/>
  <c r="I410" i="1" s="1"/>
  <c r="J410" i="1" s="1"/>
  <c r="K410" i="1" s="1"/>
  <c r="F405" i="1"/>
  <c r="G405" i="1" s="1"/>
  <c r="H405" i="1" s="1"/>
  <c r="I405" i="1" s="1"/>
  <c r="J405" i="1" s="1"/>
  <c r="K405" i="1" s="1"/>
  <c r="E374" i="1"/>
  <c r="F374" i="1" s="1"/>
  <c r="G374" i="1" s="1"/>
  <c r="H374" i="1" s="1"/>
  <c r="I374" i="1" s="1"/>
  <c r="J374" i="1" s="1"/>
  <c r="K374" i="1" s="1"/>
  <c r="E369" i="1"/>
  <c r="F369" i="1" s="1"/>
  <c r="G369" i="1" s="1"/>
  <c r="H369" i="1" s="1"/>
  <c r="I369" i="1" s="1"/>
  <c r="J369" i="1" s="1"/>
  <c r="K369" i="1" s="1"/>
  <c r="E338" i="1"/>
  <c r="F338" i="1" s="1"/>
  <c r="G338" i="1" s="1"/>
  <c r="H338" i="1" s="1"/>
  <c r="I338" i="1" s="1"/>
  <c r="J338" i="1" s="1"/>
  <c r="K338" i="1" s="1"/>
  <c r="E333" i="1"/>
  <c r="F333" i="1" s="1"/>
  <c r="G333" i="1" s="1"/>
  <c r="H333" i="1" s="1"/>
  <c r="I333" i="1" s="1"/>
  <c r="J333" i="1" s="1"/>
  <c r="K333" i="1" s="1"/>
  <c r="E302" i="1"/>
  <c r="F302" i="1" s="1"/>
  <c r="G302" i="1" s="1"/>
  <c r="H302" i="1" s="1"/>
  <c r="I302" i="1" s="1"/>
  <c r="J302" i="1" s="1"/>
  <c r="K302" i="1" s="1"/>
  <c r="E297" i="1"/>
  <c r="F297" i="1" s="1"/>
  <c r="G297" i="1" s="1"/>
  <c r="H297" i="1" s="1"/>
  <c r="I297" i="1" s="1"/>
  <c r="J297" i="1" s="1"/>
  <c r="K297" i="1" s="1"/>
  <c r="E266" i="1"/>
  <c r="F266" i="1" s="1"/>
  <c r="G266" i="1" s="1"/>
  <c r="H266" i="1" s="1"/>
  <c r="I266" i="1" s="1"/>
  <c r="J266" i="1" s="1"/>
  <c r="K266" i="1" s="1"/>
  <c r="E261" i="1"/>
  <c r="F261" i="1" s="1"/>
  <c r="G261" i="1" s="1"/>
  <c r="H261" i="1" s="1"/>
  <c r="I261" i="1" s="1"/>
  <c r="J261" i="1" s="1"/>
  <c r="K261" i="1" s="1"/>
  <c r="E230" i="1"/>
  <c r="F230" i="1" s="1"/>
  <c r="G230" i="1" s="1"/>
  <c r="H230" i="1" s="1"/>
  <c r="I230" i="1" s="1"/>
  <c r="J230" i="1" s="1"/>
  <c r="K230" i="1" s="1"/>
  <c r="E225" i="1"/>
  <c r="F225" i="1" s="1"/>
  <c r="G225" i="1" s="1"/>
  <c r="H225" i="1" s="1"/>
  <c r="I225" i="1" s="1"/>
  <c r="J225" i="1" s="1"/>
  <c r="K225" i="1" s="1"/>
  <c r="E194" i="1"/>
  <c r="K592" i="1" s="1"/>
  <c r="K594" i="1" s="1"/>
  <c r="E189" i="1"/>
  <c r="F189" i="1" s="1"/>
  <c r="G189" i="1" s="1"/>
  <c r="H189" i="1" s="1"/>
  <c r="I189" i="1" s="1"/>
  <c r="J189" i="1" s="1"/>
  <c r="K189" i="1" s="1"/>
  <c r="E158" i="1"/>
  <c r="F158" i="1" s="1"/>
  <c r="G158" i="1" s="1"/>
  <c r="H158" i="1" s="1"/>
  <c r="I158" i="1" s="1"/>
  <c r="J158" i="1" s="1"/>
  <c r="E153" i="1"/>
  <c r="F153" i="1" s="1"/>
  <c r="G153" i="1" s="1"/>
  <c r="H153" i="1" s="1"/>
  <c r="I153" i="1" s="1"/>
  <c r="J153" i="1" s="1"/>
  <c r="E122" i="1"/>
  <c r="F122" i="1" s="1"/>
  <c r="G122" i="1" s="1"/>
  <c r="H122" i="1" s="1"/>
  <c r="I122" i="1" s="1"/>
  <c r="J122" i="1" s="1"/>
  <c r="K122" i="1" s="1"/>
  <c r="E117" i="1"/>
  <c r="F117" i="1" s="1"/>
  <c r="G117" i="1" s="1"/>
  <c r="H117" i="1" s="1"/>
  <c r="I117" i="1" s="1"/>
  <c r="J117" i="1" s="1"/>
  <c r="K117" i="1" s="1"/>
  <c r="E86" i="1"/>
  <c r="F86" i="1" s="1"/>
  <c r="G86" i="1" s="1"/>
  <c r="H86" i="1" s="1"/>
  <c r="I86" i="1" s="1"/>
  <c r="J86" i="1" s="1"/>
  <c r="K86" i="1" s="1"/>
  <c r="E81" i="1"/>
  <c r="F81" i="1" s="1"/>
  <c r="G81" i="1" s="1"/>
  <c r="H81" i="1" s="1"/>
  <c r="I81" i="1" s="1"/>
  <c r="J81" i="1" s="1"/>
  <c r="K81" i="1" s="1"/>
  <c r="C36" i="1"/>
  <c r="B39" i="1" s="1"/>
  <c r="E147" i="1"/>
  <c r="F147" i="1" s="1"/>
  <c r="G147" i="1" s="1"/>
  <c r="H147" i="1" s="1"/>
  <c r="I147" i="1" s="1"/>
  <c r="J147" i="1" s="1"/>
  <c r="K147" i="1" s="1"/>
  <c r="E111" i="1"/>
  <c r="F111" i="1" s="1"/>
  <c r="G111" i="1" s="1"/>
  <c r="H111" i="1" s="1"/>
  <c r="I111" i="1" s="1"/>
  <c r="J111" i="1" s="1"/>
  <c r="K111" i="1" s="1"/>
  <c r="F399" i="1"/>
  <c r="G399" i="1" s="1"/>
  <c r="H399" i="1" s="1"/>
  <c r="I399" i="1" s="1"/>
  <c r="J399" i="1" s="1"/>
  <c r="K399" i="1" s="1"/>
  <c r="E363" i="1"/>
  <c r="F363" i="1" s="1"/>
  <c r="G363" i="1" s="1"/>
  <c r="H363" i="1" s="1"/>
  <c r="I363" i="1" s="1"/>
  <c r="J363" i="1" s="1"/>
  <c r="K363" i="1" s="1"/>
  <c r="E327" i="1"/>
  <c r="F327" i="1" s="1"/>
  <c r="G327" i="1" s="1"/>
  <c r="H327" i="1" s="1"/>
  <c r="I327" i="1" s="1"/>
  <c r="J327" i="1" s="1"/>
  <c r="K327" i="1" s="1"/>
  <c r="E291" i="1"/>
  <c r="F291" i="1" s="1"/>
  <c r="G291" i="1" s="1"/>
  <c r="H291" i="1" s="1"/>
  <c r="I291" i="1" s="1"/>
  <c r="J291" i="1" s="1"/>
  <c r="K291" i="1" s="1"/>
  <c r="E255" i="1"/>
  <c r="F255" i="1" s="1"/>
  <c r="G255" i="1" s="1"/>
  <c r="H255" i="1" s="1"/>
  <c r="I255" i="1" s="1"/>
  <c r="J255" i="1" s="1"/>
  <c r="K255" i="1" s="1"/>
  <c r="E219" i="1"/>
  <c r="F219" i="1" s="1"/>
  <c r="G219" i="1" s="1"/>
  <c r="H219" i="1" s="1"/>
  <c r="I219" i="1" s="1"/>
  <c r="J219" i="1" s="1"/>
  <c r="K219" i="1" s="1"/>
  <c r="E183" i="1"/>
  <c r="F183" i="1" s="1"/>
  <c r="G183" i="1" s="1"/>
  <c r="H183" i="1" s="1"/>
  <c r="I183" i="1" s="1"/>
  <c r="J183" i="1" s="1"/>
  <c r="K183" i="1" s="1"/>
  <c r="E75" i="1"/>
  <c r="F75" i="1" s="1"/>
  <c r="G75" i="1" s="1"/>
  <c r="H75" i="1" s="1"/>
  <c r="I75" i="1" s="1"/>
  <c r="J75" i="1" s="1"/>
  <c r="K75" i="1" s="1"/>
  <c r="E38" i="1"/>
  <c r="E49" i="1" s="1"/>
  <c r="K552" i="1" l="1"/>
  <c r="K554" i="1" s="1"/>
  <c r="L552" i="1"/>
  <c r="L554" i="1" s="1"/>
  <c r="F194" i="1"/>
  <c r="G194" i="1" s="1"/>
  <c r="H194" i="1" s="1"/>
  <c r="I194" i="1" s="1"/>
  <c r="J194" i="1" s="1"/>
  <c r="K194" i="1" s="1"/>
  <c r="D592" i="1"/>
  <c r="D594" i="1" s="1"/>
  <c r="D618" i="1" s="1"/>
  <c r="C36" i="9" s="1"/>
  <c r="E592" i="1"/>
  <c r="E594" i="1" s="1"/>
  <c r="E618" i="1" s="1"/>
  <c r="D36" i="9" s="1"/>
  <c r="J592" i="1"/>
  <c r="J594" i="1" s="1"/>
  <c r="J618" i="1" s="1"/>
  <c r="I36" i="9" s="1"/>
  <c r="H6" i="9" s="1"/>
  <c r="F592" i="1"/>
  <c r="F594" i="1" s="1"/>
  <c r="F618" i="1" s="1"/>
  <c r="E36" i="9" s="1"/>
  <c r="H592" i="1"/>
  <c r="H594" i="1" s="1"/>
  <c r="H618" i="1" s="1"/>
  <c r="G36" i="9" s="1"/>
  <c r="I592" i="1"/>
  <c r="I594" i="1" s="1"/>
  <c r="I618" i="1" s="1"/>
  <c r="H36" i="9" s="1"/>
  <c r="G592" i="1"/>
  <c r="G594" i="1" s="1"/>
  <c r="G618" i="1" s="1"/>
  <c r="F36" i="9" s="1"/>
  <c r="H632" i="1"/>
  <c r="H634" i="1" s="1"/>
  <c r="H658" i="1" s="1"/>
  <c r="G37" i="9" s="1"/>
  <c r="I632" i="1"/>
  <c r="I634" i="1" s="1"/>
  <c r="I658" i="1" s="1"/>
  <c r="H37" i="9" s="1"/>
  <c r="D632" i="1"/>
  <c r="D634" i="1" s="1"/>
  <c r="D658" i="1" s="1"/>
  <c r="C37" i="9" s="1"/>
  <c r="J632" i="1"/>
  <c r="J634" i="1" s="1"/>
  <c r="J658" i="1" s="1"/>
  <c r="I37" i="9" s="1"/>
  <c r="E632" i="1"/>
  <c r="E634" i="1" s="1"/>
  <c r="E658" i="1" s="1"/>
  <c r="D37" i="9" s="1"/>
  <c r="F632" i="1"/>
  <c r="F634" i="1" s="1"/>
  <c r="F658" i="1" s="1"/>
  <c r="E37" i="9" s="1"/>
  <c r="G632" i="1"/>
  <c r="G634" i="1" s="1"/>
  <c r="G658" i="1" s="1"/>
  <c r="F37" i="9" s="1"/>
  <c r="D552" i="1"/>
  <c r="E552" i="1"/>
  <c r="F552" i="1"/>
  <c r="G552" i="1"/>
  <c r="H552" i="1"/>
  <c r="H554" i="1" s="1"/>
  <c r="J552" i="1"/>
  <c r="J554" i="1" s="1"/>
  <c r="I552" i="1"/>
  <c r="I554" i="1" s="1"/>
  <c r="I578" i="1" s="1"/>
  <c r="H35" i="9" s="1"/>
  <c r="J518" i="1"/>
  <c r="J538" i="1" s="1"/>
  <c r="I34" i="9" s="1"/>
  <c r="J446" i="1"/>
  <c r="I518" i="1"/>
  <c r="I538" i="1" s="1"/>
  <c r="H34" i="9" s="1"/>
  <c r="J482" i="1"/>
  <c r="J502" i="1" s="1"/>
  <c r="I33" i="9" s="1"/>
  <c r="H7" i="9" s="1"/>
  <c r="E12" i="6"/>
  <c r="I482" i="1"/>
  <c r="I502" i="1" s="1"/>
  <c r="H33" i="9" s="1"/>
  <c r="F336" i="1"/>
  <c r="F356" i="1" s="1"/>
  <c r="D300" i="1"/>
  <c r="D320" i="1" s="1"/>
  <c r="C28" i="9" s="1"/>
  <c r="C12" i="6"/>
  <c r="D12" i="6"/>
  <c r="E120" i="1"/>
  <c r="E140" i="1" s="1"/>
  <c r="D23" i="9" s="1"/>
  <c r="F192" i="1"/>
  <c r="F212" i="1" s="1"/>
  <c r="D228" i="1"/>
  <c r="D248" i="1" s="1"/>
  <c r="C26" i="9" s="1"/>
  <c r="F300" i="1"/>
  <c r="F320" i="1" s="1"/>
  <c r="F156" i="1"/>
  <c r="F176" i="1" s="1"/>
  <c r="F47" i="1"/>
  <c r="D372" i="1"/>
  <c r="D392" i="1" s="1"/>
  <c r="C30" i="9" s="1"/>
  <c r="E300" i="1"/>
  <c r="E320" i="1" s="1"/>
  <c r="D28" i="9" s="1"/>
  <c r="E192" i="1"/>
  <c r="E47" i="1"/>
  <c r="B400" i="1"/>
  <c r="D49" i="1"/>
  <c r="E44" i="1"/>
  <c r="F38" i="1"/>
  <c r="F49" i="1" s="1"/>
  <c r="D336" i="1"/>
  <c r="D356" i="1" s="1"/>
  <c r="C29" i="9" s="1"/>
  <c r="D192" i="1"/>
  <c r="D212" i="1" s="1"/>
  <c r="C25" i="9" s="1"/>
  <c r="D47" i="1"/>
  <c r="D120" i="1"/>
  <c r="E84" i="1"/>
  <c r="E104" i="1" s="1"/>
  <c r="D22" i="9" s="1"/>
  <c r="E264" i="1"/>
  <c r="E284" i="1" s="1"/>
  <c r="D27" i="9" s="1"/>
  <c r="F264" i="1"/>
  <c r="F284" i="1" s="1"/>
  <c r="D264" i="1"/>
  <c r="D284" i="1" s="1"/>
  <c r="C27" i="9" s="1"/>
  <c r="E372" i="1"/>
  <c r="D407" i="1"/>
  <c r="D408" i="1" s="1"/>
  <c r="F408" i="1"/>
  <c r="F432" i="1" s="1"/>
  <c r="D20" i="6"/>
  <c r="E64" i="1"/>
  <c r="E407" i="1"/>
  <c r="E408" i="1" s="1"/>
  <c r="F372" i="1"/>
  <c r="E336" i="1"/>
  <c r="F228" i="1"/>
  <c r="F248" i="1" s="1"/>
  <c r="E228" i="1"/>
  <c r="F84" i="1"/>
  <c r="F104" i="1" s="1"/>
  <c r="D84" i="1"/>
  <c r="D104" i="1" s="1"/>
  <c r="C22" i="9" s="1"/>
  <c r="D156" i="1"/>
  <c r="E156" i="1"/>
  <c r="F120" i="1"/>
  <c r="F140" i="1" s="1"/>
  <c r="L578" i="1" l="1"/>
  <c r="K35" i="9" s="1"/>
  <c r="J8" i="9" s="1"/>
  <c r="J14" i="9" s="1"/>
  <c r="K13" i="6"/>
  <c r="K14" i="6" s="1"/>
  <c r="K43" i="6" s="1"/>
  <c r="K578" i="1"/>
  <c r="J35" i="9" s="1"/>
  <c r="I8" i="9" s="1"/>
  <c r="I14" i="9" s="1"/>
  <c r="J13" i="6"/>
  <c r="J14" i="6" s="1"/>
  <c r="J43" i="6" s="1"/>
  <c r="J578" i="1"/>
  <c r="I35" i="9" s="1"/>
  <c r="H8" i="9" s="1"/>
  <c r="I13" i="6"/>
  <c r="D14" i="6"/>
  <c r="C14" i="6"/>
  <c r="E14" i="6"/>
  <c r="I14" i="6"/>
  <c r="I43" i="6" s="1"/>
  <c r="J466" i="1"/>
  <c r="I32" i="9" s="1"/>
  <c r="G554" i="1"/>
  <c r="H446" i="1"/>
  <c r="E518" i="1"/>
  <c r="E538" i="1" s="1"/>
  <c r="D34" i="9" s="1"/>
  <c r="F554" i="1"/>
  <c r="I446" i="1"/>
  <c r="H518" i="1"/>
  <c r="H538" i="1" s="1"/>
  <c r="G34" i="9" s="1"/>
  <c r="E554" i="1"/>
  <c r="E578" i="1" s="1"/>
  <c r="D35" i="9" s="1"/>
  <c r="D554" i="1"/>
  <c r="D578" i="1" s="1"/>
  <c r="C35" i="9" s="1"/>
  <c r="F518" i="1"/>
  <c r="F538" i="1" s="1"/>
  <c r="E34" i="9" s="1"/>
  <c r="D518" i="1"/>
  <c r="D538" i="1" s="1"/>
  <c r="C34" i="9" s="1"/>
  <c r="G518" i="1"/>
  <c r="G538" i="1" s="1"/>
  <c r="F34" i="9" s="1"/>
  <c r="F482" i="1"/>
  <c r="F502" i="1" s="1"/>
  <c r="E33" i="9" s="1"/>
  <c r="G482" i="1"/>
  <c r="G502" i="1" s="1"/>
  <c r="F33" i="9" s="1"/>
  <c r="D482" i="1"/>
  <c r="D502" i="1" s="1"/>
  <c r="C33" i="9" s="1"/>
  <c r="E482" i="1"/>
  <c r="E502" i="1" s="1"/>
  <c r="D33" i="9" s="1"/>
  <c r="H482" i="1"/>
  <c r="H502" i="1" s="1"/>
  <c r="G33" i="9" s="1"/>
  <c r="D446" i="1"/>
  <c r="D466" i="1" s="1"/>
  <c r="C32" i="9" s="1"/>
  <c r="E446" i="1"/>
  <c r="E466" i="1" s="1"/>
  <c r="D32" i="9" s="1"/>
  <c r="F446" i="1"/>
  <c r="F466" i="1" s="1"/>
  <c r="E32" i="9" s="1"/>
  <c r="D68" i="1"/>
  <c r="C21" i="9" s="1"/>
  <c r="G446" i="1"/>
  <c r="F44" i="1"/>
  <c r="G38" i="1"/>
  <c r="H38" i="1" s="1"/>
  <c r="I38" i="1" s="1"/>
  <c r="F68" i="1"/>
  <c r="E21" i="9" s="1"/>
  <c r="E23" i="9"/>
  <c r="E22" i="9"/>
  <c r="E26" i="9"/>
  <c r="E27" i="9"/>
  <c r="E29" i="9"/>
  <c r="E24" i="9"/>
  <c r="E28" i="9"/>
  <c r="E25" i="9"/>
  <c r="E356" i="1"/>
  <c r="D29" i="9" s="1"/>
  <c r="E248" i="1"/>
  <c r="D26" i="9" s="1"/>
  <c r="E212" i="1"/>
  <c r="D25" i="9" s="1"/>
  <c r="E68" i="1"/>
  <c r="D21" i="9" s="1"/>
  <c r="D176" i="1"/>
  <c r="C24" i="9" s="1"/>
  <c r="E176" i="1"/>
  <c r="D24" i="9" s="1"/>
  <c r="D126" i="1"/>
  <c r="D140" i="1" s="1"/>
  <c r="C23" i="9" s="1"/>
  <c r="I49" i="1" l="1"/>
  <c r="J38" i="1"/>
  <c r="K38" i="1" s="1"/>
  <c r="I44" i="1"/>
  <c r="H14" i="9"/>
  <c r="G466" i="1"/>
  <c r="F32" i="9" s="1"/>
  <c r="F14" i="6"/>
  <c r="H466" i="1"/>
  <c r="G32" i="9" s="1"/>
  <c r="G14" i="6"/>
  <c r="I466" i="1"/>
  <c r="H32" i="9" s="1"/>
  <c r="H14" i="6"/>
  <c r="H43" i="6" s="1"/>
  <c r="H44" i="1"/>
  <c r="H49" i="1"/>
  <c r="G44" i="1"/>
  <c r="G49" i="1"/>
  <c r="E31" i="9"/>
  <c r="C38" i="6"/>
  <c r="C43" i="6" s="1"/>
  <c r="K49" i="1" l="1"/>
  <c r="K44" i="1"/>
  <c r="J44" i="1"/>
  <c r="J49" i="1"/>
  <c r="G14" i="9"/>
  <c r="E392" i="1"/>
  <c r="D30" i="9" s="1"/>
  <c r="F392" i="1"/>
  <c r="E30" i="9" s="1"/>
  <c r="E38" i="6"/>
  <c r="E43" i="6" s="1"/>
  <c r="D432" i="1"/>
  <c r="C31" i="9" s="1"/>
  <c r="D38" i="6"/>
  <c r="D43" i="6" s="1"/>
  <c r="E432" i="1" l="1"/>
  <c r="D31" i="9" s="1"/>
  <c r="G392" i="1"/>
  <c r="F30" i="9" s="1"/>
  <c r="B14" i="9"/>
  <c r="C14" i="9" l="1"/>
  <c r="H574" i="1" l="1"/>
  <c r="H578" i="1" s="1"/>
  <c r="G35" i="9" s="1"/>
  <c r="F568" i="1"/>
  <c r="F574" i="1" s="1"/>
  <c r="F578" i="1" s="1"/>
  <c r="E35" i="9" s="1"/>
  <c r="G574" i="1"/>
  <c r="G578" i="1" l="1"/>
  <c r="F35" i="9" s="1"/>
  <c r="F30" i="6"/>
  <c r="F38" i="6" s="1"/>
  <c r="F43" i="6" s="1"/>
  <c r="D14" i="9"/>
  <c r="F14" i="9"/>
  <c r="E14" i="9"/>
  <c r="G38" i="6"/>
  <c r="G43" i="6" s="1"/>
  <c r="B586" i="1" l="1"/>
  <c r="B626" i="1" l="1"/>
  <c r="B666" i="1"/>
  <c r="E42" i="6" l="1"/>
  <c r="F42" i="6"/>
  <c r="H42" i="6"/>
  <c r="D42" i="6"/>
  <c r="G42" i="6"/>
  <c r="B11" i="6"/>
  <c r="B16" i="6"/>
  <c r="D11" i="6"/>
  <c r="E11" i="6" s="1"/>
  <c r="F11" i="6" s="1"/>
  <c r="G11" i="6" s="1"/>
  <c r="H11" i="6" s="1"/>
  <c r="I11" i="6" s="1"/>
  <c r="J11" i="6" s="1"/>
  <c r="K11" i="6" s="1"/>
  <c r="B22" i="6"/>
  <c r="D22" i="6"/>
  <c r="E22" i="6" s="1"/>
  <c r="F22" i="6" s="1"/>
  <c r="G22" i="6" s="1"/>
  <c r="H22" i="6" s="1"/>
  <c r="I22" i="6" s="1"/>
  <c r="J22" i="6" s="1"/>
  <c r="K22" i="6" s="1"/>
  <c r="B6" i="6"/>
  <c r="D6" i="6"/>
  <c r="E6" i="6" s="1"/>
  <c r="F6" i="6" s="1"/>
  <c r="G6" i="6" s="1"/>
  <c r="H6" i="6" s="1"/>
  <c r="I6" i="6" s="1"/>
  <c r="J6" i="6" s="1"/>
  <c r="K6" i="6" s="1"/>
  <c r="D16" i="6"/>
  <c r="E16" i="6" s="1"/>
  <c r="F16" i="6" s="1"/>
  <c r="G16" i="6" s="1"/>
  <c r="H16" i="6" s="1"/>
  <c r="I16" i="6" s="1"/>
  <c r="J16" i="6" s="1"/>
  <c r="K16" i="6" s="1"/>
  <c r="B42" i="6" l="1"/>
</calcChain>
</file>

<file path=xl/sharedStrings.xml><?xml version="1.0" encoding="utf-8"?>
<sst xmlns="http://schemas.openxmlformats.org/spreadsheetml/2006/main" count="561" uniqueCount="128">
  <si>
    <t>Eligible</t>
  </si>
  <si>
    <t>Not Eligible</t>
  </si>
  <si>
    <t>---</t>
  </si>
  <si>
    <t>Reporting Entity:</t>
  </si>
  <si>
    <t>Facility Name:</t>
  </si>
  <si>
    <t>Reporting Date:</t>
  </si>
  <si>
    <t>Distributed Generation Bonus</t>
  </si>
  <si>
    <t>Quantity Required for Compliance</t>
  </si>
  <si>
    <t>WA State RCW 19.285 Requirement</t>
  </si>
  <si>
    <t>Facility 20</t>
  </si>
  <si>
    <t>Facility 21</t>
  </si>
  <si>
    <t>Facility 22</t>
  </si>
  <si>
    <t>Facility 23</t>
  </si>
  <si>
    <t>Facility 24</t>
  </si>
  <si>
    <t>Facility 25</t>
  </si>
  <si>
    <t>Facility 26</t>
  </si>
  <si>
    <t>Facility 27</t>
  </si>
  <si>
    <t>Facility 28</t>
  </si>
  <si>
    <t>Facility 29</t>
  </si>
  <si>
    <t>Facility 30</t>
  </si>
  <si>
    <t>Extra Apprenticeship Credit</t>
  </si>
  <si>
    <t>Delivered Load to Retail Customers (MWh)</t>
  </si>
  <si>
    <t>Adjustment for Events Beyond Control</t>
  </si>
  <si>
    <t>Facility WREGIS ID:</t>
  </si>
  <si>
    <t>Extra Apprenticeship Credit Eligibility:</t>
  </si>
  <si>
    <t>Distributed Generation Bonus Eligibility:</t>
  </si>
  <si>
    <t>Net Surplus Adjustments</t>
  </si>
  <si>
    <t>Percent of Qualifying MWh Allocated to WA</t>
  </si>
  <si>
    <t>MWh Allocated to WA Compliance</t>
  </si>
  <si>
    <t>Eligible MWh Available for RCW 19.285 Compliance</t>
  </si>
  <si>
    <t>Bonus Incentives Transferred</t>
  </si>
  <si>
    <t>Renewable Bonus Incentives</t>
  </si>
  <si>
    <t>Total Quantity Available for RCW 19.285 Compliance</t>
  </si>
  <si>
    <t>Percent of MWh Qualifying Under RCW 19.285</t>
  </si>
  <si>
    <t>Contribution to RCW 19.285 Compliance</t>
  </si>
  <si>
    <t>RCW 19.285 Compliance Surplus / (Deficit)</t>
  </si>
  <si>
    <t>REC Sales / Transfers</t>
  </si>
  <si>
    <t>Quantity from Bonus Incentives</t>
  </si>
  <si>
    <t>Total Quantity from Bonus Incentives</t>
  </si>
  <si>
    <t>Qualifying MWh Allocated to WA</t>
  </si>
  <si>
    <t>Quantity of RECs Sold</t>
  </si>
  <si>
    <t>Facility Name</t>
  </si>
  <si>
    <t>Bonus Incentives Not Realized</t>
  </si>
  <si>
    <t>Total Sold / Transferred / Unrealized</t>
  </si>
  <si>
    <t>Adjustments</t>
  </si>
  <si>
    <t>Palouse Wind</t>
  </si>
  <si>
    <t>Avista</t>
  </si>
  <si>
    <t>Long Lake #3</t>
  </si>
  <si>
    <t>Little Falls #4</t>
  </si>
  <si>
    <t>Cabinet Gorge #2</t>
  </si>
  <si>
    <t>Cabinet Gorge #3</t>
  </si>
  <si>
    <t>Cabinet Gorge #4</t>
  </si>
  <si>
    <t>Noxon Rapids #1</t>
  </si>
  <si>
    <t>Noxon Rapids #2</t>
  </si>
  <si>
    <t>Noxon Rapids #3</t>
  </si>
  <si>
    <t>Noxon Rapids #4</t>
  </si>
  <si>
    <t>Total</t>
  </si>
  <si>
    <t>W2103</t>
  </si>
  <si>
    <t>W2102</t>
  </si>
  <si>
    <t>W1560</t>
  </si>
  <si>
    <t>W1561</t>
  </si>
  <si>
    <t>W1562</t>
  </si>
  <si>
    <t>W1530</t>
  </si>
  <si>
    <t>W1552</t>
  </si>
  <si>
    <t>W1554</t>
  </si>
  <si>
    <t>W1555</t>
  </si>
  <si>
    <t>N/A</t>
  </si>
  <si>
    <t>Type</t>
  </si>
  <si>
    <t>Wind</t>
  </si>
  <si>
    <t>Contract</t>
  </si>
  <si>
    <t>4/2008</t>
  </si>
  <si>
    <t>Water (Incremental Hydro)</t>
  </si>
  <si>
    <t>Compliance Contribution by Generation Type</t>
  </si>
  <si>
    <t>Solar</t>
  </si>
  <si>
    <t>Biomass</t>
  </si>
  <si>
    <t>Geothermal</t>
  </si>
  <si>
    <t>Landfill Gas</t>
  </si>
  <si>
    <t>Sewage Treatment Gas</t>
  </si>
  <si>
    <t>Wave, Ocean, Tidal</t>
  </si>
  <si>
    <t>Biodiesel Fuel</t>
  </si>
  <si>
    <t>Facility Type</t>
  </si>
  <si>
    <t>On-Line Date:</t>
  </si>
  <si>
    <t>Ownership/Contract:</t>
  </si>
  <si>
    <t>Ownership</t>
  </si>
  <si>
    <t>Eligible Quantity Acquired **</t>
  </si>
  <si>
    <t>W2906</t>
  </si>
  <si>
    <t>MWh Allocated to WA Compliance *</t>
  </si>
  <si>
    <t>* 2012 only shows a partial year to reflect the qualified generation in 2012 after the upgrade project at Noxon Rapids #4 was completed.</t>
  </si>
  <si>
    <t>RCW 19.285 Compliance Need</t>
  </si>
  <si>
    <t xml:space="preserve">Sales and Transfers </t>
  </si>
  <si>
    <t>Bonus Incentives Not Realized***</t>
  </si>
  <si>
    <t>W249</t>
  </si>
  <si>
    <t xml:space="preserve">** In 2008, Avista purchased 50,000 renewable energy certificates per year generated from the Stateline Wind Project for the 2012 through 2015 period to comply with RCW 19.285 requirements.  The renewable energy certificates for 2012 through 2014 were sold because they were determined to be surplus of the Company’s needs in 2011 because of the acquisition of the Palouse Wind Power Purchase Agreement and decisions concerning the need for reserves for qualifying hydroelectric upgrades. The 2015 renewable energy certificates were not sold since they are eligible to be used for 2016 compliance obligations. </t>
  </si>
  <si>
    <t>Nine Mile #1</t>
  </si>
  <si>
    <t>Nine Mile #2</t>
  </si>
  <si>
    <t>EWEB (Stateline) Wind REC Purchase</t>
  </si>
  <si>
    <t>W216</t>
  </si>
  <si>
    <t>W283</t>
  </si>
  <si>
    <t>Kettle Falls</t>
  </si>
  <si>
    <t>* 2016 is the first year of eligibility for Kettle Falls as a legacy biomass project.</t>
  </si>
  <si>
    <t>W130 &amp; W797</t>
  </si>
  <si>
    <t>Quantity of RECs Sold **</t>
  </si>
  <si>
    <t>***The Company sold RECs  from its Palouse Wind facility, which has been certified to receive bonus apprenticeship credits, to a non-Washington utility, thus the bonus incentives were not realized.</t>
  </si>
  <si>
    <t>* 2016 only shows a partial year to reflect the qualified generation in 2016 because the upgrade project at Nine Mile #1 was completed in July 2016.</t>
  </si>
  <si>
    <t>* 2016 shows zero instead of the 594 MWh available for the upgrade project at Nine Mile #2 based on the actual completion of the project 7/31/06 because the RECs were inadvertantly sold out-of-state as explained in the final 2016 filing. The original estimate was for 977 MWH based on the upgrade projected to be available for the entire month of July 2016.</t>
  </si>
  <si>
    <t>Boulder Community Solar</t>
  </si>
  <si>
    <t>W4757</t>
  </si>
  <si>
    <t>Rathdrum Solar</t>
  </si>
  <si>
    <t>Adams-Neilson Solar Farm</t>
  </si>
  <si>
    <t>Extra Apprenticeship Labor Bonus</t>
  </si>
  <si>
    <t>Start Year</t>
  </si>
  <si>
    <t>Facility Types</t>
  </si>
  <si>
    <t>* All of the output for Rathdrum Solar is retired for the benefit of customers who participate in the voluntary Buck-A-Block Program.</t>
  </si>
  <si>
    <t>** RECs are not being sold, but are retired on behalf of the customers who participate in the Buck-A-Block Program.</t>
  </si>
  <si>
    <t>Extra Apprenticeship Credit **</t>
  </si>
  <si>
    <t>Quantity of RECs Sold ***</t>
  </si>
  <si>
    <t>*** RECs are not being sold, but are assigned to the customers who participate in the Solar Select Program.</t>
  </si>
  <si>
    <t>W7340</t>
  </si>
  <si>
    <t>* This solar project supporting the Solar Select Program went into production in December 2018. All generation and RECs are assigned to the customers who voluntarily participate in this program.</t>
  </si>
  <si>
    <t>** This project is not eligible for the apprenticeship credit and the eligibility for the distributed generation bonus credit has not been determined.</t>
  </si>
  <si>
    <t>* All of the RECs from the Boulder Community Solar Project are currently allocated to the customers participating in this program. RECs will be available to meet EIA goals after the completion of the program on June 30, 2020.</t>
  </si>
  <si>
    <t>Rattlesnake Flat Wind</t>
  </si>
  <si>
    <t>** RECs are not sold, but were retired on behalf of the participants in this program through June 30, 2020.</t>
  </si>
  <si>
    <t>Quantity of RECs Sold *</t>
  </si>
  <si>
    <t>* Combinaion of RECs sold and transferred to CARB in lieu of greenhouse gas compliance requirements.</t>
  </si>
  <si>
    <t>** Discounted for non-qualifying RECs sold from old growth fuel, RECs transferred to CARB in lieu of greenhouse gas emissions fees and 4.7% old growth.</t>
  </si>
  <si>
    <t>Grant PUD Fish Bypasses</t>
  </si>
  <si>
    <t>* Wanapum and Priest Rapids are eligible resources under the Energy Independence Act, but the project had not been registed in WREGIS by the owners until recently so it was not eligible under WAC 480-109-210. Avista recently received RECs transferred into its WREGIS account. The amount listed for 2013 was done before the WREGIS requirement was instituted. 2020 and 2021 use the 2019 data as estimates.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</si>
</sst>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0_);_(* \(#,##0\);_(* &quot;-&quot;??_);_(@_)"/>
    <numFmt numFmtId="165" formatCode="[$-409]mmmm\ d\,\ yyyy;@"/>
    <numFmt numFmtId="166" formatCode="_(* #,##0.0_);_(* \(#,##0.0\);_(* &quot;-&quot;??_);_(@_)"/>
  </numFmts>
  <fonts count="15" x14ac:knownFonts="1">
    <font>
      <sz val="10"/>
      <name val="Arial"/>
    </font>
    <font>
      <sz val="10"/>
      <name val="Arial"/>
      <family val="2"/>
    </font>
    <font>
      <sz val="11"/>
      <name val="Calibri"/>
      <family val="2"/>
    </font>
    <font>
      <b/>
      <sz val="11"/>
      <name val="Calibri"/>
      <family val="2"/>
    </font>
    <font>
      <b/>
      <sz val="14"/>
      <name val="Calibri"/>
      <family val="2"/>
    </font>
    <font>
      <sz val="8"/>
      <name val="Arial"/>
      <family val="2"/>
    </font>
    <font>
      <b/>
      <sz val="16"/>
      <name val="Calibri"/>
      <family val="2"/>
    </font>
    <font>
      <b/>
      <sz val="12"/>
      <name val="Calibri"/>
      <family val="2"/>
    </font>
    <font>
      <b/>
      <sz val="16"/>
      <name val="Calibri"/>
      <family val="2"/>
      <scheme val="minor"/>
    </font>
    <font>
      <sz val="10"/>
      <name val="Calibri"/>
      <family val="2"/>
      <scheme val="minor"/>
    </font>
    <font>
      <sz val="11"/>
      <name val="Calibri"/>
      <family val="2"/>
      <scheme val="minor"/>
    </font>
    <font>
      <b/>
      <sz val="12"/>
      <name val="Calibri"/>
      <family val="2"/>
      <scheme val="minor"/>
    </font>
    <font>
      <b/>
      <sz val="11"/>
      <name val="Calibri"/>
      <family val="2"/>
      <scheme val="minor"/>
    </font>
    <font>
      <sz val="10"/>
      <color theme="1"/>
      <name val="Arial"/>
      <family val="2"/>
    </font>
    <font>
      <sz val="12"/>
      <name val="Times New Roman"/>
      <family val="1"/>
    </font>
  </fonts>
  <fills count="12">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9"/>
        <bgColor indexed="64"/>
      </patternFill>
    </fill>
    <fill>
      <patternFill patternType="solid">
        <fgColor indexed="65"/>
        <bgColor indexed="64"/>
      </patternFill>
    </fill>
    <fill>
      <patternFill patternType="solid">
        <fgColor indexed="44"/>
        <bgColor indexed="64"/>
      </patternFill>
    </fill>
    <fill>
      <patternFill patternType="solid">
        <fgColor indexed="22"/>
        <bgColor indexed="64"/>
      </patternFill>
    </fill>
    <fill>
      <patternFill patternType="solid">
        <fgColor theme="0"/>
        <bgColor indexed="64"/>
      </patternFill>
    </fill>
    <fill>
      <patternFill patternType="solid">
        <fgColor rgb="FFFFFF99"/>
        <bgColor indexed="64"/>
      </patternFill>
    </fill>
    <fill>
      <patternFill patternType="solid">
        <fgColor theme="0" tint="-0.249977111117893"/>
        <bgColor indexed="64"/>
      </patternFill>
    </fill>
    <fill>
      <patternFill patternType="solid">
        <fgColor rgb="FFFFFF00"/>
        <bgColor indexed="64"/>
      </patternFill>
    </fill>
  </fills>
  <borders count="29">
    <border>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mediumDashDotDot">
        <color indexed="64"/>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thin">
        <color indexed="64"/>
      </right>
      <top/>
      <bottom/>
      <diagonal/>
    </border>
    <border>
      <left style="hair">
        <color indexed="64"/>
      </left>
      <right style="hair">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thin">
        <color indexed="64"/>
      </top>
      <bottom style="thin">
        <color indexed="64"/>
      </bottom>
      <diagonal/>
    </border>
    <border>
      <left/>
      <right/>
      <top/>
      <bottom style="mediumDashDotDot">
        <color indexed="64"/>
      </bottom>
      <diagonal/>
    </border>
    <border>
      <left style="thin">
        <color indexed="64"/>
      </left>
      <right/>
      <top/>
      <bottom/>
      <diagonal/>
    </border>
    <border>
      <left style="thin">
        <color indexed="64"/>
      </left>
      <right style="thin">
        <color indexed="64"/>
      </right>
      <top style="hair">
        <color indexed="64"/>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cellStyleXfs>
  <cellXfs count="198">
    <xf numFmtId="0" fontId="0" fillId="0" borderId="0" xfId="0"/>
    <xf numFmtId="0" fontId="2" fillId="0" borderId="0" xfId="0" applyFont="1"/>
    <xf numFmtId="0" fontId="2" fillId="0" borderId="0" xfId="0" applyFont="1" applyAlignment="1">
      <alignment horizontal="center"/>
    </xf>
    <xf numFmtId="164" fontId="2" fillId="2" borderId="1" xfId="1" applyNumberFormat="1" applyFont="1" applyFill="1" applyBorder="1"/>
    <xf numFmtId="164" fontId="2" fillId="2" borderId="2" xfId="1" applyNumberFormat="1" applyFont="1" applyFill="1" applyBorder="1"/>
    <xf numFmtId="164" fontId="2" fillId="2" borderId="3" xfId="1" applyNumberFormat="1" applyFont="1" applyFill="1" applyBorder="1"/>
    <xf numFmtId="0" fontId="3" fillId="0" borderId="0" xfId="0" applyFont="1"/>
    <xf numFmtId="164" fontId="3" fillId="0" borderId="0" xfId="1" applyNumberFormat="1" applyFont="1"/>
    <xf numFmtId="0" fontId="2" fillId="0" borderId="4" xfId="0" applyFont="1" applyBorder="1"/>
    <xf numFmtId="0" fontId="4" fillId="0" borderId="0" xfId="0" applyFont="1"/>
    <xf numFmtId="164" fontId="2" fillId="2" borderId="5" xfId="1" applyNumberFormat="1" applyFont="1" applyFill="1" applyBorder="1"/>
    <xf numFmtId="164" fontId="2" fillId="2" borderId="2" xfId="1" applyNumberFormat="1" applyFont="1" applyFill="1" applyBorder="1" applyAlignment="1">
      <alignment horizontal="center"/>
    </xf>
    <xf numFmtId="164" fontId="2" fillId="2" borderId="3" xfId="1" applyNumberFormat="1" applyFont="1" applyFill="1" applyBorder="1" applyAlignment="1">
      <alignment horizontal="center"/>
    </xf>
    <xf numFmtId="164" fontId="2" fillId="0" borderId="2" xfId="1" applyNumberFormat="1" applyFont="1" applyBorder="1"/>
    <xf numFmtId="164" fontId="2" fillId="0" borderId="3" xfId="1" applyNumberFormat="1" applyFont="1" applyBorder="1"/>
    <xf numFmtId="43" fontId="2" fillId="0" borderId="0" xfId="0" applyNumberFormat="1" applyFont="1"/>
    <xf numFmtId="0" fontId="6" fillId="0" borderId="0" xfId="0" applyFont="1"/>
    <xf numFmtId="164" fontId="2" fillId="0" borderId="0" xfId="1" applyNumberFormat="1" applyFont="1" applyFill="1" applyBorder="1" applyAlignment="1">
      <alignment horizontal="center"/>
    </xf>
    <xf numFmtId="164" fontId="3" fillId="0" borderId="0" xfId="1" applyNumberFormat="1" applyFont="1" applyFill="1" applyBorder="1" applyAlignment="1">
      <alignment horizontal="center" vertical="center"/>
    </xf>
    <xf numFmtId="164" fontId="7" fillId="0" borderId="0" xfId="1" applyNumberFormat="1" applyFont="1" applyFill="1" applyBorder="1" applyAlignment="1">
      <alignment horizontal="center"/>
    </xf>
    <xf numFmtId="0" fontId="3" fillId="0" borderId="0" xfId="0" applyFont="1" applyFill="1" applyBorder="1" applyAlignment="1">
      <alignment horizontal="center"/>
    </xf>
    <xf numFmtId="9" fontId="2" fillId="0" borderId="0" xfId="2" applyFont="1" applyFill="1" applyBorder="1" applyAlignment="1">
      <alignment horizontal="center"/>
    </xf>
    <xf numFmtId="0" fontId="2" fillId="0" borderId="0" xfId="0" applyFont="1" applyFill="1" applyBorder="1"/>
    <xf numFmtId="164" fontId="2" fillId="0" borderId="0" xfId="1" applyNumberFormat="1" applyFont="1" applyFill="1" applyBorder="1"/>
    <xf numFmtId="0" fontId="2" fillId="0" borderId="0" xfId="0" applyFont="1" applyFill="1" applyBorder="1" applyAlignment="1">
      <alignment horizontal="center"/>
    </xf>
    <xf numFmtId="0" fontId="2" fillId="2" borderId="1" xfId="0" applyFont="1" applyFill="1" applyBorder="1" applyAlignment="1">
      <alignment horizontal="center"/>
    </xf>
    <xf numFmtId="0" fontId="2" fillId="2" borderId="9" xfId="0" applyFont="1" applyFill="1" applyBorder="1" applyAlignment="1">
      <alignment horizontal="center"/>
    </xf>
    <xf numFmtId="0" fontId="2" fillId="2" borderId="10" xfId="0" applyFont="1" applyFill="1" applyBorder="1" applyAlignment="1">
      <alignment horizontal="center"/>
    </xf>
    <xf numFmtId="0" fontId="2" fillId="3" borderId="2" xfId="0" applyFont="1" applyFill="1" applyBorder="1" applyAlignment="1">
      <alignment horizontal="center"/>
    </xf>
    <xf numFmtId="0" fontId="2" fillId="3" borderId="5" xfId="0" applyFont="1" applyFill="1" applyBorder="1" applyAlignment="1">
      <alignment horizontal="center"/>
    </xf>
    <xf numFmtId="0" fontId="2" fillId="3" borderId="11" xfId="0" applyFont="1" applyFill="1" applyBorder="1" applyAlignment="1">
      <alignment horizontal="center"/>
    </xf>
    <xf numFmtId="0" fontId="2" fillId="3" borderId="12" xfId="0" applyFont="1" applyFill="1" applyBorder="1" applyAlignment="1">
      <alignment horizontal="center"/>
    </xf>
    <xf numFmtId="0" fontId="2" fillId="3" borderId="3" xfId="0" applyFont="1" applyFill="1" applyBorder="1" applyAlignment="1">
      <alignment horizontal="center"/>
    </xf>
    <xf numFmtId="0" fontId="2" fillId="3" borderId="13" xfId="0" applyFont="1" applyFill="1" applyBorder="1" applyAlignment="1">
      <alignment horizontal="center"/>
    </xf>
    <xf numFmtId="164" fontId="3" fillId="0" borderId="0" xfId="1" applyNumberFormat="1" applyFont="1" applyFill="1" applyBorder="1"/>
    <xf numFmtId="0" fontId="3" fillId="0" borderId="0" xfId="0" applyFont="1" applyFill="1" applyBorder="1" applyAlignment="1">
      <alignment horizontal="center" vertical="center" wrapText="1"/>
    </xf>
    <xf numFmtId="0" fontId="2" fillId="0" borderId="0" xfId="0" applyFont="1" applyBorder="1"/>
    <xf numFmtId="164" fontId="2" fillId="0" borderId="0" xfId="1" applyNumberFormat="1" applyFont="1" applyBorder="1"/>
    <xf numFmtId="0" fontId="7" fillId="0" borderId="0" xfId="0" applyFont="1" applyAlignment="1">
      <alignment horizontal="center" vertical="center" wrapText="1"/>
    </xf>
    <xf numFmtId="0" fontId="3" fillId="0" borderId="0" xfId="0" applyFont="1" applyAlignment="1">
      <alignment horizontal="left"/>
    </xf>
    <xf numFmtId="0" fontId="2" fillId="2" borderId="2" xfId="0" applyFont="1" applyFill="1" applyBorder="1" applyAlignment="1">
      <alignment horizontal="center"/>
    </xf>
    <xf numFmtId="0" fontId="2" fillId="2" borderId="5" xfId="0" applyFont="1" applyFill="1" applyBorder="1" applyAlignment="1">
      <alignment horizontal="center"/>
    </xf>
    <xf numFmtId="0" fontId="2" fillId="2" borderId="11" xfId="0" applyFont="1" applyFill="1" applyBorder="1" applyAlignment="1">
      <alignment horizontal="center"/>
    </xf>
    <xf numFmtId="164" fontId="2" fillId="4" borderId="0" xfId="1" applyNumberFormat="1" applyFont="1" applyFill="1" applyBorder="1"/>
    <xf numFmtId="164" fontId="3" fillId="4" borderId="14" xfId="1" applyNumberFormat="1" applyFont="1" applyFill="1" applyBorder="1"/>
    <xf numFmtId="164" fontId="2" fillId="5" borderId="0" xfId="1" applyNumberFormat="1" applyFont="1" applyFill="1" applyBorder="1"/>
    <xf numFmtId="164" fontId="3" fillId="5" borderId="14" xfId="1" applyNumberFormat="1" applyFont="1" applyFill="1" applyBorder="1"/>
    <xf numFmtId="164" fontId="3" fillId="0" borderId="14" xfId="1" applyNumberFormat="1" applyFont="1" applyBorder="1"/>
    <xf numFmtId="0" fontId="4" fillId="0" borderId="0" xfId="0" applyFont="1" applyBorder="1"/>
    <xf numFmtId="0" fontId="6" fillId="0" borderId="7" xfId="0" applyFont="1" applyFill="1" applyBorder="1" applyAlignment="1">
      <alignment horizontal="centerContinuous"/>
    </xf>
    <xf numFmtId="0" fontId="6" fillId="0" borderId="15" xfId="0" applyFont="1" applyFill="1" applyBorder="1" applyAlignment="1">
      <alignment horizontal="centerContinuous"/>
    </xf>
    <xf numFmtId="0" fontId="4" fillId="0" borderId="0" xfId="0" applyFont="1" applyFill="1" applyBorder="1"/>
    <xf numFmtId="164" fontId="7" fillId="6" borderId="16" xfId="1" applyNumberFormat="1" applyFont="1" applyFill="1" applyBorder="1"/>
    <xf numFmtId="164" fontId="7" fillId="6" borderId="17" xfId="1" applyNumberFormat="1" applyFont="1" applyFill="1" applyBorder="1"/>
    <xf numFmtId="164" fontId="7" fillId="6" borderId="18" xfId="1" applyNumberFormat="1" applyFont="1" applyFill="1" applyBorder="1"/>
    <xf numFmtId="43" fontId="2" fillId="0" borderId="0" xfId="1" applyFont="1"/>
    <xf numFmtId="164" fontId="3" fillId="5" borderId="0" xfId="1" applyNumberFormat="1" applyFont="1" applyFill="1" applyBorder="1"/>
    <xf numFmtId="9" fontId="2" fillId="2" borderId="10" xfId="2" applyFont="1" applyFill="1" applyBorder="1" applyAlignment="1">
      <alignment horizontal="right"/>
    </xf>
    <xf numFmtId="9" fontId="2" fillId="2" borderId="11" xfId="2" applyFont="1" applyFill="1" applyBorder="1"/>
    <xf numFmtId="9" fontId="2" fillId="2" borderId="13" xfId="2" applyFont="1" applyFill="1" applyBorder="1"/>
    <xf numFmtId="164" fontId="2" fillId="0" borderId="1" xfId="1" applyNumberFormat="1" applyFont="1" applyFill="1" applyBorder="1"/>
    <xf numFmtId="164" fontId="2" fillId="0" borderId="10" xfId="1" applyNumberFormat="1" applyFont="1" applyFill="1" applyBorder="1"/>
    <xf numFmtId="164" fontId="2" fillId="0" borderId="11" xfId="1" applyNumberFormat="1" applyFont="1" applyBorder="1"/>
    <xf numFmtId="164" fontId="2" fillId="0" borderId="13" xfId="1" applyNumberFormat="1" applyFont="1" applyBorder="1"/>
    <xf numFmtId="9" fontId="2" fillId="2" borderId="19" xfId="2" applyFont="1" applyFill="1" applyBorder="1" applyAlignment="1">
      <alignment horizontal="right"/>
    </xf>
    <xf numFmtId="9" fontId="2" fillId="2" borderId="20" xfId="2" applyFont="1" applyFill="1" applyBorder="1"/>
    <xf numFmtId="9" fontId="2" fillId="2" borderId="21" xfId="2" applyFont="1" applyFill="1" applyBorder="1"/>
    <xf numFmtId="164" fontId="2" fillId="2" borderId="10" xfId="1" applyNumberFormat="1" applyFont="1" applyFill="1" applyBorder="1" applyAlignment="1"/>
    <xf numFmtId="164" fontId="2" fillId="2" borderId="11" xfId="1" applyNumberFormat="1" applyFont="1" applyFill="1" applyBorder="1" applyAlignment="1"/>
    <xf numFmtId="164" fontId="2" fillId="2" borderId="13" xfId="1" applyNumberFormat="1" applyFont="1" applyFill="1" applyBorder="1" applyAlignment="1"/>
    <xf numFmtId="164" fontId="2" fillId="0" borderId="2" xfId="1" applyNumberFormat="1" applyFont="1" applyFill="1" applyBorder="1"/>
    <xf numFmtId="164" fontId="2" fillId="0" borderId="11" xfId="1" applyNumberFormat="1" applyFont="1" applyFill="1" applyBorder="1"/>
    <xf numFmtId="164" fontId="2" fillId="7" borderId="3" xfId="1" applyNumberFormat="1" applyFont="1" applyFill="1" applyBorder="1"/>
    <xf numFmtId="164" fontId="2" fillId="7" borderId="9" xfId="1" applyNumberFormat="1" applyFont="1" applyFill="1" applyBorder="1"/>
    <xf numFmtId="164" fontId="2" fillId="7" borderId="10" xfId="1" applyNumberFormat="1" applyFont="1" applyFill="1" applyBorder="1"/>
    <xf numFmtId="0" fontId="7" fillId="0" borderId="0" xfId="0" applyFont="1" applyAlignment="1">
      <alignment horizontal="left" vertical="center" wrapText="1"/>
    </xf>
    <xf numFmtId="164" fontId="7" fillId="6" borderId="17" xfId="1" applyNumberFormat="1" applyFont="1" applyFill="1" applyBorder="1" applyAlignment="1">
      <alignment horizontal="center" vertical="center"/>
    </xf>
    <xf numFmtId="164" fontId="2" fillId="0" borderId="2" xfId="1" applyNumberFormat="1" applyFont="1" applyFill="1" applyBorder="1" applyAlignment="1">
      <alignment horizontal="center"/>
    </xf>
    <xf numFmtId="164" fontId="2" fillId="0" borderId="11" xfId="1" applyNumberFormat="1" applyFont="1" applyFill="1" applyBorder="1" applyAlignment="1">
      <alignment horizontal="center" vertical="center"/>
    </xf>
    <xf numFmtId="164" fontId="2" fillId="0" borderId="5" xfId="1" applyNumberFormat="1" applyFont="1" applyFill="1" applyBorder="1"/>
    <xf numFmtId="0" fontId="2" fillId="0" borderId="22" xfId="0" applyFont="1" applyBorder="1"/>
    <xf numFmtId="164" fontId="2" fillId="0" borderId="23" xfId="1" applyNumberFormat="1" applyFont="1" applyBorder="1"/>
    <xf numFmtId="164" fontId="2" fillId="7" borderId="24" xfId="1" applyNumberFormat="1" applyFont="1" applyFill="1" applyBorder="1"/>
    <xf numFmtId="164" fontId="2" fillId="7" borderId="12" xfId="1" applyNumberFormat="1" applyFont="1" applyFill="1" applyBorder="1"/>
    <xf numFmtId="164" fontId="2" fillId="7" borderId="5" xfId="1" applyNumberFormat="1" applyFont="1" applyFill="1" applyBorder="1"/>
    <xf numFmtId="164" fontId="2" fillId="7" borderId="11" xfId="1" applyNumberFormat="1" applyFont="1" applyFill="1" applyBorder="1"/>
    <xf numFmtId="0" fontId="3" fillId="0" borderId="0" xfId="0" applyFont="1" applyAlignment="1">
      <alignment horizontal="left" indent="2"/>
    </xf>
    <xf numFmtId="0" fontId="3" fillId="0" borderId="0" xfId="0" applyFont="1" applyFill="1" applyBorder="1" applyAlignment="1">
      <alignment horizontal="left"/>
    </xf>
    <xf numFmtId="0" fontId="3" fillId="0" borderId="0" xfId="0" applyFont="1" applyBorder="1"/>
    <xf numFmtId="0" fontId="3" fillId="0" borderId="0" xfId="0" applyFont="1" applyBorder="1" applyAlignment="1">
      <alignment horizontal="left"/>
    </xf>
    <xf numFmtId="0" fontId="2" fillId="0" borderId="0" xfId="0" applyFont="1" applyBorder="1" applyAlignment="1">
      <alignment horizontal="left"/>
    </xf>
    <xf numFmtId="0" fontId="2" fillId="0" borderId="0" xfId="0" applyFont="1" applyBorder="1" applyAlignment="1">
      <alignment horizontal="left" vertical="center"/>
    </xf>
    <xf numFmtId="0" fontId="0" fillId="0" borderId="22" xfId="0" applyBorder="1" applyAlignment="1"/>
    <xf numFmtId="0" fontId="7" fillId="0" borderId="0" xfId="0" applyFont="1" applyBorder="1"/>
    <xf numFmtId="0" fontId="2" fillId="0" borderId="22" xfId="0" applyFont="1" applyBorder="1" applyAlignment="1">
      <alignment horizontal="left" indent="2"/>
    </xf>
    <xf numFmtId="0" fontId="2" fillId="0" borderId="22" xfId="0" applyFont="1" applyBorder="1" applyAlignment="1">
      <alignment horizontal="left" vertical="center" wrapText="1" indent="2" shrinkToFit="1"/>
    </xf>
    <xf numFmtId="0" fontId="0" fillId="0" borderId="0" xfId="0" applyBorder="1" applyAlignment="1"/>
    <xf numFmtId="0" fontId="2" fillId="0" borderId="0" xfId="0" applyFont="1" applyFill="1" applyBorder="1" applyAlignment="1">
      <alignment horizontal="left"/>
    </xf>
    <xf numFmtId="164" fontId="2" fillId="2" borderId="1" xfId="1" applyNumberFormat="1" applyFont="1" applyFill="1" applyBorder="1" applyAlignment="1"/>
    <xf numFmtId="164" fontId="2" fillId="2" borderId="2" xfId="1" applyNumberFormat="1" applyFont="1" applyFill="1" applyBorder="1" applyAlignment="1"/>
    <xf numFmtId="164" fontId="2" fillId="2" borderId="3" xfId="1" applyNumberFormat="1" applyFont="1" applyFill="1" applyBorder="1" applyAlignment="1"/>
    <xf numFmtId="164" fontId="2" fillId="2" borderId="9" xfId="1" applyNumberFormat="1" applyFont="1" applyFill="1" applyBorder="1" applyAlignment="1"/>
    <xf numFmtId="164" fontId="2" fillId="2" borderId="5" xfId="1" applyNumberFormat="1" applyFont="1" applyFill="1" applyBorder="1" applyAlignment="1"/>
    <xf numFmtId="164" fontId="2" fillId="2" borderId="12" xfId="1" applyNumberFormat="1" applyFont="1" applyFill="1" applyBorder="1" applyAlignment="1"/>
    <xf numFmtId="0" fontId="2" fillId="0" borderId="0" xfId="0" applyFont="1" applyFill="1" applyBorder="1" applyAlignment="1">
      <alignment horizontal="left" vertical="center"/>
    </xf>
    <xf numFmtId="0" fontId="2" fillId="0" borderId="0" xfId="0" applyFont="1" applyBorder="1" applyAlignment="1">
      <alignment horizontal="left" vertical="center" wrapText="1" indent="2" shrinkToFit="1"/>
    </xf>
    <xf numFmtId="164" fontId="2" fillId="0" borderId="20" xfId="1" applyNumberFormat="1" applyFont="1" applyFill="1" applyBorder="1" applyAlignment="1">
      <alignment horizontal="center" vertical="center"/>
    </xf>
    <xf numFmtId="9" fontId="2" fillId="0" borderId="11" xfId="2" applyFont="1" applyBorder="1" applyAlignment="1">
      <alignment horizontal="center"/>
    </xf>
    <xf numFmtId="9" fontId="2" fillId="0" borderId="13" xfId="2" applyFont="1" applyBorder="1" applyAlignment="1">
      <alignment horizontal="center"/>
    </xf>
    <xf numFmtId="164" fontId="2" fillId="0" borderId="14" xfId="1" applyNumberFormat="1" applyFont="1" applyBorder="1" applyAlignment="1">
      <alignment horizontal="center"/>
    </xf>
    <xf numFmtId="164" fontId="2" fillId="0" borderId="14" xfId="1" applyNumberFormat="1" applyFont="1" applyFill="1" applyBorder="1" applyAlignment="1">
      <alignment horizontal="center"/>
    </xf>
    <xf numFmtId="164" fontId="2" fillId="2" borderId="16" xfId="1" applyNumberFormat="1" applyFont="1" applyFill="1" applyBorder="1"/>
    <xf numFmtId="164" fontId="2" fillId="2" borderId="17" xfId="1" applyNumberFormat="1" applyFont="1" applyFill="1" applyBorder="1"/>
    <xf numFmtId="164" fontId="2" fillId="2" borderId="18" xfId="1" applyNumberFormat="1" applyFont="1" applyFill="1" applyBorder="1"/>
    <xf numFmtId="164" fontId="2" fillId="7" borderId="16" xfId="1" applyNumberFormat="1" applyFont="1" applyFill="1" applyBorder="1"/>
    <xf numFmtId="164" fontId="2" fillId="0" borderId="17" xfId="1" applyNumberFormat="1" applyFont="1" applyBorder="1"/>
    <xf numFmtId="0" fontId="2" fillId="0" borderId="0" xfId="0" applyFont="1" applyBorder="1" applyAlignment="1">
      <alignment horizontal="left" indent="2"/>
    </xf>
    <xf numFmtId="0" fontId="3" fillId="0" borderId="0" xfId="0" applyFont="1" applyFill="1" applyBorder="1" applyAlignment="1">
      <alignment horizontal="left" indent="2"/>
    </xf>
    <xf numFmtId="0" fontId="8" fillId="0" borderId="0" xfId="3" applyFont="1"/>
    <xf numFmtId="0" fontId="9" fillId="0" borderId="0" xfId="3" applyFont="1"/>
    <xf numFmtId="0" fontId="10" fillId="0" borderId="0" xfId="3" applyFont="1" applyAlignment="1">
      <alignment horizontal="center"/>
    </xf>
    <xf numFmtId="0" fontId="10" fillId="0" borderId="0" xfId="3" applyFont="1"/>
    <xf numFmtId="164" fontId="10" fillId="0" borderId="1" xfId="1" applyNumberFormat="1" applyFont="1" applyBorder="1"/>
    <xf numFmtId="164" fontId="10" fillId="0" borderId="2" xfId="1" applyNumberFormat="1" applyFont="1" applyBorder="1"/>
    <xf numFmtId="164" fontId="10" fillId="0" borderId="3" xfId="1" applyNumberFormat="1" applyFont="1" applyBorder="1"/>
    <xf numFmtId="164" fontId="10" fillId="0" borderId="9" xfId="1" applyNumberFormat="1" applyFont="1" applyBorder="1"/>
    <xf numFmtId="164" fontId="10" fillId="0" borderId="5" xfId="1" applyNumberFormat="1" applyFont="1" applyBorder="1"/>
    <xf numFmtId="164" fontId="10" fillId="0" borderId="12" xfId="1" applyNumberFormat="1" applyFont="1" applyBorder="1"/>
    <xf numFmtId="164" fontId="10" fillId="0" borderId="10" xfId="1" applyNumberFormat="1" applyFont="1" applyBorder="1"/>
    <xf numFmtId="164" fontId="10" fillId="0" borderId="11" xfId="1" applyNumberFormat="1" applyFont="1" applyBorder="1"/>
    <xf numFmtId="164" fontId="10" fillId="0" borderId="13" xfId="1" applyNumberFormat="1" applyFont="1" applyBorder="1"/>
    <xf numFmtId="0" fontId="11" fillId="0" borderId="0" xfId="3" applyFont="1"/>
    <xf numFmtId="164" fontId="11" fillId="0" borderId="0" xfId="1" applyNumberFormat="1" applyFont="1"/>
    <xf numFmtId="0" fontId="12" fillId="0" borderId="0" xfId="3" applyFont="1" applyAlignment="1">
      <alignment horizontal="left"/>
    </xf>
    <xf numFmtId="0" fontId="12" fillId="0" borderId="0" xfId="3" applyFont="1" applyAlignment="1">
      <alignment horizontal="center"/>
    </xf>
    <xf numFmtId="0" fontId="10" fillId="0" borderId="6" xfId="3" applyFont="1" applyBorder="1"/>
    <xf numFmtId="0" fontId="10" fillId="0" borderId="8" xfId="3" applyFont="1" applyBorder="1"/>
    <xf numFmtId="14" fontId="2" fillId="3" borderId="2" xfId="0" applyNumberFormat="1" applyFont="1" applyFill="1" applyBorder="1" applyAlignment="1">
      <alignment horizontal="center"/>
    </xf>
    <xf numFmtId="14" fontId="2" fillId="3" borderId="5" xfId="0" applyNumberFormat="1" applyFont="1" applyFill="1" applyBorder="1" applyAlignment="1">
      <alignment horizontal="center"/>
    </xf>
    <xf numFmtId="164" fontId="2" fillId="0" borderId="0" xfId="0" applyNumberFormat="1" applyFont="1"/>
    <xf numFmtId="0" fontId="13" fillId="8" borderId="0" xfId="0" applyFont="1" applyFill="1"/>
    <xf numFmtId="164" fontId="13" fillId="8" borderId="0" xfId="1" applyNumberFormat="1" applyFont="1" applyFill="1"/>
    <xf numFmtId="0" fontId="2" fillId="0" borderId="0" xfId="0" applyFont="1" applyAlignment="1">
      <alignment vertical="center" wrapText="1"/>
    </xf>
    <xf numFmtId="164" fontId="2" fillId="7" borderId="2" xfId="1" applyNumberFormat="1" applyFont="1" applyFill="1" applyBorder="1"/>
    <xf numFmtId="164" fontId="2" fillId="0" borderId="9" xfId="1" applyNumberFormat="1" applyFont="1" applyFill="1" applyBorder="1"/>
    <xf numFmtId="164" fontId="2" fillId="8" borderId="12" xfId="1" applyNumberFormat="1" applyFont="1" applyFill="1" applyBorder="1"/>
    <xf numFmtId="164" fontId="2" fillId="9" borderId="13" xfId="1" applyNumberFormat="1" applyFont="1" applyFill="1" applyBorder="1"/>
    <xf numFmtId="1" fontId="2" fillId="0" borderId="0" xfId="0" applyNumberFormat="1" applyFont="1"/>
    <xf numFmtId="17" fontId="2" fillId="3" borderId="5" xfId="0" applyNumberFormat="1" applyFont="1" applyFill="1" applyBorder="1" applyAlignment="1">
      <alignment horizontal="center"/>
    </xf>
    <xf numFmtId="164" fontId="2" fillId="7" borderId="0" xfId="1" applyNumberFormat="1" applyFont="1" applyFill="1" applyBorder="1"/>
    <xf numFmtId="164" fontId="2" fillId="9" borderId="0" xfId="1" applyNumberFormat="1" applyFont="1" applyFill="1" applyBorder="1"/>
    <xf numFmtId="37" fontId="10" fillId="0" borderId="9" xfId="1" applyNumberFormat="1" applyFont="1" applyBorder="1"/>
    <xf numFmtId="0" fontId="2" fillId="0" borderId="26" xfId="0" applyFont="1" applyBorder="1" applyAlignment="1">
      <alignment horizontal="left" vertical="center" wrapText="1"/>
    </xf>
    <xf numFmtId="164" fontId="2" fillId="0" borderId="24" xfId="1" applyNumberFormat="1" applyFont="1" applyFill="1" applyBorder="1"/>
    <xf numFmtId="164" fontId="2" fillId="0" borderId="12" xfId="1" applyNumberFormat="1" applyFont="1" applyFill="1" applyBorder="1"/>
    <xf numFmtId="166" fontId="7" fillId="6" borderId="17" xfId="1" applyNumberFormat="1" applyFont="1" applyFill="1" applyBorder="1" applyAlignment="1">
      <alignment horizontal="center" vertical="center"/>
    </xf>
    <xf numFmtId="166" fontId="2" fillId="0" borderId="1" xfId="1" applyNumberFormat="1" applyFont="1" applyFill="1" applyBorder="1"/>
    <xf numFmtId="166" fontId="2" fillId="0" borderId="2" xfId="1" applyNumberFormat="1" applyFont="1" applyBorder="1"/>
    <xf numFmtId="166" fontId="2" fillId="0" borderId="23" xfId="1" applyNumberFormat="1" applyFont="1" applyBorder="1"/>
    <xf numFmtId="166" fontId="3" fillId="5" borderId="0" xfId="1" applyNumberFormat="1" applyFont="1" applyFill="1" applyBorder="1"/>
    <xf numFmtId="0" fontId="2" fillId="0" borderId="26" xfId="0" applyFont="1" applyBorder="1" applyAlignment="1">
      <alignment horizontal="left" vertical="center" wrapText="1"/>
    </xf>
    <xf numFmtId="0" fontId="2" fillId="0" borderId="26" xfId="0" applyFont="1" applyBorder="1" applyAlignment="1">
      <alignment horizontal="left" vertical="center" wrapText="1"/>
    </xf>
    <xf numFmtId="0" fontId="2" fillId="0" borderId="0" xfId="0" applyFont="1" applyFill="1"/>
    <xf numFmtId="0" fontId="2" fillId="0" borderId="0" xfId="0" applyFont="1" applyFill="1" applyAlignment="1">
      <alignment horizontal="center"/>
    </xf>
    <xf numFmtId="9" fontId="2" fillId="0" borderId="13" xfId="2" applyFont="1" applyFill="1" applyBorder="1" applyAlignment="1">
      <alignment horizontal="center"/>
    </xf>
    <xf numFmtId="1" fontId="2" fillId="0" borderId="0" xfId="0" applyNumberFormat="1" applyFont="1" applyFill="1"/>
    <xf numFmtId="164" fontId="2" fillId="0" borderId="17" xfId="1" applyNumberFormat="1" applyFont="1" applyFill="1" applyBorder="1"/>
    <xf numFmtId="0" fontId="2" fillId="0" borderId="0" xfId="0" applyFont="1" applyFill="1" applyAlignment="1">
      <alignment vertical="center" wrapText="1"/>
    </xf>
    <xf numFmtId="0" fontId="0" fillId="8" borderId="0" xfId="0" applyFill="1"/>
    <xf numFmtId="164" fontId="2" fillId="9" borderId="3" xfId="1" applyNumberFormat="1" applyFont="1" applyFill="1" applyBorder="1" applyAlignment="1">
      <alignment horizontal="center"/>
    </xf>
    <xf numFmtId="164" fontId="2" fillId="10" borderId="24" xfId="1" applyNumberFormat="1" applyFont="1" applyFill="1" applyBorder="1"/>
    <xf numFmtId="3" fontId="14" fillId="0" borderId="0" xfId="0" applyNumberFormat="1" applyFont="1" applyAlignment="1">
      <alignment vertical="center"/>
    </xf>
    <xf numFmtId="0" fontId="2" fillId="0" borderId="26" xfId="0" applyFont="1" applyBorder="1" applyAlignment="1">
      <alignment horizontal="left" vertical="center" wrapText="1"/>
    </xf>
    <xf numFmtId="0" fontId="2" fillId="2" borderId="6" xfId="0" applyFont="1" applyFill="1" applyBorder="1"/>
    <xf numFmtId="0" fontId="2" fillId="2" borderId="8" xfId="0" applyFont="1" applyFill="1" applyBorder="1"/>
    <xf numFmtId="0" fontId="2" fillId="2" borderId="28" xfId="0" quotePrefix="1" applyFont="1" applyFill="1" applyBorder="1"/>
    <xf numFmtId="0" fontId="2" fillId="2" borderId="7" xfId="0" applyFont="1" applyFill="1" applyBorder="1" applyAlignment="1">
      <alignment horizontal="center"/>
    </xf>
    <xf numFmtId="0" fontId="2" fillId="2" borderId="28" xfId="0" applyFont="1" applyFill="1" applyBorder="1"/>
    <xf numFmtId="0" fontId="2" fillId="0" borderId="26" xfId="0" applyFont="1" applyBorder="1" applyAlignment="1">
      <alignment horizontal="left" vertical="center" wrapText="1"/>
    </xf>
    <xf numFmtId="0" fontId="2" fillId="0" borderId="26" xfId="0" applyFont="1" applyBorder="1" applyAlignment="1">
      <alignment horizontal="left" vertical="center" wrapText="1"/>
    </xf>
    <xf numFmtId="0" fontId="2" fillId="0" borderId="26" xfId="0" applyFont="1" applyBorder="1" applyAlignment="1">
      <alignment horizontal="left" vertical="center" wrapText="1"/>
    </xf>
    <xf numFmtId="0" fontId="2" fillId="0" borderId="0" xfId="0" applyFont="1" applyBorder="1" applyAlignment="1">
      <alignment horizontal="left" vertical="center" wrapText="1"/>
    </xf>
    <xf numFmtId="164" fontId="2" fillId="2" borderId="0" xfId="1" applyNumberFormat="1" applyFont="1" applyFill="1" applyBorder="1"/>
    <xf numFmtId="164" fontId="2" fillId="7" borderId="7" xfId="1" applyNumberFormat="1" applyFont="1" applyFill="1" applyBorder="1"/>
    <xf numFmtId="164" fontId="2" fillId="0" borderId="7" xfId="1" applyNumberFormat="1" applyFont="1" applyFill="1" applyBorder="1"/>
    <xf numFmtId="164" fontId="9" fillId="0" borderId="0" xfId="3" applyNumberFormat="1" applyFont="1"/>
    <xf numFmtId="165" fontId="4" fillId="2" borderId="25" xfId="0" applyNumberFormat="1" applyFont="1" applyFill="1" applyBorder="1" applyAlignment="1">
      <alignment horizontal="center" vertical="center"/>
    </xf>
    <xf numFmtId="165" fontId="4" fillId="2" borderId="15" xfId="0" applyNumberFormat="1" applyFont="1" applyFill="1" applyBorder="1" applyAlignment="1">
      <alignment horizontal="center" vertical="center"/>
    </xf>
    <xf numFmtId="0" fontId="2" fillId="0" borderId="0" xfId="0" quotePrefix="1" applyFont="1" applyAlignment="1">
      <alignment horizontal="left" vertical="center" wrapText="1"/>
    </xf>
    <xf numFmtId="0" fontId="2" fillId="0" borderId="0" xfId="0" applyFont="1" applyAlignment="1">
      <alignment horizontal="left" wrapText="1"/>
    </xf>
    <xf numFmtId="0" fontId="2" fillId="0" borderId="0" xfId="0" applyFont="1" applyAlignment="1">
      <alignment horizontal="left" vertical="center" wrapText="1"/>
    </xf>
    <xf numFmtId="43" fontId="6" fillId="2" borderId="27" xfId="0" applyNumberFormat="1" applyFont="1" applyFill="1" applyBorder="1" applyAlignment="1">
      <alignment horizontal="center" vertical="center"/>
    </xf>
    <xf numFmtId="43" fontId="6" fillId="2" borderId="0" xfId="0" applyNumberFormat="1" applyFont="1" applyFill="1" applyBorder="1" applyAlignment="1">
      <alignment horizontal="center" vertical="center"/>
    </xf>
    <xf numFmtId="0" fontId="2" fillId="11" borderId="0" xfId="0" applyFont="1" applyFill="1" applyAlignment="1">
      <alignment horizontal="left" wrapText="1"/>
    </xf>
    <xf numFmtId="0" fontId="2" fillId="11" borderId="26" xfId="0" applyFont="1" applyFill="1" applyBorder="1" applyAlignment="1">
      <alignment horizontal="left" vertical="center" wrapText="1"/>
    </xf>
    <xf numFmtId="0" fontId="2" fillId="0" borderId="26" xfId="0" applyFont="1" applyBorder="1" applyAlignment="1">
      <alignment horizontal="left" vertical="center" wrapText="1"/>
    </xf>
    <xf numFmtId="0" fontId="2" fillId="0" borderId="26" xfId="0" applyFont="1" applyBorder="1" applyAlignment="1">
      <alignment horizontal="left" vertical="top" wrapText="1"/>
    </xf>
    <xf numFmtId="0" fontId="2" fillId="0" borderId="0" xfId="0" applyFont="1" applyBorder="1" applyAlignment="1">
      <alignment horizontal="left" vertical="center" wrapText="1"/>
    </xf>
  </cellXfs>
  <cellStyles count="4">
    <cellStyle name="Comma" xfId="1" builtinId="3"/>
    <cellStyle name="Normal" xfId="0" builtinId="0"/>
    <cellStyle name="Normal 2" xfId="3"/>
    <cellStyle name="Percent" xfId="2" builtinId="5"/>
  </cellStyles>
  <dxfs count="3">
    <dxf>
      <font>
        <condense val="0"/>
        <extend val="0"/>
        <color indexed="10"/>
      </font>
    </dxf>
    <dxf>
      <font>
        <condense val="0"/>
        <extend val="0"/>
        <color indexed="10"/>
      </font>
    </dxf>
    <dxf>
      <font>
        <condense val="0"/>
        <extend val="0"/>
        <color indexed="10"/>
      </font>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N49"/>
  <sheetViews>
    <sheetView showGridLines="0" view="pageBreakPreview" topLeftCell="B1" zoomScaleNormal="100" zoomScaleSheetLayoutView="100" workbookViewId="0">
      <selection activeCell="J12" sqref="J12"/>
    </sheetView>
  </sheetViews>
  <sheetFormatPr defaultColWidth="12.140625" defaultRowHeight="15" x14ac:dyDescent="0.25"/>
  <cols>
    <col min="1" max="1" width="50.5703125" style="1" customWidth="1"/>
    <col min="2" max="8" width="14.7109375" style="1" customWidth="1"/>
    <col min="9" max="9" width="14.7109375" style="162" customWidth="1"/>
    <col min="10" max="16384" width="12.140625" style="1"/>
  </cols>
  <sheetData>
    <row r="1" spans="1:14" x14ac:dyDescent="0.25">
      <c r="B1" s="15"/>
      <c r="I1" s="168"/>
    </row>
    <row r="2" spans="1:14" ht="21" x14ac:dyDescent="0.35">
      <c r="A2" s="16" t="s">
        <v>3</v>
      </c>
      <c r="B2" s="191" t="s">
        <v>46</v>
      </c>
      <c r="C2" s="192"/>
      <c r="D2" s="192"/>
      <c r="E2" s="192"/>
      <c r="F2" s="192"/>
      <c r="G2" s="192"/>
      <c r="H2" s="192"/>
      <c r="I2" s="192"/>
    </row>
    <row r="3" spans="1:14" x14ac:dyDescent="0.25">
      <c r="B3" s="15"/>
      <c r="J3" s="55"/>
    </row>
    <row r="4" spans="1:14" ht="18.75" x14ac:dyDescent="0.3">
      <c r="A4" s="9" t="s">
        <v>5</v>
      </c>
      <c r="B4" s="186">
        <v>43982</v>
      </c>
      <c r="C4" s="187"/>
      <c r="I4" s="171"/>
      <c r="J4" s="55"/>
    </row>
    <row r="5" spans="1:14" x14ac:dyDescent="0.25">
      <c r="B5" s="15"/>
      <c r="J5" s="55"/>
    </row>
    <row r="6" spans="1:14" ht="18.75" x14ac:dyDescent="0.3">
      <c r="A6" s="9" t="s">
        <v>88</v>
      </c>
      <c r="B6" s="2">
        <f>C6 - 1</f>
        <v>2012</v>
      </c>
      <c r="C6" s="2">
        <f>'Facility Detail'!$B$756</f>
        <v>2013</v>
      </c>
      <c r="D6" s="2">
        <f t="shared" ref="D6:K6" si="0">C6+1</f>
        <v>2014</v>
      </c>
      <c r="E6" s="2">
        <f t="shared" si="0"/>
        <v>2015</v>
      </c>
      <c r="F6" s="2">
        <f t="shared" si="0"/>
        <v>2016</v>
      </c>
      <c r="G6" s="2">
        <f t="shared" si="0"/>
        <v>2017</v>
      </c>
      <c r="H6" s="2">
        <f t="shared" si="0"/>
        <v>2018</v>
      </c>
      <c r="I6" s="163">
        <f t="shared" si="0"/>
        <v>2019</v>
      </c>
      <c r="J6" s="163">
        <f t="shared" si="0"/>
        <v>2020</v>
      </c>
      <c r="K6" s="163">
        <f t="shared" si="0"/>
        <v>2021</v>
      </c>
      <c r="L6" s="20"/>
      <c r="M6" s="20"/>
      <c r="N6" s="20"/>
    </row>
    <row r="7" spans="1:14" x14ac:dyDescent="0.25">
      <c r="A7" s="94" t="s">
        <v>21</v>
      </c>
      <c r="B7" s="11">
        <v>5602601</v>
      </c>
      <c r="C7" s="11">
        <v>5513396</v>
      </c>
      <c r="D7" s="11">
        <v>5685958</v>
      </c>
      <c r="E7" s="12">
        <v>5622780</v>
      </c>
      <c r="F7" s="12">
        <v>5578322</v>
      </c>
      <c r="G7" s="12">
        <v>5817351</v>
      </c>
      <c r="H7" s="12">
        <v>5608062</v>
      </c>
      <c r="I7" s="169">
        <v>5672876</v>
      </c>
      <c r="J7" s="169">
        <v>5557115</v>
      </c>
      <c r="K7" s="169">
        <v>5557115</v>
      </c>
      <c r="L7" s="140"/>
      <c r="M7" s="140"/>
      <c r="N7" s="17"/>
    </row>
    <row r="8" spans="1:14" x14ac:dyDescent="0.25">
      <c r="A8" s="94" t="s">
        <v>8</v>
      </c>
      <c r="B8" s="107">
        <v>0.03</v>
      </c>
      <c r="C8" s="107">
        <v>0.03</v>
      </c>
      <c r="D8" s="107">
        <v>0.03</v>
      </c>
      <c r="E8" s="108">
        <v>0.03</v>
      </c>
      <c r="F8" s="108">
        <v>0.09</v>
      </c>
      <c r="G8" s="108">
        <v>0.09</v>
      </c>
      <c r="H8" s="108">
        <v>0.09</v>
      </c>
      <c r="I8" s="164">
        <v>0.09</v>
      </c>
      <c r="J8" s="164">
        <v>0.15</v>
      </c>
      <c r="K8" s="164">
        <v>0.15</v>
      </c>
      <c r="L8" s="140"/>
      <c r="M8" s="140"/>
      <c r="N8" s="21"/>
    </row>
    <row r="9" spans="1:14" x14ac:dyDescent="0.25">
      <c r="A9" s="86" t="s">
        <v>7</v>
      </c>
      <c r="B9" s="110">
        <v>166047</v>
      </c>
      <c r="C9" s="109">
        <v>166740</v>
      </c>
      <c r="D9" s="109">
        <f>ROUND( IF( SUM(B7:C7) = 0, 0, AVERAGE(B7:C7) * D8 ),0)</f>
        <v>166740</v>
      </c>
      <c r="E9" s="109">
        <f t="shared" ref="E9" si="1">ROUND( IF( SUM(C7:D7) = 0, 0, AVERAGE(C7:D7) * E8 ),0)</f>
        <v>167990</v>
      </c>
      <c r="F9" s="109">
        <v>513809</v>
      </c>
      <c r="G9" s="109">
        <f>ROUND( IF( SUM(E7:F7) = 0, 0, AVERAGE(E7:F7) * G8 ),0)</f>
        <v>504050</v>
      </c>
      <c r="H9" s="109">
        <f>ROUND( IF( SUM(F7:G7) = 0, 0, AVERAGE(F7:G7) * H8 ),0)</f>
        <v>512805</v>
      </c>
      <c r="I9" s="110">
        <f>ROUND( IF( SUM(G7:H7) = 0, 0, AVERAGE(G7:H7) * I8 ),0)</f>
        <v>514144</v>
      </c>
      <c r="J9" s="110">
        <f>ROUND( IF( SUM(H7:I7) = 0, 0, AVERAGE(H7:I7) * J8 ),0)</f>
        <v>846070</v>
      </c>
      <c r="K9" s="110">
        <f>ROUND( IF( SUM(I7:J7) = 0, 0, AVERAGE(I7:J7) * K8 ),0)</f>
        <v>842249</v>
      </c>
      <c r="L9" s="140"/>
      <c r="M9" s="141"/>
      <c r="N9" s="21"/>
    </row>
    <row r="10" spans="1:14" x14ac:dyDescent="0.25">
      <c r="D10" s="147"/>
      <c r="E10" s="147"/>
      <c r="F10" s="147"/>
      <c r="G10" s="147"/>
      <c r="H10" s="147"/>
      <c r="I10" s="165"/>
      <c r="J10" s="165"/>
      <c r="K10" s="140"/>
      <c r="L10" s="140"/>
      <c r="M10" s="141"/>
      <c r="N10" s="22"/>
    </row>
    <row r="11" spans="1:14" ht="18.75" x14ac:dyDescent="0.3">
      <c r="A11" s="9" t="s">
        <v>84</v>
      </c>
      <c r="B11" s="2">
        <f>C11 - 1</f>
        <v>2012</v>
      </c>
      <c r="C11" s="2">
        <f>'Facility Detail'!$B$756</f>
        <v>2013</v>
      </c>
      <c r="D11" s="2">
        <f>C11+1</f>
        <v>2014</v>
      </c>
      <c r="E11" s="2">
        <f>D11+1</f>
        <v>2015</v>
      </c>
      <c r="F11" s="2">
        <f t="shared" ref="F11" si="2">E11+1</f>
        <v>2016</v>
      </c>
      <c r="G11" s="2">
        <f>F11+1</f>
        <v>2017</v>
      </c>
      <c r="H11" s="2">
        <f>G11+1</f>
        <v>2018</v>
      </c>
      <c r="I11" s="163">
        <f>H11+1</f>
        <v>2019</v>
      </c>
      <c r="J11" s="163">
        <f>I11+1</f>
        <v>2020</v>
      </c>
      <c r="K11" s="163">
        <f>J11+1</f>
        <v>2021</v>
      </c>
      <c r="L11" s="140"/>
      <c r="M11" s="141"/>
      <c r="N11" s="22"/>
    </row>
    <row r="12" spans="1:14" x14ac:dyDescent="0.25">
      <c r="A12" s="94" t="s">
        <v>39</v>
      </c>
      <c r="B12" s="13">
        <v>209825</v>
      </c>
      <c r="C12" s="13">
        <f xml:space="preserve"> 'Facility Detail'!D42 + 'Facility Detail'!D79 + 'Facility Detail'!D115 + 'Facility Detail'!D151 + 'Facility Detail'!D187 + 'Facility Detail'!D223 + 'Facility Detail'!D259 + 'Facility Detail'!D295 + 'Facility Detail'!D331 + 'Facility Detail'!D367 + 'Facility Detail'!D403 + 'Facility Detail'!D441</f>
        <v>488232</v>
      </c>
      <c r="D12" s="13">
        <f xml:space="preserve"> 'Facility Detail'!E42 + 'Facility Detail'!E79 + 'Facility Detail'!E115 + 'Facility Detail'!E151 + 'Facility Detail'!E187 + 'Facility Detail'!E223 + 'Facility Detail'!E259 + 'Facility Detail'!E295 + 'Facility Detail'!E331 + 'Facility Detail'!E367 + 'Facility Detail'!E403 + 'Facility Detail'!E441</f>
        <v>505380</v>
      </c>
      <c r="E12" s="13">
        <f xml:space="preserve"> 'Facility Detail'!F42 + 'Facility Detail'!F79 + 'Facility Detail'!F115 + 'Facility Detail'!F151 + 'Facility Detail'!F187 + 'Facility Detail'!F223 + 'Facility Detail'!F259 + 'Facility Detail'!F295 + 'Facility Detail'!F331 + 'Facility Detail'!F367 + 'Facility Detail'!F403 + 'Facility Detail'!F441</f>
        <v>513652</v>
      </c>
      <c r="F12" s="157">
        <f xml:space="preserve"> 'Facility Detail'!G42 + 'Facility Detail'!G79 + 'Facility Detail'!G115 + 'Facility Detail'!G151 + 'Facility Detail'!G187 + 'Facility Detail'!G223 + 'Facility Detail'!G259 + 'Facility Detail'!G295 + 'Facility Detail'!G331 + 'Facility Detail'!G367 + 'Facility Detail'!G403 + 'Facility Detail'!G441+'Facility Detail'!G477+'Facility Detail'!G513+'Facility Detail'!G549+'Facility Detail'!G589+'Facility Detail'!G629+'Facility Detail'!G669 + 'Facility Detail'!G709</f>
        <v>844519</v>
      </c>
      <c r="G12" s="157">
        <f xml:space="preserve"> 'Facility Detail'!H42 + 'Facility Detail'!H79 + 'Facility Detail'!H115 + 'Facility Detail'!H151 + 'Facility Detail'!H187 + 'Facility Detail'!H223 + 'Facility Detail'!H259 + 'Facility Detail'!H295 + 'Facility Detail'!H331 + 'Facility Detail'!H367 + 'Facility Detail'!H403 + 'Facility Detail'!H441+'Facility Detail'!H477+'Facility Detail'!H513+'Facility Detail'!H549+'Facility Detail'!H589+'Facility Detail'!H629+'Facility Detail'!H669 + 'Facility Detail'!H709</f>
        <v>767799</v>
      </c>
      <c r="H12" s="157">
        <f xml:space="preserve"> 'Facility Detail'!I42 + 'Facility Detail'!I79 + 'Facility Detail'!I115 + 'Facility Detail'!I151 + 'Facility Detail'!I187 + 'Facility Detail'!I223 + 'Facility Detail'!I259 + 'Facility Detail'!I295 + 'Facility Detail'!I331 + 'Facility Detail'!I367 + 'Facility Detail'!I403 + 'Facility Detail'!I441+'Facility Detail'!I477+'Facility Detail'!I513+'Facility Detail'!I549+'Facility Detail'!I589+'Facility Detail'!I629+'Facility Detail'!I669 + 'Facility Detail'!I709</f>
        <v>834734</v>
      </c>
      <c r="I12" s="157">
        <f xml:space="preserve"> 'Facility Detail'!J42 + 'Facility Detail'!J79 + 'Facility Detail'!J115 + 'Facility Detail'!J151 + 'Facility Detail'!J187 + 'Facility Detail'!J223 + 'Facility Detail'!J259 + 'Facility Detail'!J295 + 'Facility Detail'!J331 + 'Facility Detail'!J367 + 'Facility Detail'!J403 + 'Facility Detail'!J441+'Facility Detail'!J477+'Facility Detail'!J513+'Facility Detail'!J549+'Facility Detail'!J589+'Facility Detail'!J629+'Facility Detail'!J669 +'Facility Detail'!J709</f>
        <v>836631</v>
      </c>
      <c r="J12" s="157">
        <f xml:space="preserve"> 'Facility Detail'!K42 + 'Facility Detail'!K79 + 'Facility Detail'!K115 + 'Facility Detail'!K151 + 'Facility Detail'!K187 + 'Facility Detail'!K223 + 'Facility Detail'!K259 + 'Facility Detail'!K295 + 'Facility Detail'!K331 + 'Facility Detail'!K367 + 'Facility Detail'!K403 + 'Facility Detail'!K441 + 'Facility Detail'!K477 + 'Facility Detail'!K513 + 'Facility Detail'!K549 + 'Facility Detail'!K589 + 'Facility Detail'!K629 + 'Facility Detail'!K669 + 'Facility Detail'!K709</f>
        <v>1070710</v>
      </c>
      <c r="K12" s="157">
        <f xml:space="preserve"> 'Facility Detail'!L42 + 'Facility Detail'!L79 + 'Facility Detail'!L115 + 'Facility Detail'!L151 + 'Facility Detail'!L187 + 'Facility Detail'!L223 + 'Facility Detail'!L259 + 'Facility Detail'!L295 + 'Facility Detail'!L331 + 'Facility Detail'!L367 + 'Facility Detail'!L403 + 'Facility Detail'!L441 + 'Facility Detail'!L477 + 'Facility Detail'!L513 + 'Facility Detail'!L549 + 'Facility Detail'!L589 +'Facility Detail'!L629 + 'Facility Detail'!L669 + 'Facility Detail'!L709</f>
        <v>1348895</v>
      </c>
      <c r="L12" s="140"/>
      <c r="M12" s="141"/>
      <c r="N12" s="23"/>
    </row>
    <row r="13" spans="1:14" x14ac:dyDescent="0.25">
      <c r="A13" s="94" t="s">
        <v>37</v>
      </c>
      <c r="B13" s="81">
        <v>5829</v>
      </c>
      <c r="C13" s="81">
        <f xml:space="preserve"> 'Facility Detail'!D47 + 'Facility Detail'!D84 + 'Facility Detail'!D120 + 'Facility Detail'!D156 + 'Facility Detail'!D192 + 'Facility Detail'!D228 + 'Facility Detail'!D264 + 'Facility Detail'!D300 + 'Facility Detail'!D336 + 'Facility Detail'!D372 + 'Facility Detail'!D408 + 'Facility Detail'!D446+'Facility Detail'!D482+'Facility Detail'!D518+'Facility Detail'!D554+'Facility Detail'!D594+'Facility Detail'!D634+'Facility Detail'!D674  + 'Facility Detail'!D714</f>
        <v>59405</v>
      </c>
      <c r="D13" s="81">
        <f xml:space="preserve"> 'Facility Detail'!E47 + 'Facility Detail'!E84 + 'Facility Detail'!E120 + 'Facility Detail'!E156 + 'Facility Detail'!E192 + 'Facility Detail'!E228 + 'Facility Detail'!E264 + 'Facility Detail'!E300 + 'Facility Detail'!E336 + 'Facility Detail'!E372 + 'Facility Detail'!E408 + 'Facility Detail'!E446+'Facility Detail'!E482+'Facility Detail'!E518+'Facility Detail'!E554+'Facility Detail'!E594+'Facility Detail'!E634+'Facility Detail'!E674  + 'Facility Detail'!E714</f>
        <v>67058</v>
      </c>
      <c r="E13" s="81">
        <f xml:space="preserve"> 'Facility Detail'!F47 + 'Facility Detail'!F84 + 'Facility Detail'!F120 + 'Facility Detail'!F156 + 'Facility Detail'!F192 + 'Facility Detail'!F228 + 'Facility Detail'!F264 + 'Facility Detail'!F300 + 'Facility Detail'!F336 + 'Facility Detail'!F372 + 'Facility Detail'!F408 + 'Facility Detail'!F446+'Facility Detail'!F482+'Facility Detail'!F518+'Facility Detail'!F554+'Facility Detail'!F594+'Facility Detail'!F634+'Facility Detail'!F674  + 'Facility Detail'!F714</f>
        <v>58866</v>
      </c>
      <c r="F13" s="158">
        <f xml:space="preserve"> 'Facility Detail'!G47 + 'Facility Detail'!G84 + 'Facility Detail'!G120 + 'Facility Detail'!G156 + 'Facility Detail'!G192 + 'Facility Detail'!G228 + 'Facility Detail'!G264 + 'Facility Detail'!G300 + 'Facility Detail'!G336 + 'Facility Detail'!G372 + 'Facility Detail'!G408 + 'Facility Detail'!G446+'Facility Detail'!G482+'Facility Detail'!G518+'Facility Detail'!G554+'Facility Detail'!G594+'Facility Detail'!G634+'Facility Detail'!G674  + 'Facility Detail'!G714</f>
        <v>70529</v>
      </c>
      <c r="G13" s="158">
        <f xml:space="preserve"> 'Facility Detail'!H47 + 'Facility Detail'!H84 + 'Facility Detail'!H120 + 'Facility Detail'!H156 + 'Facility Detail'!H192 + 'Facility Detail'!H228 + 'Facility Detail'!H264 + 'Facility Detail'!H300 + 'Facility Detail'!H336 + 'Facility Detail'!H372 + 'Facility Detail'!H408 + 'Facility Detail'!H446+'Facility Detail'!H482+'Facility Detail'!H518+'Facility Detail'!H554+'Facility Detail'!H594+'Facility Detail'!H634+'Facility Detail'!H674+ 'Facility Detail'!H714</f>
        <v>60617</v>
      </c>
      <c r="H13" s="158">
        <f xml:space="preserve"> 'Facility Detail'!I47 + 'Facility Detail'!I84 + 'Facility Detail'!I120 + 'Facility Detail'!I156 + 'Facility Detail'!I192 + 'Facility Detail'!I228 + 'Facility Detail'!I264 + 'Facility Detail'!I300 + 'Facility Detail'!I336 + 'Facility Detail'!I372 + 'Facility Detail'!I408 + 'Facility Detail'!I446+'Facility Detail'!I482+'Facility Detail'!I518+'Facility Detail'!I554+'Facility Detail'!I594+'Facility Detail'!I634+'Facility Detail'!I674+ 'Facility Detail'!I714</f>
        <v>66178</v>
      </c>
      <c r="I13" s="158">
        <f xml:space="preserve"> 'Facility Detail'!J47 + 'Facility Detail'!J84 + 'Facility Detail'!J120 + 'Facility Detail'!J156 + 'Facility Detail'!J192 + 'Facility Detail'!J228 + 'Facility Detail'!J264 + 'Facility Detail'!J300 + 'Facility Detail'!J336 + 'Facility Detail'!J372 + 'Facility Detail'!J408 + 'Facility Detail'!J446+'Facility Detail'!J482+'Facility Detail'!J518+'Facility Detail'!J554+'Facility Detail'!J594+'Facility Detail'!J634+'Facility Detail'!J674+ 'Facility Detail'!J714</f>
        <v>61003</v>
      </c>
      <c r="J13" s="158">
        <f xml:space="preserve"> 'Facility Detail'!K47 + 'Facility Detail'!K84 + 'Facility Detail'!K120 + 'Facility Detail'!K156 + 'Facility Detail'!K192 + 'Facility Detail'!K228 + 'Facility Detail'!K264 + 'Facility Detail'!K300 + 'Facility Detail'!K336 + 'Facility Detail'!K372 + 'Facility Detail'!K408 + 'Facility Detail'!K446 + 'Facility Detail'!K482 + 'Facility Detail'!K518 + 'Facility Detail'!K554 + 'Facility Detail'!K594 + 'Facility Detail'!K634 + 'Facility Detail'!K674 + 'Facility Detail'!K714</f>
        <v>70386</v>
      </c>
      <c r="K13" s="158">
        <f xml:space="preserve"> 'Facility Detail'!L47 + 'Facility Detail'!L84 + 'Facility Detail'!L120 + 'Facility Detail'!L156 + 'Facility Detail'!L192 + 'Facility Detail'!L228 + 'Facility Detail'!L264 + 'Facility Detail'!L300 + 'Facility Detail'!L336 + 'Facility Detail'!L372 + 'Facility Detail'!L408 + 'Facility Detail'!L446+'Facility Detail'!L482+'Facility Detail'!L518+'Facility Detail'!L554+'Facility Detail'!L594+'Facility Detail'!L634+'Facility Detail'!L674+'Facility Detail'!L714</f>
        <v>70386</v>
      </c>
      <c r="L13" s="23"/>
      <c r="M13" s="23"/>
      <c r="N13" s="23"/>
    </row>
    <row r="14" spans="1:14" x14ac:dyDescent="0.25">
      <c r="A14" s="86" t="s">
        <v>32</v>
      </c>
      <c r="B14" s="56">
        <f>SUM(B12:B13)</f>
        <v>215654</v>
      </c>
      <c r="C14" s="56">
        <f>SUM(C12:C13)</f>
        <v>547637</v>
      </c>
      <c r="D14" s="56">
        <f>SUM(D12:D13)</f>
        <v>572438</v>
      </c>
      <c r="E14" s="56">
        <f t="shared" ref="E14:G14" si="3">SUM(E12:E13)</f>
        <v>572518</v>
      </c>
      <c r="F14" s="159">
        <f t="shared" si="3"/>
        <v>915048</v>
      </c>
      <c r="G14" s="56">
        <f t="shared" si="3"/>
        <v>828416</v>
      </c>
      <c r="H14" s="56">
        <f t="shared" ref="H14:I14" si="4">SUM(H12:H13)</f>
        <v>900912</v>
      </c>
      <c r="I14" s="34">
        <f t="shared" si="4"/>
        <v>897634</v>
      </c>
      <c r="J14" s="34">
        <f t="shared" ref="J14:K14" si="5">SUM(J12:J13)</f>
        <v>1141096</v>
      </c>
      <c r="K14" s="34">
        <f t="shared" si="5"/>
        <v>1419281</v>
      </c>
      <c r="L14" s="23"/>
      <c r="M14" s="23"/>
      <c r="N14" s="23"/>
    </row>
    <row r="15" spans="1:14" x14ac:dyDescent="0.25">
      <c r="A15" s="6"/>
      <c r="B15" s="56"/>
      <c r="C15" s="56"/>
      <c r="D15" s="56"/>
      <c r="E15" s="56"/>
      <c r="F15" s="56"/>
      <c r="G15" s="56"/>
      <c r="H15" s="56"/>
      <c r="I15" s="34"/>
      <c r="J15" s="34"/>
      <c r="K15" s="23"/>
      <c r="L15" s="23"/>
      <c r="M15" s="23"/>
      <c r="N15" s="23"/>
    </row>
    <row r="16" spans="1:14" ht="18.75" x14ac:dyDescent="0.3">
      <c r="A16" s="48" t="s">
        <v>89</v>
      </c>
      <c r="B16" s="2">
        <f>C16 - 1</f>
        <v>2012</v>
      </c>
      <c r="C16" s="2">
        <f>'Facility Detail'!$B$756</f>
        <v>2013</v>
      </c>
      <c r="D16" s="2">
        <f>C16+1</f>
        <v>2014</v>
      </c>
      <c r="E16" s="2">
        <f t="shared" ref="E16" si="6">D16+1</f>
        <v>2015</v>
      </c>
      <c r="F16" s="2">
        <f t="shared" ref="F16" si="7">E16+1</f>
        <v>2016</v>
      </c>
      <c r="G16" s="2">
        <f>F16+1</f>
        <v>2017</v>
      </c>
      <c r="H16" s="2">
        <f>G16+1</f>
        <v>2018</v>
      </c>
      <c r="I16" s="163">
        <f>H16+1</f>
        <v>2019</v>
      </c>
      <c r="J16" s="163">
        <f>I16+1</f>
        <v>2020</v>
      </c>
      <c r="K16" s="163">
        <f>J16+1</f>
        <v>2021</v>
      </c>
      <c r="L16" s="23"/>
      <c r="M16" s="23"/>
      <c r="N16" s="23"/>
    </row>
    <row r="17" spans="1:14" x14ac:dyDescent="0.25">
      <c r="A17" s="94" t="s">
        <v>40</v>
      </c>
      <c r="B17" s="77">
        <v>-29144</v>
      </c>
      <c r="C17" s="77">
        <f>( 'Facility Detail'!D50 + 'Facility Detail'!D87 + 'Facility Detail'!D123 + 'Facility Detail'!D159 + 'Facility Detail'!D195 + 'Facility Detail'!D231 + 'Facility Detail'!D267 + 'Facility Detail'!D303 + 'Facility Detail'!D339 + 'Facility Detail'!D375 + 'Facility Detail'!D411)</f>
        <v>-61450</v>
      </c>
      <c r="D17" s="77">
        <f>('Facility Detail'!E50+'Facility Detail'!E87+'Facility Detail'!E123+'Facility Detail'!E159+'Facility Detail'!E195+'Facility Detail'!E231+'Facility Detail'!E267+'Facility Detail'!E303+'Facility Detail'!E339+'Facility Detail'!E375+'Facility Detail'!E411)</f>
        <v>-297027</v>
      </c>
      <c r="E17" s="77">
        <f>('Facility Detail'!F50+'Facility Detail'!F87+'Facility Detail'!F123+'Facility Detail'!F159+'Facility Detail'!F195+'Facility Detail'!F231+'Facility Detail'!F267+'Facility Detail'!F303+'Facility Detail'!F339+'Facility Detail'!F375+'Facility Detail'!F411)</f>
        <v>-293563</v>
      </c>
      <c r="F17" s="77">
        <f>('Facility Detail'!G50+'Facility Detail'!G87+'Facility Detail'!G123+'Facility Detail'!G159+'Facility Detail'!G195+'Facility Detail'!G231+'Facility Detail'!G267+'Facility Detail'!G303+'Facility Detail'!G339+'Facility Detail'!G375+'Facility Detail'!G411+'Facility Detail'!G449+'Facility Detail'!G485+'Facility Detail'!G521+'Facility Detail'!G557+'Facility Detail'!G597+'Facility Detail'!G637 + 'Facility Detail'!G677 + 'Facility Detail'!G717)</f>
        <v>-534666</v>
      </c>
      <c r="G17" s="77">
        <f>('Facility Detail'!H50+'Facility Detail'!H87+'Facility Detail'!H123+'Facility Detail'!H159+'Facility Detail'!H195+'Facility Detail'!H231+'Facility Detail'!H267+'Facility Detail'!H303+'Facility Detail'!H339+'Facility Detail'!H375+'Facility Detail'!H411+'Facility Detail'!H449+'Facility Detail'!H485+'Facility Detail'!H521+'Facility Detail'!H557+'Facility Detail'!H597+'Facility Detail'!H637+'Facility Detail'!H677 + 'Facility Detail'!G717)</f>
        <v>-191221</v>
      </c>
      <c r="H17" s="77">
        <f>('Facility Detail'!I50+'Facility Detail'!I87+'Facility Detail'!I123+'Facility Detail'!I159+'Facility Detail'!I195+'Facility Detail'!I231+'Facility Detail'!I267+'Facility Detail'!I303+'Facility Detail'!I339+'Facility Detail'!I375+'Facility Detail'!I411+'Facility Detail'!I449+'Facility Detail'!I485+'Facility Detail'!I521+'Facility Detail'!I557+'Facility Detail'!I597+'Facility Detail'!I637+'Facility Detail'!I677 + 'Facility Detail'!I717)</f>
        <v>-238991</v>
      </c>
      <c r="I17" s="77">
        <f>('Facility Detail'!J50+'Facility Detail'!J87+'Facility Detail'!J123+'Facility Detail'!J159+'Facility Detail'!J195+'Facility Detail'!J231+'Facility Detail'!J267+'Facility Detail'!J303+'Facility Detail'!J339+'Facility Detail'!J375+'Facility Detail'!J411+'Facility Detail'!J449+'Facility Detail'!J485+'Facility Detail'!J521+'Facility Detail'!J557+'Facility Detail'!J597+'Facility Detail'!J637+'Facility Detail'!J677 + 'Facility Detail'!J717)</f>
        <v>-115379</v>
      </c>
      <c r="J17" s="77">
        <f>('Facility Detail'!K50+'Facility Detail'!K87+'Facility Detail'!K123+'Facility Detail'!K159+'Facility Detail'!K195+'Facility Detail'!K231+'Facility Detail'!K267+'Facility Detail'!K303+'Facility Detail'!K339+'Facility Detail'!K375+'Facility Detail'!K411+'Facility Detail'!K449+'Facility Detail'!K485+'Facility Detail'!K521+'Facility Detail'!K557+'Facility Detail'!K597+'Facility Detail'!K637+'Facility Detail'!K677+'Facility Detail'!K717)</f>
        <v>-72048</v>
      </c>
      <c r="K17" s="77">
        <f>('Facility Detail'!L50+'Facility Detail'!L87+'Facility Detail'!L123+'Facility Detail'!L159+'Facility Detail'!L195+'Facility Detail'!L231+'Facility Detail'!L267+'Facility Detail'!L303+'Facility Detail'!L339+'Facility Detail'!L375+'Facility Detail'!L411+'Facility Detail'!L449+'Facility Detail'!L485+'Facility Detail'!L521+'Facility Detail'!L557+'Facility Detail'!L597+'Facility Detail'!L637+'Facility Detail'!L677+'Facility Detail'!L717)</f>
        <v>-62970</v>
      </c>
      <c r="L17" s="17"/>
      <c r="M17" s="17"/>
      <c r="N17" s="17"/>
    </row>
    <row r="18" spans="1:14" x14ac:dyDescent="0.25">
      <c r="A18" s="95" t="s">
        <v>30</v>
      </c>
      <c r="B18" s="106">
        <v>0</v>
      </c>
      <c r="C18" s="106">
        <f xml:space="preserve"> -1 * ( 'Facility Detail'!D51 + 'Facility Detail'!D88 + 'Facility Detail'!D124 + 'Facility Detail'!D160 + 'Facility Detail'!D196 + 'Facility Detail'!D232 + 'Facility Detail'!D268 + 'Facility Detail'!D304 + 'Facility Detail'!D340 + 'Facility Detail'!D376 + 'Facility Detail'!D412)</f>
        <v>0</v>
      </c>
      <c r="D18" s="106">
        <f xml:space="preserve"> -1 * ( 'Facility Detail'!E51 + 'Facility Detail'!E88 + 'Facility Detail'!E124 + 'Facility Detail'!E160 + 'Facility Detail'!E196 + 'Facility Detail'!E232 + 'Facility Detail'!E268 + 'Facility Detail'!E304 + 'Facility Detail'!E340 + 'Facility Detail'!E376 + 'Facility Detail'!E412)</f>
        <v>0</v>
      </c>
      <c r="E18" s="106">
        <f xml:space="preserve"> -1 * ( 'Facility Detail'!F51 + 'Facility Detail'!F88 + 'Facility Detail'!F124 + 'Facility Detail'!F160 + 'Facility Detail'!F196 + 'Facility Detail'!F232 + 'Facility Detail'!F268 + 'Facility Detail'!F304 + 'Facility Detail'!F340 + 'Facility Detail'!F376 + 'Facility Detail'!F412)</f>
        <v>0</v>
      </c>
      <c r="F18" s="106">
        <f xml:space="preserve"> -1 * ( 'Facility Detail'!G51 + 'Facility Detail'!G88 + 'Facility Detail'!G124 + 'Facility Detail'!G160 + 'Facility Detail'!G196 + 'Facility Detail'!G232 + 'Facility Detail'!G268 + 'Facility Detail'!G304 + 'Facility Detail'!G340 + 'Facility Detail'!G376 + 'Facility Detail'!G412)</f>
        <v>0</v>
      </c>
      <c r="G18" s="106">
        <f xml:space="preserve"> -1 * ( 'Facility Detail'!H51 + 'Facility Detail'!H88 + 'Facility Detail'!H124 + 'Facility Detail'!H160 + 'Facility Detail'!H196 + 'Facility Detail'!H232 + 'Facility Detail'!H268 + 'Facility Detail'!H304 + 'Facility Detail'!H340 + 'Facility Detail'!H376 + 'Facility Detail'!H412)</f>
        <v>0</v>
      </c>
      <c r="H18" s="106">
        <f xml:space="preserve"> -1 * ( 'Facility Detail'!I51 + 'Facility Detail'!I88 + 'Facility Detail'!I124 + 'Facility Detail'!I160 + 'Facility Detail'!I196 + 'Facility Detail'!I232 + 'Facility Detail'!I268 + 'Facility Detail'!I304 + 'Facility Detail'!I340 + 'Facility Detail'!I376 + 'Facility Detail'!I412 + 'Facility Detail'!I450 + 'Facility Detail'!I486 + 'Facility Detail'!I522 + 'Facility Detail'!I558 + 'Facility Detail'!I598 + 'Facility Detail'!I638 + 'Facility Detail'!I678 + 'Facility Detail'!I718)</f>
        <v>0</v>
      </c>
      <c r="I18" s="106">
        <f xml:space="preserve"> -1 * ( 'Facility Detail'!J51 + 'Facility Detail'!J88 + 'Facility Detail'!J124 + 'Facility Detail'!J160 + 'Facility Detail'!J196 + 'Facility Detail'!J232 + 'Facility Detail'!J268 + 'Facility Detail'!J304 + 'Facility Detail'!J340 + 'Facility Detail'!J376 + 'Facility Detail'!J412 + 'Facility Detail'!J450 + 'Facility Detail'!J486 + 'Facility Detail'!J522 + 'Facility Detail'!J558 + 'Facility Detail'!J598 + 'Facility Detail'!J638 + 'Facility Detail'!J678 + 'Facility Detail'!J718)</f>
        <v>0</v>
      </c>
      <c r="J18" s="77">
        <f>('Facility Detail'!K51+'Facility Detail'!K88+'Facility Detail'!K124+'Facility Detail'!K160+'Facility Detail'!K196+'Facility Detail'!K232+'Facility Detail'!K268+'Facility Detail'!K304+'Facility Detail'!K340+'Facility Detail'!K376+'Facility Detail'!K412+'Facility Detail'!K450+'Facility Detail'!K486+'Facility Detail'!K522+'Facility Detail'!K558+'Facility Detail'!K598+'Facility Detail'!K638+'Facility Detail'!K678+'Facility Detail'!K718)</f>
        <v>0</v>
      </c>
      <c r="K18" s="77">
        <f>('Facility Detail'!L51+'Facility Detail'!L88+'Facility Detail'!L124+'Facility Detail'!L160+'Facility Detail'!L196+'Facility Detail'!L232+'Facility Detail'!L268+'Facility Detail'!L304+'Facility Detail'!L340+'Facility Detail'!L376+'Facility Detail'!L412+'Facility Detail'!L450+'Facility Detail'!L486+'Facility Detail'!L522+'Facility Detail'!L558+'Facility Detail'!L598+'Facility Detail'!L638+'Facility Detail'!L678+'Facility Detail'!L718)</f>
        <v>0</v>
      </c>
      <c r="L18" s="17"/>
      <c r="M18" s="17"/>
      <c r="N18" s="17"/>
    </row>
    <row r="19" spans="1:14" x14ac:dyDescent="0.25">
      <c r="A19" s="105" t="s">
        <v>90</v>
      </c>
      <c r="B19" s="78">
        <v>-5829</v>
      </c>
      <c r="C19" s="78">
        <f>( 'Facility Detail'!D52 + 'Facility Detail'!D89 + 'Facility Detail'!D125 + 'Facility Detail'!D161 + 'Facility Detail'!D197 + 'Facility Detail'!D233 + 'Facility Detail'!D269 + 'Facility Detail'!D305 + 'Facility Detail'!D341 + 'Facility Detail'!D377 + 'Facility Detail'!D413)</f>
        <v>-12290</v>
      </c>
      <c r="D19" s="78">
        <f>( 'Facility Detail'!E52 + 'Facility Detail'!E89 + 'Facility Detail'!E125 + 'Facility Detail'!E161 + 'Facility Detail'!E197 + 'Facility Detail'!E233 + 'Facility Detail'!E269 + 'Facility Detail'!E305 + 'Facility Detail'!E341 + 'Facility Detail'!E377 + 'Facility Detail'!E413)</f>
        <v>-59405</v>
      </c>
      <c r="E19" s="78">
        <f>( 'Facility Detail'!F52 + 'Facility Detail'!F89 + 'Facility Detail'!F125 + 'Facility Detail'!F161 + 'Facility Detail'!F197 + 'Facility Detail'!F233 + 'Facility Detail'!F269 + 'Facility Detail'!F305 + 'Facility Detail'!F341 + 'Facility Detail'!F377 + 'Facility Detail'!F413)</f>
        <v>-58712.600000000006</v>
      </c>
      <c r="F19" s="78">
        <f>( 'Facility Detail'!G52 + 'Facility Detail'!G89 + 'Facility Detail'!G125 + 'Facility Detail'!G161 + 'Facility Detail'!G197 + 'Facility Detail'!G233 + 'Facility Detail'!G269 + 'Facility Detail'!G305 + 'Facility Detail'!G341 + 'Facility Detail'!G377 + 'Facility Detail'!G413+'Facility Detail'!G451+'Facility Detail'!G487+'Facility Detail'!G523+'Facility Detail'!G559+'Facility Detail'!G599+'Facility Detail'!G639+'Facility Detail'!G679 + 'Facility Detail'!G719)</f>
        <v>-51389</v>
      </c>
      <c r="G19" s="78">
        <f>( 'Facility Detail'!H52 + 'Facility Detail'!H89 + 'Facility Detail'!H125 + 'Facility Detail'!H161 + 'Facility Detail'!H197 + 'Facility Detail'!H233 + 'Facility Detail'!H269 + 'Facility Detail'!H305 + 'Facility Detail'!H341 + 'Facility Detail'!H377 + 'Facility Detail'!H413+'Facility Detail'!H451+'Facility Detail'!H487+'Facility Detail'!H523+'Facility Detail'!H559+'Facility Detail'!H599+'Facility Detail'!H639+'Facility Detail'!H679 + 'Facility Detail'!H719)</f>
        <v>-4868</v>
      </c>
      <c r="H19" s="78">
        <f>( 'Facility Detail'!I52 + 'Facility Detail'!I89 + 'Facility Detail'!I125 + 'Facility Detail'!I161 + 'Facility Detail'!I197 + 'Facility Detail'!I233 + 'Facility Detail'!I269 + 'Facility Detail'!I305 + 'Facility Detail'!I341 + 'Facility Detail'!I377 + 'Facility Detail'!I413+'Facility Detail'!I451+'Facility Detail'!I487+'Facility Detail'!I523+'Facility Detail'!I559+'Facility Detail'!I599+'Facility Detail'!I639+'Facility Detail'!I679 + 'Facility Detail'!I719)</f>
        <v>-4364</v>
      </c>
      <c r="I19" s="78">
        <f>( 'Facility Detail'!J52 + 'Facility Detail'!J89 + 'Facility Detail'!J125 + 'Facility Detail'!J161 + 'Facility Detail'!J197 + 'Facility Detail'!J233 + 'Facility Detail'!J269 + 'Facility Detail'!J305 + 'Facility Detail'!J341 + 'Facility Detail'!J377 + 'Facility Detail'!J413+'Facility Detail'!J451+'Facility Detail'!J487+'Facility Detail'!J523+'Facility Detail'!J559+'Facility Detail'!J599+'Facility Detail'!J639+'Facility Detail'!J679 +'Facility Detail'!J719)</f>
        <v>-1706</v>
      </c>
      <c r="J19" s="77">
        <f>('Facility Detail'!K52 + 'Facility Detail'!K89 + 'Facility Detail'!K125 + 'Facility Detail'!K161 + 'Facility Detail'!K197 + 'Facility Detail'!K233 + 'Facility Detail'!K269 + 'Facility Detail'!K305 + 'Facility Detail'!K341 + 'Facility Detail'!K377 + 'Facility Detail'!K413 + 'Facility Detail'!K451 + 'Facility Detail'!K487 + 'Facility Detail'!K523 + 'Facility Detail'!K559 + 'Facility Detail'!K599 + 'Facility Detail'!K639 + 'Facility Detail'!K679 + 'Facility Detail'!K719)</f>
        <v>-596</v>
      </c>
      <c r="K19" s="77">
        <f>('Facility Detail'!L52+'Facility Detail'!L89+'Facility Detail'!L125+'Facility Detail'!L161+'Facility Detail'!L197+'Facility Detail'!L233+'Facility Detail'!L269+'Facility Detail'!L305+'Facility Detail'!L341+'Facility Detail'!L377+'Facility Detail'!L413+'Facility Detail'!L451+'Facility Detail'!L487+'Facility Detail'!L523+'Facility Detail'!L559+'Facility Detail'!L599+'Facility Detail'!L639+'Facility Detail'!L679+'Facility Detail'!L719)</f>
        <v>-20</v>
      </c>
      <c r="L19" s="17"/>
      <c r="M19" s="17"/>
      <c r="N19" s="17"/>
    </row>
    <row r="20" spans="1:14" x14ac:dyDescent="0.25">
      <c r="A20" s="86" t="str">
        <f>'Facility Detail'!B53</f>
        <v>Total Sold / Transferred / Unrealized</v>
      </c>
      <c r="B20" s="18">
        <f>SUM(B17:B19)</f>
        <v>-34973</v>
      </c>
      <c r="C20" s="18">
        <f>SUM(C17:C19)</f>
        <v>-73740</v>
      </c>
      <c r="D20" s="18">
        <f>SUM(D17:D19)</f>
        <v>-356432</v>
      </c>
      <c r="E20" s="18">
        <f t="shared" ref="E20:G20" si="8">SUM(E17:E19)</f>
        <v>-352275.6</v>
      </c>
      <c r="F20" s="18">
        <f t="shared" si="8"/>
        <v>-586055</v>
      </c>
      <c r="G20" s="18">
        <f t="shared" si="8"/>
        <v>-196089</v>
      </c>
      <c r="H20" s="18">
        <f t="shared" ref="H20:I20" si="9">SUM(H17:H19)</f>
        <v>-243355</v>
      </c>
      <c r="I20" s="18">
        <f t="shared" si="9"/>
        <v>-117085</v>
      </c>
      <c r="J20" s="18">
        <f t="shared" ref="J20:K20" si="10">SUM(J17:J19)</f>
        <v>-72644</v>
      </c>
      <c r="K20" s="18">
        <f t="shared" si="10"/>
        <v>-62990</v>
      </c>
      <c r="L20" s="18"/>
      <c r="M20" s="18"/>
      <c r="N20" s="18"/>
    </row>
    <row r="21" spans="1:14" x14ac:dyDescent="0.25">
      <c r="B21" s="17"/>
      <c r="C21" s="17"/>
      <c r="D21" s="17"/>
      <c r="E21" s="17"/>
      <c r="F21" s="17"/>
      <c r="G21" s="17"/>
      <c r="H21" s="17"/>
      <c r="I21" s="17"/>
      <c r="J21" s="17"/>
      <c r="K21" s="17"/>
      <c r="L21" s="17"/>
      <c r="M21" s="17"/>
      <c r="N21" s="17"/>
    </row>
    <row r="22" spans="1:14" ht="18.75" x14ac:dyDescent="0.3">
      <c r="A22" s="9" t="s">
        <v>44</v>
      </c>
      <c r="B22" s="2">
        <f>C22 - 1</f>
        <v>2012</v>
      </c>
      <c r="C22" s="2">
        <f>'Facility Detail'!$B$756</f>
        <v>2013</v>
      </c>
      <c r="D22" s="2">
        <f>C22+1</f>
        <v>2014</v>
      </c>
      <c r="E22" s="2">
        <f t="shared" ref="E22" si="11">D22+1</f>
        <v>2015</v>
      </c>
      <c r="F22" s="2">
        <f t="shared" ref="F22" si="12">E22+1</f>
        <v>2016</v>
      </c>
      <c r="G22" s="2">
        <f>F22+1</f>
        <v>2017</v>
      </c>
      <c r="H22" s="2">
        <f>G22+1</f>
        <v>2018</v>
      </c>
      <c r="I22" s="163">
        <f>H22+1</f>
        <v>2019</v>
      </c>
      <c r="J22" s="163">
        <f>I22+1</f>
        <v>2020</v>
      </c>
      <c r="K22" s="163">
        <f>J22+1</f>
        <v>2021</v>
      </c>
      <c r="L22" s="17"/>
      <c r="M22" s="17"/>
      <c r="N22" s="17"/>
    </row>
    <row r="23" spans="1:14" x14ac:dyDescent="0.25">
      <c r="A23" s="116" t="str">
        <f xml:space="preserve"> 'Facility Detail'!$B$756 &amp; " Surplus Applied to " &amp; ( 'Facility Detail'!$B$756 + 1 )</f>
        <v>2013 Surplus Applied to 2014</v>
      </c>
      <c r="B23" s="82"/>
      <c r="C23" s="153"/>
      <c r="D23" s="153"/>
      <c r="E23" s="82"/>
      <c r="F23" s="82"/>
      <c r="G23" s="82"/>
      <c r="H23" s="82"/>
      <c r="I23" s="170"/>
      <c r="J23" s="170"/>
      <c r="K23" s="170"/>
      <c r="L23" s="17"/>
      <c r="M23" s="17"/>
      <c r="N23" s="17"/>
    </row>
    <row r="24" spans="1:14" x14ac:dyDescent="0.25">
      <c r="A24" s="116" t="str">
        <f xml:space="preserve"> ( 'Facility Detail'!$B$756 + 1 ) &amp; " Surplus Applied to " &amp; ( 'Facility Detail'!$B$756 )</f>
        <v>2014 Surplus Applied to 2013</v>
      </c>
      <c r="B24" s="82"/>
      <c r="C24" s="153"/>
      <c r="D24" s="153"/>
      <c r="E24" s="82"/>
      <c r="F24" s="82"/>
      <c r="G24" s="82"/>
      <c r="H24" s="82"/>
      <c r="I24" s="170"/>
      <c r="J24" s="170"/>
      <c r="K24" s="170"/>
      <c r="L24" s="17"/>
      <c r="M24" s="17"/>
      <c r="N24" s="17"/>
    </row>
    <row r="25" spans="1:14" x14ac:dyDescent="0.25">
      <c r="A25" s="116" t="str">
        <f xml:space="preserve"> ( 'Facility Detail'!$B$756 + 1 ) &amp; " Surplus Applied to " &amp; ( 'Facility Detail'!$B$756 + 2 )</f>
        <v>2014 Surplus Applied to 2015</v>
      </c>
      <c r="B25" s="82"/>
      <c r="C25" s="82"/>
      <c r="D25" s="153"/>
      <c r="E25" s="153"/>
      <c r="F25" s="82"/>
      <c r="G25" s="82"/>
      <c r="H25" s="82"/>
      <c r="I25" s="170"/>
      <c r="J25" s="170"/>
      <c r="K25" s="170"/>
      <c r="L25" s="17"/>
      <c r="M25" s="17"/>
      <c r="N25" s="17"/>
    </row>
    <row r="26" spans="1:14" x14ac:dyDescent="0.25">
      <c r="A26" s="116" t="str">
        <f xml:space="preserve"> ( 'Facility Detail'!$B$756 + 2 ) &amp; " Surplus Applied to " &amp; ( 'Facility Detail'!$B$756 + 1 )</f>
        <v>2015 Surplus Applied to 2014</v>
      </c>
      <c r="B26" s="82"/>
      <c r="C26" s="82"/>
      <c r="D26" s="153"/>
      <c r="E26" s="153"/>
      <c r="F26" s="82"/>
      <c r="G26" s="82"/>
      <c r="H26" s="82"/>
      <c r="I26" s="170"/>
      <c r="J26" s="170"/>
      <c r="K26" s="170"/>
      <c r="L26" s="17"/>
      <c r="M26" s="17"/>
      <c r="N26" s="17"/>
    </row>
    <row r="27" spans="1:14" x14ac:dyDescent="0.25">
      <c r="A27" s="116" t="str">
        <f xml:space="preserve"> ( 'Facility Detail'!$B$756 + 2 ) &amp; " Surplus Applied to " &amp; ( 'Facility Detail'!$B$756 + 3 )</f>
        <v>2015 Surplus Applied to 2016</v>
      </c>
      <c r="B27" s="82"/>
      <c r="C27" s="82"/>
      <c r="D27" s="82"/>
      <c r="E27" s="153">
        <f>-F27</f>
        <v>-49617</v>
      </c>
      <c r="F27" s="153">
        <f>'Facility Detail'!G462</f>
        <v>49617</v>
      </c>
      <c r="G27" s="82"/>
      <c r="H27" s="82"/>
      <c r="I27" s="170"/>
      <c r="J27" s="170"/>
      <c r="K27" s="170"/>
      <c r="L27" s="17"/>
      <c r="M27" s="17"/>
      <c r="N27" s="17"/>
    </row>
    <row r="28" spans="1:14" x14ac:dyDescent="0.25">
      <c r="A28" s="116" t="str">
        <f xml:space="preserve"> ( 'Facility Detail'!$B$756 + 3 ) &amp; " Surplus Applied to " &amp; ( 'Facility Detail'!$B$756 + 2 )</f>
        <v>2016 Surplus Applied to 2015</v>
      </c>
      <c r="B28" s="82"/>
      <c r="C28" s="82"/>
      <c r="D28" s="82"/>
      <c r="E28" s="153"/>
      <c r="F28" s="153"/>
      <c r="G28" s="82"/>
      <c r="H28" s="82"/>
      <c r="I28" s="170"/>
      <c r="J28" s="170"/>
      <c r="K28" s="170"/>
      <c r="L28" s="17"/>
      <c r="M28" s="17"/>
      <c r="N28" s="17"/>
    </row>
    <row r="29" spans="1:14" x14ac:dyDescent="0.25">
      <c r="A29" s="116" t="str">
        <f xml:space="preserve"> ( 'Facility Detail'!$B$756 + 3 ) &amp; " Surplus Applied to " &amp; ( 'Facility Detail'!$B$756 + 4 )</f>
        <v>2016 Surplus Applied to 2017</v>
      </c>
      <c r="B29" s="82"/>
      <c r="C29" s="82"/>
      <c r="D29" s="82"/>
      <c r="E29" s="82"/>
      <c r="F29" s="153"/>
      <c r="G29" s="153"/>
      <c r="H29" s="153"/>
      <c r="I29" s="170"/>
      <c r="J29" s="170"/>
      <c r="K29" s="170"/>
      <c r="L29" s="17"/>
      <c r="M29" s="17"/>
      <c r="N29" s="17"/>
    </row>
    <row r="30" spans="1:14" x14ac:dyDescent="0.25">
      <c r="A30" s="116" t="str">
        <f xml:space="preserve"> ( 'Facility Detail'!$B$756 + 4 ) &amp; " Surplus Applied to " &amp; ( 'Facility Detail'!$B$756 + 3 )</f>
        <v>2017 Surplus Applied to 2016</v>
      </c>
      <c r="B30" s="82"/>
      <c r="C30" s="82"/>
      <c r="D30" s="82"/>
      <c r="E30" s="82"/>
      <c r="F30" s="153">
        <f>'Facility Detail'!G428+'Facility Detail'!G574</f>
        <v>135199</v>
      </c>
      <c r="G30" s="153">
        <f>-'Facility Detail'!H424</f>
        <v>-135199</v>
      </c>
      <c r="H30" s="153"/>
      <c r="I30" s="170"/>
      <c r="J30" s="170"/>
      <c r="K30" s="170"/>
      <c r="L30" s="17"/>
      <c r="M30" s="17"/>
      <c r="N30" s="17"/>
    </row>
    <row r="31" spans="1:14" x14ac:dyDescent="0.25">
      <c r="A31" s="116" t="str">
        <f xml:space="preserve"> ( 'Facility Detail'!$B$756 + 4 ) &amp; " Surplus Applied to " &amp; ( 'Facility Detail'!$B$756 + 5 )</f>
        <v>2017 Surplus Applied to 2018</v>
      </c>
      <c r="B31" s="82"/>
      <c r="C31" s="82"/>
      <c r="D31" s="82"/>
      <c r="E31" s="82"/>
      <c r="F31" s="82"/>
      <c r="G31" s="153"/>
      <c r="H31" s="153"/>
      <c r="I31" s="153"/>
      <c r="J31" s="170"/>
      <c r="K31" s="170"/>
      <c r="L31" s="17"/>
      <c r="M31" s="17"/>
      <c r="N31" s="17"/>
    </row>
    <row r="32" spans="1:14" x14ac:dyDescent="0.25">
      <c r="A32" s="116" t="str">
        <f xml:space="preserve"> ( 'Facility Detail'!$B$756 + 5 ) &amp; " Surplus Applied to " &amp; ( 'Facility Detail'!$B$756 + 4 )</f>
        <v>2018 Surplus Applied to 2017</v>
      </c>
      <c r="B32" s="82"/>
      <c r="C32" s="82"/>
      <c r="D32" s="82"/>
      <c r="E32" s="82"/>
      <c r="F32" s="82"/>
      <c r="G32" s="153">
        <f>-H32</f>
        <v>6922</v>
      </c>
      <c r="H32" s="153">
        <f>'Facility Detail'!I428</f>
        <v>-6922</v>
      </c>
      <c r="I32" s="153">
        <f>'Facility Detail'!J428</f>
        <v>0</v>
      </c>
      <c r="J32" s="170">
        <f>'Facility Detail'!K428</f>
        <v>0</v>
      </c>
      <c r="K32" s="170"/>
      <c r="L32" s="17"/>
      <c r="M32" s="17"/>
      <c r="N32" s="17"/>
    </row>
    <row r="33" spans="1:14" x14ac:dyDescent="0.25">
      <c r="A33" s="116" t="str">
        <f xml:space="preserve"> ( 'Facility Detail'!$B$756 + 5 ) &amp; " Surplus Applied to " &amp; ( 'Facility Detail'!$B$756 + 6 )</f>
        <v>2018 Surplus Applied to 2019</v>
      </c>
      <c r="B33" s="183"/>
      <c r="C33" s="183"/>
      <c r="D33" s="183"/>
      <c r="E33" s="183"/>
      <c r="F33" s="183"/>
      <c r="G33" s="183"/>
      <c r="H33" s="183"/>
      <c r="I33" s="184"/>
      <c r="J33" s="184"/>
      <c r="K33" s="170"/>
      <c r="L33" s="17"/>
      <c r="M33" s="17"/>
      <c r="N33" s="17"/>
    </row>
    <row r="34" spans="1:14" x14ac:dyDescent="0.25">
      <c r="A34" s="116" t="str">
        <f xml:space="preserve"> ( 'Facility Detail'!$B$756 +6 ) &amp; " Surplus Applied to " &amp; ( 'Facility Detail'!$B$756 + 5 )</f>
        <v>2019 Surplus Applied to 2018</v>
      </c>
      <c r="B34" s="183"/>
      <c r="C34" s="183"/>
      <c r="D34" s="183"/>
      <c r="E34" s="183"/>
      <c r="F34" s="183"/>
      <c r="G34" s="183"/>
      <c r="H34" s="183"/>
      <c r="I34" s="184"/>
      <c r="J34" s="184">
        <f>I34</f>
        <v>0</v>
      </c>
      <c r="K34" s="170"/>
      <c r="L34" s="17"/>
      <c r="M34" s="17"/>
      <c r="N34" s="17"/>
    </row>
    <row r="35" spans="1:14" x14ac:dyDescent="0.25">
      <c r="A35" s="116" t="str">
        <f xml:space="preserve"> ( 'Facility Detail'!$B$756 + 6 ) &amp; " Surplus Applied to " &amp; ( 'Facility Detail'!$B$756 + 7 )</f>
        <v>2019 Surplus Applied to 2020</v>
      </c>
      <c r="B35" s="183"/>
      <c r="C35" s="183"/>
      <c r="D35" s="183"/>
      <c r="E35" s="183"/>
      <c r="F35" s="183"/>
      <c r="G35" s="183"/>
      <c r="H35" s="183"/>
      <c r="I35" s="184"/>
      <c r="J35" s="184"/>
      <c r="K35" s="184"/>
      <c r="L35" s="17"/>
      <c r="M35" s="17"/>
      <c r="N35" s="17"/>
    </row>
    <row r="36" spans="1:14" x14ac:dyDescent="0.25">
      <c r="A36" s="116" t="str">
        <f xml:space="preserve"> ( 'Facility Detail'!$B$756 +7 ) &amp; " Surplus Applied to " &amp; ( 'Facility Detail'!$B$756 + 6 )</f>
        <v>2020 Surplus Applied to 2019</v>
      </c>
      <c r="B36" s="183"/>
      <c r="C36" s="183"/>
      <c r="D36" s="183"/>
      <c r="E36" s="183"/>
      <c r="F36" s="183"/>
      <c r="G36" s="183"/>
      <c r="H36" s="183"/>
      <c r="I36" s="184"/>
      <c r="J36" s="184"/>
      <c r="K36" s="184"/>
      <c r="L36" s="17"/>
      <c r="M36" s="17"/>
      <c r="N36" s="17"/>
    </row>
    <row r="37" spans="1:14" x14ac:dyDescent="0.25">
      <c r="A37" s="116" t="str">
        <f xml:space="preserve"> ( 'Facility Detail'!$B$756 + 7 ) &amp; " Surplus Applied to " &amp; ( 'Facility Detail'!$B$756 + 8 )</f>
        <v>2020 Surplus Applied to 2021</v>
      </c>
      <c r="B37" s="183"/>
      <c r="C37" s="183"/>
      <c r="D37" s="183"/>
      <c r="E37" s="183"/>
      <c r="F37" s="183"/>
      <c r="G37" s="183"/>
      <c r="H37" s="183"/>
      <c r="I37" s="184"/>
      <c r="J37" s="184"/>
      <c r="K37" s="184"/>
      <c r="L37" s="17"/>
      <c r="M37" s="17"/>
      <c r="N37" s="17"/>
    </row>
    <row r="38" spans="1:14" x14ac:dyDescent="0.25">
      <c r="A38" s="86" t="s">
        <v>26</v>
      </c>
      <c r="B38" s="56">
        <f>SUM(B23:B27)</f>
        <v>0</v>
      </c>
      <c r="C38" s="56">
        <f>SUM(C23:C27)</f>
        <v>0</v>
      </c>
      <c r="D38" s="56">
        <f>SUM(D23:D27)</f>
        <v>0</v>
      </c>
      <c r="E38" s="56">
        <f t="shared" ref="E38" si="13">SUM(E23:E27)</f>
        <v>-49617</v>
      </c>
      <c r="F38" s="56">
        <f>SUM(F27:F30)</f>
        <v>184816</v>
      </c>
      <c r="G38" s="56">
        <f>SUM(G23:G33)</f>
        <v>-128277</v>
      </c>
      <c r="H38" s="56">
        <f>SUM(H23:H33)</f>
        <v>-6922</v>
      </c>
      <c r="I38" s="34">
        <f>SUM(I23:I33)</f>
        <v>0</v>
      </c>
      <c r="J38" s="34">
        <f t="shared" ref="J38:K38" si="14">SUM(J23:J33)</f>
        <v>0</v>
      </c>
      <c r="K38" s="34">
        <f t="shared" si="14"/>
        <v>0</v>
      </c>
      <c r="L38" s="17"/>
      <c r="M38" s="17"/>
      <c r="N38" s="17"/>
    </row>
    <row r="39" spans="1:14" x14ac:dyDescent="0.25">
      <c r="B39" s="56"/>
      <c r="C39" s="56"/>
      <c r="D39" s="56"/>
      <c r="E39" s="56"/>
      <c r="F39" s="56"/>
      <c r="G39" s="56"/>
      <c r="H39" s="56"/>
      <c r="I39" s="34"/>
      <c r="J39" s="34"/>
      <c r="K39" s="34"/>
      <c r="L39" s="17"/>
      <c r="M39" s="17"/>
      <c r="N39" s="17"/>
    </row>
    <row r="40" spans="1:14" x14ac:dyDescent="0.25">
      <c r="A40" s="117" t="s">
        <v>22</v>
      </c>
      <c r="B40" s="114"/>
      <c r="C40" s="115">
        <f xml:space="preserve"> 'Facility Detail'!D66 + 'Facility Detail'!D102 + 'Facility Detail'!D138 + 'Facility Detail'!D174 + 'Facility Detail'!D210 + 'Facility Detail'!D246 + 'Facility Detail'!D282 + 'Facility Detail'!D318 + 'Facility Detail'!D354 + 'Facility Detail'!D390 + 'Facility Detail'!D430+ 'Facility Detail'!D464+ 'Facility Detail'!D500+ 'Facility Detail'!D536+ 'Facility Detail'!D576+ 'Facility Detail'!D616+ 'Facility Detail'!D656+ 'Facility Detail'!D696+ 'Facility Detail'!D736</f>
        <v>0</v>
      </c>
      <c r="D40" s="115">
        <f xml:space="preserve"> 'Facility Detail'!E66 + 'Facility Detail'!E102 + 'Facility Detail'!E138 + 'Facility Detail'!E174 + 'Facility Detail'!E210 + 'Facility Detail'!E246 + 'Facility Detail'!E282 + 'Facility Detail'!E318 + 'Facility Detail'!E354 + 'Facility Detail'!E390 + 'Facility Detail'!E430 + 'Facility Detail'!E464+ 'Facility Detail'!E500+ 'Facility Detail'!E536+ 'Facility Detail'!E576+ 'Facility Detail'!E616+ 'Facility Detail'!E656+ 'Facility Detail'!E696+ 'Facility Detail'!E736</f>
        <v>0</v>
      </c>
      <c r="E40" s="115">
        <f xml:space="preserve"> 'Facility Detail'!F66 + 'Facility Detail'!F102 + 'Facility Detail'!F138 + 'Facility Detail'!F174 + 'Facility Detail'!F210 + 'Facility Detail'!F246 + 'Facility Detail'!F282 + 'Facility Detail'!F318 + 'Facility Detail'!F354 + 'Facility Detail'!F390 + 'Facility Detail'!F430 + 'Facility Detail'!F464+ 'Facility Detail'!F500+ 'Facility Detail'!F536+ 'Facility Detail'!F576+ 'Facility Detail'!F616+ 'Facility Detail'!F656+ 'Facility Detail'!F696 + 'Facility Detail'!F736</f>
        <v>0</v>
      </c>
      <c r="F40" s="115">
        <f xml:space="preserve"> 'Facility Detail'!G66 + 'Facility Detail'!G102 + 'Facility Detail'!G138 + 'Facility Detail'!G174 + 'Facility Detail'!G210 + 'Facility Detail'!G246 + 'Facility Detail'!G282 + 'Facility Detail'!G318 + 'Facility Detail'!G354 + 'Facility Detail'!G390 + 'Facility Detail'!G430 + 'Facility Detail'!G464 + 'Facility Detail'!G500 + 'Facility Detail'!G536 + 'Facility Detail'!G576 + 'Facility Detail'!G616 + 'Facility Detail'!G656+ 'Facility Detail'!G696 + 'Facility Detail'!G736</f>
        <v>0</v>
      </c>
      <c r="G40" s="115">
        <f xml:space="preserve"> 'Facility Detail'!H66 + 'Facility Detail'!H102 + 'Facility Detail'!H138 + 'Facility Detail'!H174 + 'Facility Detail'!H210 + 'Facility Detail'!H246 + 'Facility Detail'!H282 + 'Facility Detail'!H318 + 'Facility Detail'!H354 + 'Facility Detail'!H390 + 'Facility Detail'!H430 + 'Facility Detail'!H464 + 'Facility Detail'!H500 + 'Facility Detail'!H536 + 'Facility Detail'!H576 + 'Facility Detail'!H616 + 'Facility Detail'!H656 + 'Facility Detail'!H696 + 'Facility Detail'!H736</f>
        <v>0</v>
      </c>
      <c r="H40" s="115">
        <f xml:space="preserve"> 'Facility Detail'!I66 + 'Facility Detail'!I102 + 'Facility Detail'!I138 + 'Facility Detail'!I174 + 'Facility Detail'!I210 + 'Facility Detail'!I246 + 'Facility Detail'!I282 + 'Facility Detail'!I318 + 'Facility Detail'!I354 + 'Facility Detail'!I390 + 'Facility Detail'!I430 + 'Facility Detail'!I464 + 'Facility Detail'!I500 + 'Facility Detail'!I536 + 'Facility Detail'!I576 + 'Facility Detail'!I616 + 'Facility Detail'!I656 + 'Facility Detail'!I696 + 'Facility Detail'!I736</f>
        <v>0</v>
      </c>
      <c r="I40" s="166">
        <f xml:space="preserve"> 'Facility Detail'!J66 + 'Facility Detail'!J102 + 'Facility Detail'!J138 + 'Facility Detail'!J174 + 'Facility Detail'!J210 + 'Facility Detail'!J246 + 'Facility Detail'!J282 + 'Facility Detail'!J318 + 'Facility Detail'!J354 + 'Facility Detail'!J390 + 'Facility Detail'!J430 + 'Facility Detail'!J464 + 'Facility Detail'!J500 + 'Facility Detail'!J536 + 'Facility Detail'!J576 + 'Facility Detail'!J616 + 'Facility Detail'!J656 + 'Facility Detail'!J696 + 'Facility Detail'!J736</f>
        <v>0</v>
      </c>
      <c r="J40" s="166">
        <f xml:space="preserve"> 'Facility Detail'!K66 + 'Facility Detail'!K102 + 'Facility Detail'!K138 + 'Facility Detail'!K174 + 'Facility Detail'!K210 + 'Facility Detail'!K246 + 'Facility Detail'!K282 + 'Facility Detail'!K318 + 'Facility Detail'!K354 + 'Facility Detail'!K390 + 'Facility Detail'!K430 + 'Facility Detail'!K464 + 'Facility Detail'!K500 + 'Facility Detail'!K536 + 'Facility Detail'!K576 + 'Facility Detail'!K616 + 'Facility Detail'!K656 + 'Facility Detail'!K696 + 'Facility Detail'!K736</f>
        <v>0</v>
      </c>
      <c r="K40" s="166">
        <f xml:space="preserve"> 'Facility Detail'!L66 + 'Facility Detail'!L102 + 'Facility Detail'!L138 + 'Facility Detail'!L174 + 'Facility Detail'!L210 + 'Facility Detail'!L246 + 'Facility Detail'!L282 + 'Facility Detail'!L318 + 'Facility Detail'!L354 + 'Facility Detail'!L390 + 'Facility Detail'!L430 + 'Facility Detail'!L464 + 'Facility Detail'!L500 + 'Facility Detail'!L536 + 'Facility Detail'!L576 + 'Facility Detail'!L616 + 'Facility Detail'!L656 + 'Facility Detail'!L696 + 'Facility Detail'!L736</f>
        <v>0</v>
      </c>
      <c r="L40" s="17"/>
      <c r="M40" s="17"/>
      <c r="N40" s="17"/>
    </row>
    <row r="41" spans="1:14" x14ac:dyDescent="0.25">
      <c r="B41" s="56"/>
      <c r="C41" s="56"/>
      <c r="D41" s="56"/>
      <c r="E41" s="56"/>
      <c r="F41" s="56"/>
      <c r="G41" s="56"/>
      <c r="H41" s="56"/>
      <c r="I41" s="34"/>
      <c r="J41" s="34"/>
      <c r="K41" s="17"/>
      <c r="L41" s="17"/>
      <c r="M41" s="17"/>
      <c r="N41" s="17"/>
    </row>
    <row r="42" spans="1:14" x14ac:dyDescent="0.25">
      <c r="B42" s="2">
        <f>C42 - 1</f>
        <v>2012</v>
      </c>
      <c r="C42" s="2">
        <f>'Facility Detail'!$B$756</f>
        <v>2013</v>
      </c>
      <c r="D42" s="2" t="str">
        <f>C42+1 &amp; "*"</f>
        <v>2014*</v>
      </c>
      <c r="E42" s="2" t="str">
        <f>C42+2 &amp;"*"</f>
        <v>2015*</v>
      </c>
      <c r="F42" s="2" t="str">
        <f>C42+3 &amp;"*"</f>
        <v>2016*</v>
      </c>
      <c r="G42" s="2" t="str">
        <f>C42+4 &amp;"*"</f>
        <v>2017*</v>
      </c>
      <c r="H42" s="2" t="str">
        <f>C42+5 &amp;"*"</f>
        <v>2018*</v>
      </c>
      <c r="I42" s="2" t="str">
        <f>C42+6 &amp;"*"</f>
        <v>2019*</v>
      </c>
      <c r="J42" s="2" t="str">
        <f>C42+7 &amp;"*"</f>
        <v>2020*</v>
      </c>
      <c r="K42" s="2" t="str">
        <f>C42+8 &amp;"*"</f>
        <v>2021*</v>
      </c>
      <c r="L42" s="17"/>
      <c r="M42" s="17"/>
      <c r="N42" s="17"/>
    </row>
    <row r="43" spans="1:14" ht="32.25" customHeight="1" x14ac:dyDescent="0.25">
      <c r="A43" s="75" t="s">
        <v>35</v>
      </c>
      <c r="B43" s="76">
        <f>B14 + B20 - B9 + B38 + B40</f>
        <v>14634</v>
      </c>
      <c r="C43" s="76">
        <f>C14 + C20 - C9 + C38 + C40</f>
        <v>307157</v>
      </c>
      <c r="D43" s="76">
        <f>D14 + D20 - D9 + D38 + D40</f>
        <v>49266</v>
      </c>
      <c r="E43" s="76">
        <f t="shared" ref="E43:G43" si="15">E14 + E20 - E9 + E38 + E40</f>
        <v>2635.4000000000233</v>
      </c>
      <c r="F43" s="155">
        <f>F14 + F20 - F9 + F38 + F40</f>
        <v>0</v>
      </c>
      <c r="G43" s="76">
        <f t="shared" si="15"/>
        <v>0</v>
      </c>
      <c r="H43" s="76">
        <f t="shared" ref="H43:I43" si="16">H14 + H20 - H9 + H38 + H40</f>
        <v>137830</v>
      </c>
      <c r="I43" s="76">
        <f t="shared" si="16"/>
        <v>266405</v>
      </c>
      <c r="J43" s="76">
        <f t="shared" ref="J43:K43" si="17">J14 + J20 - J9 + J38 + J40</f>
        <v>222382</v>
      </c>
      <c r="K43" s="76">
        <f t="shared" si="17"/>
        <v>514042</v>
      </c>
      <c r="L43" s="19"/>
      <c r="M43" s="19"/>
      <c r="N43" s="19"/>
    </row>
    <row r="44" spans="1:14" x14ac:dyDescent="0.25">
      <c r="D44" s="139"/>
      <c r="E44" s="139"/>
      <c r="F44" s="15"/>
      <c r="J44" s="162"/>
    </row>
    <row r="45" spans="1:14" ht="31.5" customHeight="1" x14ac:dyDescent="0.25">
      <c r="A45" s="188" t="str">
        <f>"* Any surplus shown in " &amp; YEAR( B4 ) &amp; " or " &amp; YEAR( B4 ) + 1 &amp; " may be sold or used for compliance in subsequent years.  Compliance deficits shown" &amp; " in " &amp;  YEAR( B4 ) + 1 &amp; "  may be filled by REC procurement from subsequent years."</f>
        <v>* Any surplus shown in 2020 or 2021 may be sold or used for compliance in subsequent years.  Compliance deficits shown in 2021  may be filled by REC procurement from subsequent years.</v>
      </c>
      <c r="B45" s="188"/>
      <c r="C45" s="188"/>
      <c r="D45" s="188"/>
      <c r="E45" s="188"/>
      <c r="F45" s="188"/>
      <c r="G45" s="188"/>
      <c r="J45" s="162"/>
    </row>
    <row r="46" spans="1:14" ht="96.75" customHeight="1" x14ac:dyDescent="0.25">
      <c r="A46" s="189" t="s">
        <v>92</v>
      </c>
      <c r="B46" s="189"/>
      <c r="C46" s="189"/>
      <c r="D46" s="189"/>
      <c r="E46" s="189"/>
      <c r="F46" s="189"/>
      <c r="G46" s="189"/>
      <c r="J46" s="162"/>
    </row>
    <row r="47" spans="1:14" ht="46.5" customHeight="1" x14ac:dyDescent="0.25">
      <c r="A47" s="190" t="s">
        <v>102</v>
      </c>
      <c r="B47" s="190"/>
      <c r="C47" s="190"/>
      <c r="D47" s="190"/>
      <c r="E47" s="190"/>
      <c r="F47" s="190"/>
      <c r="G47" s="190"/>
      <c r="J47" s="162"/>
    </row>
    <row r="48" spans="1:14" ht="30.75" customHeight="1" x14ac:dyDescent="0.25">
      <c r="A48" s="142"/>
      <c r="B48" s="142"/>
      <c r="C48" s="142"/>
      <c r="D48" s="142"/>
      <c r="E48" s="142"/>
      <c r="F48" s="142"/>
      <c r="G48" s="142"/>
      <c r="H48" s="142"/>
      <c r="I48" s="167"/>
      <c r="J48" s="167"/>
    </row>
    <row r="49" spans="1:9" x14ac:dyDescent="0.25">
      <c r="A49" s="142"/>
      <c r="B49" s="142"/>
      <c r="C49" s="142"/>
      <c r="D49" s="142"/>
      <c r="E49" s="142"/>
      <c r="F49" s="142"/>
      <c r="G49" s="142"/>
      <c r="H49" s="142"/>
      <c r="I49" s="167"/>
    </row>
  </sheetData>
  <mergeCells count="5">
    <mergeCell ref="B4:C4"/>
    <mergeCell ref="A45:G45"/>
    <mergeCell ref="A46:G46"/>
    <mergeCell ref="A47:G47"/>
    <mergeCell ref="B2:I2"/>
  </mergeCells>
  <phoneticPr fontId="5" type="noConversion"/>
  <conditionalFormatting sqref="L43:N43 B43:G43">
    <cfRule type="cellIs" dxfId="2" priority="9" stopIfTrue="1" operator="lessThan">
      <formula>0</formula>
    </cfRule>
  </conditionalFormatting>
  <conditionalFormatting sqref="H43">
    <cfRule type="cellIs" dxfId="1" priority="4" stopIfTrue="1" operator="lessThan">
      <formula>0</formula>
    </cfRule>
  </conditionalFormatting>
  <conditionalFormatting sqref="I43:K43">
    <cfRule type="cellIs" dxfId="0" priority="1" stopIfTrue="1" operator="lessThan">
      <formula>0</formula>
    </cfRule>
  </conditionalFormatting>
  <pageMargins left="0.75" right="0.75" top="1" bottom="1" header="0.5" footer="0.5"/>
  <pageSetup scale="48" orientation="portrait" r:id="rId1"/>
  <headerFooter alignWithMargins="0"/>
  <rowBreaks count="1" manualBreakCount="1">
    <brk id="5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N768"/>
  <sheetViews>
    <sheetView showGridLines="0" view="pageBreakPreview" topLeftCell="A361" zoomScale="60" zoomScaleNormal="85" workbookViewId="0">
      <selection activeCell="A395" sqref="A395"/>
    </sheetView>
  </sheetViews>
  <sheetFormatPr defaultColWidth="9.140625" defaultRowHeight="15" x14ac:dyDescent="0.25"/>
  <cols>
    <col min="1" max="1" width="5.28515625" style="1" customWidth="1"/>
    <col min="2" max="2" width="37.42578125" style="1" customWidth="1"/>
    <col min="3" max="3" width="13.140625" style="1" bestFit="1" customWidth="1"/>
    <col min="4" max="4" width="25.42578125" style="1" customWidth="1"/>
    <col min="5" max="5" width="18.42578125" style="1" customWidth="1"/>
    <col min="6" max="8" width="16.85546875" style="1" customWidth="1"/>
    <col min="9" max="12" width="17.85546875" style="1" customWidth="1"/>
    <col min="13" max="13" width="13.7109375" style="1" customWidth="1"/>
    <col min="14" max="24" width="12.140625" style="1" customWidth="1"/>
    <col min="25" max="16384" width="9.140625" style="1"/>
  </cols>
  <sheetData>
    <row r="1" spans="2:14" ht="63" x14ac:dyDescent="0.25">
      <c r="B1" s="38" t="s">
        <v>4</v>
      </c>
      <c r="C1" s="38" t="s">
        <v>23</v>
      </c>
      <c r="D1" s="38" t="s">
        <v>67</v>
      </c>
      <c r="E1" s="38" t="s">
        <v>24</v>
      </c>
      <c r="F1" s="38" t="s">
        <v>25</v>
      </c>
      <c r="G1" s="38" t="s">
        <v>81</v>
      </c>
      <c r="H1" s="38" t="s">
        <v>82</v>
      </c>
      <c r="N1" s="35"/>
    </row>
    <row r="2" spans="2:14" x14ac:dyDescent="0.25">
      <c r="B2" s="25" t="s">
        <v>47</v>
      </c>
      <c r="C2" s="40" t="s">
        <v>57</v>
      </c>
      <c r="D2" s="28" t="s">
        <v>71</v>
      </c>
      <c r="E2" s="28" t="s">
        <v>1</v>
      </c>
      <c r="F2" s="28" t="s">
        <v>1</v>
      </c>
      <c r="G2" s="137">
        <v>36462</v>
      </c>
      <c r="H2" s="32" t="s">
        <v>83</v>
      </c>
      <c r="N2" s="24"/>
    </row>
    <row r="3" spans="2:14" x14ac:dyDescent="0.25">
      <c r="B3" s="26" t="s">
        <v>48</v>
      </c>
      <c r="C3" s="41" t="s">
        <v>58</v>
      </c>
      <c r="D3" s="29" t="s">
        <v>71</v>
      </c>
      <c r="E3" s="29" t="s">
        <v>1</v>
      </c>
      <c r="F3" s="29" t="s">
        <v>1</v>
      </c>
      <c r="G3" s="138">
        <v>37209</v>
      </c>
      <c r="H3" s="31" t="s">
        <v>83</v>
      </c>
      <c r="N3" s="24"/>
    </row>
    <row r="4" spans="2:14" x14ac:dyDescent="0.25">
      <c r="B4" s="26" t="s">
        <v>49</v>
      </c>
      <c r="C4" s="41" t="s">
        <v>59</v>
      </c>
      <c r="D4" s="29" t="s">
        <v>71</v>
      </c>
      <c r="E4" s="29" t="s">
        <v>1</v>
      </c>
      <c r="F4" s="29" t="s">
        <v>1</v>
      </c>
      <c r="G4" s="138">
        <v>38065</v>
      </c>
      <c r="H4" s="31" t="s">
        <v>83</v>
      </c>
      <c r="N4" s="24"/>
    </row>
    <row r="5" spans="2:14" x14ac:dyDescent="0.25">
      <c r="B5" s="26" t="s">
        <v>50</v>
      </c>
      <c r="C5" s="41" t="s">
        <v>60</v>
      </c>
      <c r="D5" s="29" t="s">
        <v>71</v>
      </c>
      <c r="E5" s="29" t="s">
        <v>1</v>
      </c>
      <c r="F5" s="29" t="s">
        <v>1</v>
      </c>
      <c r="G5" s="138">
        <v>36977</v>
      </c>
      <c r="H5" s="31" t="s">
        <v>83</v>
      </c>
      <c r="N5" s="24"/>
    </row>
    <row r="6" spans="2:14" x14ac:dyDescent="0.25">
      <c r="B6" s="26" t="s">
        <v>51</v>
      </c>
      <c r="C6" s="41" t="s">
        <v>61</v>
      </c>
      <c r="D6" s="29" t="s">
        <v>71</v>
      </c>
      <c r="E6" s="29" t="s">
        <v>1</v>
      </c>
      <c r="F6" s="29" t="s">
        <v>1</v>
      </c>
      <c r="G6" s="138">
        <v>39177</v>
      </c>
      <c r="H6" s="31" t="s">
        <v>83</v>
      </c>
      <c r="N6" s="24"/>
    </row>
    <row r="7" spans="2:14" x14ac:dyDescent="0.25">
      <c r="B7" s="26" t="s">
        <v>52</v>
      </c>
      <c r="C7" s="41" t="s">
        <v>62</v>
      </c>
      <c r="D7" s="29" t="s">
        <v>71</v>
      </c>
      <c r="E7" s="29" t="s">
        <v>1</v>
      </c>
      <c r="F7" s="29" t="s">
        <v>1</v>
      </c>
      <c r="G7" s="138">
        <v>39954</v>
      </c>
      <c r="H7" s="31" t="s">
        <v>83</v>
      </c>
      <c r="N7" s="24"/>
    </row>
    <row r="8" spans="2:14" x14ac:dyDescent="0.25">
      <c r="B8" s="26" t="s">
        <v>53</v>
      </c>
      <c r="C8" s="41" t="s">
        <v>63</v>
      </c>
      <c r="D8" s="29" t="s">
        <v>71</v>
      </c>
      <c r="E8" s="29" t="s">
        <v>1</v>
      </c>
      <c r="F8" s="29" t="s">
        <v>1</v>
      </c>
      <c r="G8" s="138">
        <v>40669</v>
      </c>
      <c r="H8" s="31" t="s">
        <v>83</v>
      </c>
      <c r="N8" s="24"/>
    </row>
    <row r="9" spans="2:14" x14ac:dyDescent="0.25">
      <c r="B9" s="26" t="s">
        <v>54</v>
      </c>
      <c r="C9" s="41" t="s">
        <v>64</v>
      </c>
      <c r="D9" s="29" t="s">
        <v>71</v>
      </c>
      <c r="E9" s="29" t="s">
        <v>1</v>
      </c>
      <c r="F9" s="29" t="s">
        <v>1</v>
      </c>
      <c r="G9" s="138">
        <v>40340</v>
      </c>
      <c r="H9" s="31" t="s">
        <v>83</v>
      </c>
      <c r="N9" s="24"/>
    </row>
    <row r="10" spans="2:14" x14ac:dyDescent="0.25">
      <c r="B10" s="26" t="s">
        <v>55</v>
      </c>
      <c r="C10" s="41" t="s">
        <v>65</v>
      </c>
      <c r="D10" s="29" t="s">
        <v>71</v>
      </c>
      <c r="E10" s="29" t="s">
        <v>1</v>
      </c>
      <c r="F10" s="29" t="s">
        <v>1</v>
      </c>
      <c r="G10" s="138">
        <v>41031</v>
      </c>
      <c r="H10" s="31" t="s">
        <v>83</v>
      </c>
      <c r="N10" s="24"/>
    </row>
    <row r="11" spans="2:14" x14ac:dyDescent="0.25">
      <c r="B11" s="26" t="s">
        <v>126</v>
      </c>
      <c r="C11" s="41" t="s">
        <v>66</v>
      </c>
      <c r="D11" s="29" t="s">
        <v>71</v>
      </c>
      <c r="E11" s="29" t="s">
        <v>1</v>
      </c>
      <c r="F11" s="29" t="s">
        <v>1</v>
      </c>
      <c r="G11" s="29" t="s">
        <v>70</v>
      </c>
      <c r="H11" s="31" t="s">
        <v>69</v>
      </c>
      <c r="N11" s="24"/>
    </row>
    <row r="12" spans="2:14" x14ac:dyDescent="0.25">
      <c r="B12" s="26" t="s">
        <v>45</v>
      </c>
      <c r="C12" s="41" t="s">
        <v>85</v>
      </c>
      <c r="D12" s="29" t="s">
        <v>68</v>
      </c>
      <c r="E12" s="29" t="s">
        <v>0</v>
      </c>
      <c r="F12" s="29" t="s">
        <v>1</v>
      </c>
      <c r="G12" s="138">
        <v>41257</v>
      </c>
      <c r="H12" s="31" t="s">
        <v>69</v>
      </c>
      <c r="N12" s="24"/>
    </row>
    <row r="13" spans="2:14" x14ac:dyDescent="0.25">
      <c r="B13" s="26" t="s">
        <v>95</v>
      </c>
      <c r="C13" s="41" t="s">
        <v>91</v>
      </c>
      <c r="D13" s="29" t="s">
        <v>68</v>
      </c>
      <c r="E13" s="29" t="s">
        <v>1</v>
      </c>
      <c r="F13" s="29" t="s">
        <v>1</v>
      </c>
      <c r="G13" s="138">
        <v>37246</v>
      </c>
      <c r="H13" s="31" t="s">
        <v>69</v>
      </c>
      <c r="N13" s="24"/>
    </row>
    <row r="14" spans="2:14" x14ac:dyDescent="0.25">
      <c r="B14" s="26" t="s">
        <v>93</v>
      </c>
      <c r="C14" s="41" t="s">
        <v>96</v>
      </c>
      <c r="D14" s="29" t="s">
        <v>71</v>
      </c>
      <c r="E14" s="29" t="s">
        <v>1</v>
      </c>
      <c r="F14" s="29" t="s">
        <v>1</v>
      </c>
      <c r="G14" s="148">
        <v>42552</v>
      </c>
      <c r="H14" s="31" t="s">
        <v>83</v>
      </c>
      <c r="N14" s="24"/>
    </row>
    <row r="15" spans="2:14" x14ac:dyDescent="0.25">
      <c r="B15" s="26" t="s">
        <v>94</v>
      </c>
      <c r="C15" s="41" t="s">
        <v>97</v>
      </c>
      <c r="D15" s="29" t="s">
        <v>71</v>
      </c>
      <c r="E15" s="29" t="s">
        <v>1</v>
      </c>
      <c r="F15" s="29" t="s">
        <v>1</v>
      </c>
      <c r="G15" s="148">
        <v>42552</v>
      </c>
      <c r="H15" s="31" t="s">
        <v>83</v>
      </c>
      <c r="N15" s="24"/>
    </row>
    <row r="16" spans="2:14" x14ac:dyDescent="0.25">
      <c r="B16" s="26" t="s">
        <v>98</v>
      </c>
      <c r="C16" s="41" t="s">
        <v>100</v>
      </c>
      <c r="D16" s="29" t="s">
        <v>74</v>
      </c>
      <c r="E16" s="29" t="s">
        <v>1</v>
      </c>
      <c r="F16" s="29" t="s">
        <v>1</v>
      </c>
      <c r="G16" s="138">
        <v>42370</v>
      </c>
      <c r="H16" s="31" t="s">
        <v>83</v>
      </c>
      <c r="N16" s="24"/>
    </row>
    <row r="17" spans="2:14" x14ac:dyDescent="0.25">
      <c r="B17" s="26" t="s">
        <v>105</v>
      </c>
      <c r="C17" s="41" t="s">
        <v>106</v>
      </c>
      <c r="D17" s="29" t="s">
        <v>73</v>
      </c>
      <c r="E17" s="29" t="s">
        <v>1</v>
      </c>
      <c r="F17" s="29" t="s">
        <v>0</v>
      </c>
      <c r="G17" s="148">
        <v>42248</v>
      </c>
      <c r="H17" s="31" t="s">
        <v>83</v>
      </c>
      <c r="N17" s="24"/>
    </row>
    <row r="18" spans="2:14" x14ac:dyDescent="0.25">
      <c r="B18" s="26" t="s">
        <v>107</v>
      </c>
      <c r="C18" s="41" t="s">
        <v>66</v>
      </c>
      <c r="D18" s="29" t="s">
        <v>73</v>
      </c>
      <c r="E18" s="29" t="s">
        <v>1</v>
      </c>
      <c r="F18" s="29" t="s">
        <v>0</v>
      </c>
      <c r="G18" s="29">
        <v>2012</v>
      </c>
      <c r="H18" s="31" t="s">
        <v>83</v>
      </c>
      <c r="N18" s="24"/>
    </row>
    <row r="19" spans="2:14" x14ac:dyDescent="0.25">
      <c r="B19" s="26" t="s">
        <v>108</v>
      </c>
      <c r="C19" s="41" t="s">
        <v>117</v>
      </c>
      <c r="D19" s="29" t="s">
        <v>73</v>
      </c>
      <c r="E19" s="29" t="s">
        <v>1</v>
      </c>
      <c r="F19" s="29" t="s">
        <v>1</v>
      </c>
      <c r="G19" s="148">
        <v>43435</v>
      </c>
      <c r="H19" s="31" t="s">
        <v>69</v>
      </c>
      <c r="N19" s="24"/>
    </row>
    <row r="20" spans="2:14" x14ac:dyDescent="0.25">
      <c r="B20" s="26" t="s">
        <v>121</v>
      </c>
      <c r="C20" s="41"/>
      <c r="D20" s="29" t="s">
        <v>68</v>
      </c>
      <c r="E20" s="29" t="s">
        <v>1</v>
      </c>
      <c r="F20" s="29" t="s">
        <v>1</v>
      </c>
      <c r="G20" s="29">
        <v>2020</v>
      </c>
      <c r="H20" s="31" t="s">
        <v>69</v>
      </c>
      <c r="N20" s="24"/>
    </row>
    <row r="21" spans="2:14" x14ac:dyDescent="0.25">
      <c r="B21" s="26" t="s">
        <v>9</v>
      </c>
      <c r="C21" s="41"/>
      <c r="D21" s="29"/>
      <c r="E21" s="29" t="s">
        <v>2</v>
      </c>
      <c r="F21" s="29" t="s">
        <v>2</v>
      </c>
      <c r="G21" s="29"/>
      <c r="H21" s="31"/>
      <c r="N21" s="24"/>
    </row>
    <row r="22" spans="2:14" x14ac:dyDescent="0.25">
      <c r="B22" s="26" t="s">
        <v>10</v>
      </c>
      <c r="C22" s="41"/>
      <c r="D22" s="29"/>
      <c r="E22" s="29" t="s">
        <v>2</v>
      </c>
      <c r="F22" s="29" t="s">
        <v>2</v>
      </c>
      <c r="G22" s="29"/>
      <c r="H22" s="31"/>
      <c r="N22" s="24"/>
    </row>
    <row r="23" spans="2:14" x14ac:dyDescent="0.25">
      <c r="B23" s="26" t="s">
        <v>11</v>
      </c>
      <c r="C23" s="41"/>
      <c r="D23" s="29"/>
      <c r="E23" s="29" t="s">
        <v>2</v>
      </c>
      <c r="F23" s="29" t="s">
        <v>2</v>
      </c>
      <c r="G23" s="29"/>
      <c r="H23" s="31"/>
      <c r="N23" s="24"/>
    </row>
    <row r="24" spans="2:14" x14ac:dyDescent="0.25">
      <c r="B24" s="26" t="s">
        <v>12</v>
      </c>
      <c r="C24" s="41"/>
      <c r="D24" s="29"/>
      <c r="E24" s="29" t="s">
        <v>2</v>
      </c>
      <c r="F24" s="29" t="s">
        <v>2</v>
      </c>
      <c r="G24" s="29"/>
      <c r="H24" s="31"/>
      <c r="N24" s="24"/>
    </row>
    <row r="25" spans="2:14" x14ac:dyDescent="0.25">
      <c r="B25" s="26" t="s">
        <v>13</v>
      </c>
      <c r="C25" s="41"/>
      <c r="D25" s="29"/>
      <c r="E25" s="29" t="s">
        <v>2</v>
      </c>
      <c r="F25" s="29" t="s">
        <v>2</v>
      </c>
      <c r="G25" s="29"/>
      <c r="H25" s="31"/>
      <c r="N25" s="24"/>
    </row>
    <row r="26" spans="2:14" x14ac:dyDescent="0.25">
      <c r="B26" s="26" t="s">
        <v>14</v>
      </c>
      <c r="C26" s="41"/>
      <c r="D26" s="29"/>
      <c r="E26" s="29" t="s">
        <v>2</v>
      </c>
      <c r="F26" s="29" t="s">
        <v>2</v>
      </c>
      <c r="G26" s="29"/>
      <c r="H26" s="31"/>
      <c r="N26" s="24"/>
    </row>
    <row r="27" spans="2:14" x14ac:dyDescent="0.25">
      <c r="B27" s="26" t="s">
        <v>15</v>
      </c>
      <c r="C27" s="41"/>
      <c r="D27" s="29"/>
      <c r="E27" s="29" t="s">
        <v>2</v>
      </c>
      <c r="F27" s="29" t="s">
        <v>2</v>
      </c>
      <c r="G27" s="29"/>
      <c r="H27" s="31"/>
      <c r="N27" s="24"/>
    </row>
    <row r="28" spans="2:14" x14ac:dyDescent="0.25">
      <c r="B28" s="26" t="s">
        <v>16</v>
      </c>
      <c r="C28" s="41"/>
      <c r="D28" s="29"/>
      <c r="E28" s="29" t="s">
        <v>2</v>
      </c>
      <c r="F28" s="29" t="s">
        <v>2</v>
      </c>
      <c r="G28" s="29"/>
      <c r="H28" s="31"/>
      <c r="N28" s="24"/>
    </row>
    <row r="29" spans="2:14" x14ac:dyDescent="0.25">
      <c r="B29" s="26" t="s">
        <v>17</v>
      </c>
      <c r="C29" s="41"/>
      <c r="D29" s="29"/>
      <c r="E29" s="29" t="s">
        <v>2</v>
      </c>
      <c r="F29" s="29" t="s">
        <v>2</v>
      </c>
      <c r="G29" s="29"/>
      <c r="H29" s="31"/>
      <c r="N29" s="24"/>
    </row>
    <row r="30" spans="2:14" x14ac:dyDescent="0.25">
      <c r="B30" s="26" t="s">
        <v>18</v>
      </c>
      <c r="C30" s="41"/>
      <c r="D30" s="29"/>
      <c r="E30" s="29" t="s">
        <v>2</v>
      </c>
      <c r="F30" s="29" t="s">
        <v>2</v>
      </c>
      <c r="G30" s="29"/>
      <c r="H30" s="31"/>
      <c r="N30" s="24"/>
    </row>
    <row r="31" spans="2:14" x14ac:dyDescent="0.25">
      <c r="B31" s="27" t="s">
        <v>19</v>
      </c>
      <c r="C31" s="42"/>
      <c r="D31" s="30"/>
      <c r="E31" s="30" t="s">
        <v>2</v>
      </c>
      <c r="F31" s="30" t="s">
        <v>2</v>
      </c>
      <c r="G31" s="30"/>
      <c r="H31" s="33"/>
      <c r="N31" s="24"/>
    </row>
    <row r="32" spans="2:14" x14ac:dyDescent="0.25">
      <c r="B32" s="24"/>
    </row>
    <row r="33" spans="1:13" ht="31.5" customHeight="1" thickBot="1" x14ac:dyDescent="0.3">
      <c r="B33" s="190"/>
      <c r="C33" s="190"/>
      <c r="D33" s="190"/>
      <c r="E33" s="190"/>
      <c r="F33" s="190"/>
      <c r="H33" s="36"/>
      <c r="I33" s="36"/>
      <c r="J33" s="36"/>
      <c r="K33" s="36"/>
      <c r="L33" s="36"/>
      <c r="M33" s="36"/>
    </row>
    <row r="34" spans="1:13" x14ac:dyDescent="0.25">
      <c r="A34" s="8"/>
      <c r="B34" s="8"/>
      <c r="C34" s="8"/>
      <c r="D34" s="8"/>
      <c r="E34" s="8"/>
      <c r="F34" s="8"/>
      <c r="G34" s="8"/>
      <c r="H34" s="8"/>
      <c r="I34" s="8"/>
      <c r="J34" s="8"/>
      <c r="K34" s="8"/>
      <c r="L34" s="8"/>
    </row>
    <row r="35" spans="1:13" x14ac:dyDescent="0.25">
      <c r="I35" s="36"/>
      <c r="J35" s="36"/>
      <c r="K35" s="36"/>
      <c r="L35" s="36"/>
    </row>
    <row r="36" spans="1:13" ht="21" x14ac:dyDescent="0.35">
      <c r="A36" s="16" t="s">
        <v>4</v>
      </c>
      <c r="C36" s="49" t="str">
        <f>B2</f>
        <v>Long Lake #3</v>
      </c>
      <c r="D36" s="50"/>
      <c r="E36" s="22"/>
      <c r="F36" s="22"/>
      <c r="I36" s="36"/>
      <c r="J36" s="36"/>
      <c r="K36" s="36"/>
      <c r="L36" s="36"/>
    </row>
    <row r="37" spans="1:13" x14ac:dyDescent="0.25">
      <c r="I37" s="36"/>
      <c r="J37" s="36"/>
      <c r="K37" s="36"/>
      <c r="L37" s="36"/>
    </row>
    <row r="38" spans="1:13" ht="18.75" x14ac:dyDescent="0.3">
      <c r="A38" s="9" t="s">
        <v>28</v>
      </c>
      <c r="D38" s="2">
        <v>2013</v>
      </c>
      <c r="E38" s="2">
        <f t="shared" ref="E38:J38" si="0">D38+1</f>
        <v>2014</v>
      </c>
      <c r="F38" s="2">
        <f t="shared" si="0"/>
        <v>2015</v>
      </c>
      <c r="G38" s="2">
        <f t="shared" si="0"/>
        <v>2016</v>
      </c>
      <c r="H38" s="2">
        <f t="shared" si="0"/>
        <v>2017</v>
      </c>
      <c r="I38" s="2">
        <f t="shared" si="0"/>
        <v>2018</v>
      </c>
      <c r="J38" s="2">
        <f t="shared" si="0"/>
        <v>2019</v>
      </c>
      <c r="K38" s="2">
        <f>J38+1</f>
        <v>2020</v>
      </c>
      <c r="L38" s="2">
        <f>K38+1</f>
        <v>2021</v>
      </c>
    </row>
    <row r="39" spans="1:13" x14ac:dyDescent="0.25">
      <c r="B39" s="90" t="str">
        <f>"Total MWh Produced / Purchased from " &amp; C36</f>
        <v>Total MWh Produced / Purchased from Long Lake #3</v>
      </c>
      <c r="C39" s="80"/>
      <c r="D39" s="3">
        <v>14197</v>
      </c>
      <c r="E39" s="3">
        <v>14197</v>
      </c>
      <c r="F39" s="3">
        <v>14197</v>
      </c>
      <c r="G39" s="3">
        <v>14197</v>
      </c>
      <c r="H39" s="3">
        <v>14197</v>
      </c>
      <c r="I39" s="3">
        <v>14197</v>
      </c>
      <c r="J39" s="3">
        <v>7241</v>
      </c>
      <c r="K39" s="3">
        <v>11669</v>
      </c>
      <c r="L39" s="3">
        <v>11669</v>
      </c>
    </row>
    <row r="40" spans="1:13" x14ac:dyDescent="0.25">
      <c r="B40" s="90" t="s">
        <v>33</v>
      </c>
      <c r="C40" s="80"/>
      <c r="D40" s="64">
        <v>1</v>
      </c>
      <c r="E40" s="65">
        <v>1</v>
      </c>
      <c r="F40" s="66">
        <v>1</v>
      </c>
      <c r="G40" s="66">
        <v>1</v>
      </c>
      <c r="H40" s="66">
        <v>1</v>
      </c>
      <c r="I40" s="66">
        <v>1</v>
      </c>
      <c r="J40" s="66">
        <v>1</v>
      </c>
      <c r="K40" s="66">
        <v>1</v>
      </c>
      <c r="L40" s="66">
        <v>1</v>
      </c>
    </row>
    <row r="41" spans="1:13" x14ac:dyDescent="0.25">
      <c r="B41" s="90" t="s">
        <v>27</v>
      </c>
      <c r="C41" s="80"/>
      <c r="D41" s="57">
        <v>1</v>
      </c>
      <c r="E41" s="58">
        <v>1</v>
      </c>
      <c r="F41" s="59">
        <v>1</v>
      </c>
      <c r="G41" s="59">
        <v>1</v>
      </c>
      <c r="H41" s="59">
        <v>1</v>
      </c>
      <c r="I41" s="59">
        <v>1</v>
      </c>
      <c r="J41" s="59">
        <v>1</v>
      </c>
      <c r="K41" s="59">
        <v>1</v>
      </c>
      <c r="L41" s="59">
        <v>1</v>
      </c>
    </row>
    <row r="42" spans="1:13" x14ac:dyDescent="0.25">
      <c r="B42" s="87" t="s">
        <v>29</v>
      </c>
      <c r="C42" s="88"/>
      <c r="D42" s="44">
        <f t="shared" ref="D42:I42" si="1" xml:space="preserve"> D39 * D40 * D41</f>
        <v>14197</v>
      </c>
      <c r="E42" s="44">
        <f t="shared" si="1"/>
        <v>14197</v>
      </c>
      <c r="F42" s="44">
        <f t="shared" si="1"/>
        <v>14197</v>
      </c>
      <c r="G42" s="44">
        <f t="shared" si="1"/>
        <v>14197</v>
      </c>
      <c r="H42" s="44">
        <f t="shared" si="1"/>
        <v>14197</v>
      </c>
      <c r="I42" s="44">
        <f t="shared" si="1"/>
        <v>14197</v>
      </c>
      <c r="J42" s="44">
        <f t="shared" ref="J42:K42" si="2" xml:space="preserve"> J39 * J40 * J41</f>
        <v>7241</v>
      </c>
      <c r="K42" s="44">
        <f t="shared" si="2"/>
        <v>11669</v>
      </c>
      <c r="L42" s="44">
        <f t="shared" ref="L42" si="3" xml:space="preserve"> L39 * L40 * L41</f>
        <v>11669</v>
      </c>
    </row>
    <row r="43" spans="1:13" x14ac:dyDescent="0.25">
      <c r="B43" s="22"/>
      <c r="C43" s="36"/>
      <c r="D43" s="43"/>
      <c r="E43" s="43"/>
      <c r="F43" s="43"/>
      <c r="G43" s="43"/>
      <c r="H43" s="43"/>
      <c r="I43" s="43"/>
      <c r="J43" s="43"/>
      <c r="K43" s="43"/>
      <c r="L43" s="43"/>
    </row>
    <row r="44" spans="1:13" ht="18.75" x14ac:dyDescent="0.3">
      <c r="A44" s="51" t="s">
        <v>31</v>
      </c>
      <c r="C44" s="36"/>
      <c r="D44" s="2">
        <f t="shared" ref="D44:I44" si="4">D38</f>
        <v>2013</v>
      </c>
      <c r="E44" s="2">
        <f t="shared" si="4"/>
        <v>2014</v>
      </c>
      <c r="F44" s="2">
        <f t="shared" si="4"/>
        <v>2015</v>
      </c>
      <c r="G44" s="2">
        <f t="shared" si="4"/>
        <v>2016</v>
      </c>
      <c r="H44" s="2">
        <f t="shared" si="4"/>
        <v>2017</v>
      </c>
      <c r="I44" s="2">
        <f t="shared" si="4"/>
        <v>2018</v>
      </c>
      <c r="J44" s="2">
        <f t="shared" ref="J44:K44" si="5">J38</f>
        <v>2019</v>
      </c>
      <c r="K44" s="2">
        <f t="shared" si="5"/>
        <v>2020</v>
      </c>
      <c r="L44" s="2">
        <f t="shared" ref="L44" si="6">L38</f>
        <v>2021</v>
      </c>
    </row>
    <row r="45" spans="1:13" x14ac:dyDescent="0.25">
      <c r="B45" s="90" t="s">
        <v>20</v>
      </c>
      <c r="C45" s="80"/>
      <c r="D45" s="60">
        <f>IF( $E2 = "Eligible", D42 * 'Facility Detail'!$B$601, 0 )</f>
        <v>0</v>
      </c>
      <c r="E45" s="13">
        <f>IF( $E2 = "Eligible", E42 * 'Facility Detail'!$B$601, 0 )</f>
        <v>0</v>
      </c>
      <c r="F45" s="14">
        <f>IF( $E2 = "Eligible", F42 * 'Facility Detail'!$B$601, 0 )</f>
        <v>0</v>
      </c>
      <c r="G45" s="14">
        <f>IF( $E2 = "Eligible", G42 * 'Facility Detail'!$B$601, 0 )</f>
        <v>0</v>
      </c>
      <c r="H45" s="14">
        <f>IF( $E2 = "Eligible", H42 * 'Facility Detail'!$B$601, 0 )</f>
        <v>0</v>
      </c>
      <c r="I45" s="14">
        <f>IF( $E2 = "Eligible", I42 * 'Facility Detail'!$B$601, 0 )</f>
        <v>0</v>
      </c>
      <c r="J45" s="14">
        <f>IF( $E2 = "Eligible", J42 * 'Facility Detail'!$B$601, 0 )</f>
        <v>0</v>
      </c>
      <c r="K45" s="14">
        <v>0</v>
      </c>
      <c r="L45" s="14">
        <v>0</v>
      </c>
    </row>
    <row r="46" spans="1:13" x14ac:dyDescent="0.25">
      <c r="B46" s="90" t="s">
        <v>6</v>
      </c>
      <c r="C46" s="80"/>
      <c r="D46" s="61">
        <f t="shared" ref="D46:I46" si="7">IF( $F2 = "Eligible", D42, 0 )</f>
        <v>0</v>
      </c>
      <c r="E46" s="62">
        <f t="shared" si="7"/>
        <v>0</v>
      </c>
      <c r="F46" s="63">
        <f t="shared" si="7"/>
        <v>0</v>
      </c>
      <c r="G46" s="63">
        <f t="shared" si="7"/>
        <v>0</v>
      </c>
      <c r="H46" s="63">
        <f t="shared" si="7"/>
        <v>0</v>
      </c>
      <c r="I46" s="63">
        <f t="shared" si="7"/>
        <v>0</v>
      </c>
      <c r="J46" s="63">
        <f t="shared" ref="J46" si="8">IF( $F2 = "Eligible", J42, 0 )</f>
        <v>0</v>
      </c>
      <c r="K46" s="63">
        <v>0</v>
      </c>
      <c r="L46" s="63">
        <v>0</v>
      </c>
    </row>
    <row r="47" spans="1:13" x14ac:dyDescent="0.25">
      <c r="B47" s="89" t="s">
        <v>38</v>
      </c>
      <c r="C47" s="88"/>
      <c r="D47" s="46">
        <f t="shared" ref="D47:I47" si="9">SUM(D45:D46)</f>
        <v>0</v>
      </c>
      <c r="E47" s="47">
        <f t="shared" si="9"/>
        <v>0</v>
      </c>
      <c r="F47" s="47">
        <f t="shared" si="9"/>
        <v>0</v>
      </c>
      <c r="G47" s="47">
        <f t="shared" si="9"/>
        <v>0</v>
      </c>
      <c r="H47" s="47">
        <f t="shared" si="9"/>
        <v>0</v>
      </c>
      <c r="I47" s="47">
        <f t="shared" si="9"/>
        <v>0</v>
      </c>
      <c r="J47" s="47">
        <f t="shared" ref="J47:K47" si="10">SUM(J45:J46)</f>
        <v>0</v>
      </c>
      <c r="K47" s="47">
        <f t="shared" si="10"/>
        <v>0</v>
      </c>
      <c r="L47" s="47">
        <f t="shared" ref="L47" si="11">SUM(L45:L46)</f>
        <v>0</v>
      </c>
    </row>
    <row r="48" spans="1:13" x14ac:dyDescent="0.25">
      <c r="B48" s="36"/>
      <c r="C48" s="36"/>
      <c r="D48" s="45"/>
      <c r="E48" s="37"/>
      <c r="F48" s="37"/>
      <c r="G48" s="37"/>
      <c r="H48" s="37"/>
      <c r="I48" s="37"/>
      <c r="J48" s="37"/>
      <c r="K48" s="37"/>
      <c r="L48" s="37"/>
    </row>
    <row r="49" spans="1:12" ht="18.75" x14ac:dyDescent="0.3">
      <c r="A49" s="48" t="s">
        <v>36</v>
      </c>
      <c r="C49" s="36"/>
      <c r="D49" s="2">
        <f t="shared" ref="D49:I49" si="12">D38</f>
        <v>2013</v>
      </c>
      <c r="E49" s="2">
        <f t="shared" si="12"/>
        <v>2014</v>
      </c>
      <c r="F49" s="2">
        <f t="shared" si="12"/>
        <v>2015</v>
      </c>
      <c r="G49" s="2">
        <f t="shared" si="12"/>
        <v>2016</v>
      </c>
      <c r="H49" s="2">
        <f t="shared" si="12"/>
        <v>2017</v>
      </c>
      <c r="I49" s="2">
        <f t="shared" si="12"/>
        <v>2018</v>
      </c>
      <c r="J49" s="2">
        <f t="shared" ref="J49:K49" si="13">J38</f>
        <v>2019</v>
      </c>
      <c r="K49" s="2">
        <f t="shared" si="13"/>
        <v>2020</v>
      </c>
      <c r="L49" s="2">
        <f t="shared" ref="L49" si="14">L38</f>
        <v>2021</v>
      </c>
    </row>
    <row r="50" spans="1:12" x14ac:dyDescent="0.25">
      <c r="B50" s="90" t="s">
        <v>40</v>
      </c>
      <c r="C50" s="36"/>
      <c r="D50" s="98">
        <v>0</v>
      </c>
      <c r="E50" s="99">
        <v>0</v>
      </c>
      <c r="F50" s="100">
        <v>0</v>
      </c>
      <c r="G50" s="100">
        <v>0</v>
      </c>
      <c r="H50" s="100">
        <v>0</v>
      </c>
      <c r="I50" s="100">
        <v>0</v>
      </c>
      <c r="J50" s="100">
        <v>0</v>
      </c>
      <c r="K50" s="100">
        <v>0</v>
      </c>
      <c r="L50" s="100">
        <v>0</v>
      </c>
    </row>
    <row r="51" spans="1:12" x14ac:dyDescent="0.25">
      <c r="B51" s="91" t="s">
        <v>30</v>
      </c>
      <c r="C51" s="96"/>
      <c r="D51" s="101">
        <v>0</v>
      </c>
      <c r="E51" s="102">
        <v>0</v>
      </c>
      <c r="F51" s="103">
        <v>0</v>
      </c>
      <c r="G51" s="103">
        <v>0</v>
      </c>
      <c r="H51" s="103">
        <v>0</v>
      </c>
      <c r="I51" s="103">
        <v>0</v>
      </c>
      <c r="J51" s="103">
        <v>0</v>
      </c>
      <c r="K51" s="103">
        <v>0</v>
      </c>
      <c r="L51" s="103">
        <v>0</v>
      </c>
    </row>
    <row r="52" spans="1:12" x14ac:dyDescent="0.25">
      <c r="B52" s="104" t="s">
        <v>42</v>
      </c>
      <c r="C52" s="96"/>
      <c r="D52" s="67">
        <v>0</v>
      </c>
      <c r="E52" s="68">
        <v>0</v>
      </c>
      <c r="F52" s="69">
        <v>0</v>
      </c>
      <c r="G52" s="69">
        <v>0</v>
      </c>
      <c r="H52" s="69">
        <v>0</v>
      </c>
      <c r="I52" s="69">
        <v>0</v>
      </c>
      <c r="J52" s="69">
        <v>0</v>
      </c>
      <c r="K52" s="69">
        <v>0</v>
      </c>
      <c r="L52" s="69">
        <v>0</v>
      </c>
    </row>
    <row r="53" spans="1:12" x14ac:dyDescent="0.25">
      <c r="B53" s="39" t="s">
        <v>43</v>
      </c>
      <c r="D53" s="7">
        <f t="shared" ref="D53:I53" si="15">SUM(D50:D52)</f>
        <v>0</v>
      </c>
      <c r="E53" s="7">
        <f t="shared" si="15"/>
        <v>0</v>
      </c>
      <c r="F53" s="7">
        <f t="shared" si="15"/>
        <v>0</v>
      </c>
      <c r="G53" s="7">
        <f t="shared" si="15"/>
        <v>0</v>
      </c>
      <c r="H53" s="7">
        <f t="shared" si="15"/>
        <v>0</v>
      </c>
      <c r="I53" s="7">
        <f t="shared" si="15"/>
        <v>0</v>
      </c>
      <c r="J53" s="7">
        <f t="shared" ref="J53:K53" si="16">SUM(J50:J52)</f>
        <v>0</v>
      </c>
      <c r="K53" s="7">
        <f t="shared" si="16"/>
        <v>0</v>
      </c>
      <c r="L53" s="7">
        <f t="shared" ref="L53" si="17">SUM(L50:L52)</f>
        <v>0</v>
      </c>
    </row>
    <row r="54" spans="1:12" x14ac:dyDescent="0.25">
      <c r="B54" s="6"/>
      <c r="D54" s="7"/>
      <c r="E54" s="7"/>
      <c r="F54" s="7"/>
      <c r="G54" s="7"/>
      <c r="H54" s="7"/>
      <c r="I54" s="7"/>
      <c r="J54" s="7"/>
      <c r="K54" s="7"/>
      <c r="L54" s="7"/>
    </row>
    <row r="55" spans="1:12" ht="18.75" x14ac:dyDescent="0.3">
      <c r="A55" s="9" t="s">
        <v>44</v>
      </c>
      <c r="D55" s="2">
        <f>D38</f>
        <v>2013</v>
      </c>
      <c r="E55" s="2">
        <f t="shared" ref="E55:J55" si="18">D55+1</f>
        <v>2014</v>
      </c>
      <c r="F55" s="2">
        <f t="shared" si="18"/>
        <v>2015</v>
      </c>
      <c r="G55" s="2">
        <f t="shared" si="18"/>
        <v>2016</v>
      </c>
      <c r="H55" s="2">
        <f t="shared" si="18"/>
        <v>2017</v>
      </c>
      <c r="I55" s="2">
        <f t="shared" si="18"/>
        <v>2018</v>
      </c>
      <c r="J55" s="2">
        <f t="shared" si="18"/>
        <v>2019</v>
      </c>
      <c r="K55" s="2">
        <f>J55+1</f>
        <v>2020</v>
      </c>
      <c r="L55" s="2">
        <f>K55+1</f>
        <v>2021</v>
      </c>
    </row>
    <row r="56" spans="1:12" x14ac:dyDescent="0.25">
      <c r="B56" s="90" t="str">
        <f xml:space="preserve"> 'Facility Detail'!$B$756 &amp; " Surplus Applied to " &amp; ( 'Facility Detail'!$B$756 + 1 )</f>
        <v>2013 Surplus Applied to 2014</v>
      </c>
      <c r="C56" s="36"/>
      <c r="D56" s="3"/>
      <c r="E56" s="70">
        <f>D56</f>
        <v>0</v>
      </c>
      <c r="F56" s="143"/>
      <c r="G56" s="72"/>
      <c r="H56" s="72"/>
      <c r="I56" s="72"/>
      <c r="J56" s="72"/>
      <c r="K56" s="72"/>
      <c r="L56" s="72"/>
    </row>
    <row r="57" spans="1:12" x14ac:dyDescent="0.25">
      <c r="B57" s="90" t="str">
        <f xml:space="preserve"> ( 'Facility Detail'!$B$756 + 1 ) &amp; " Surplus Applied to " &amp; ( 'Facility Detail'!$B$756 )</f>
        <v>2014 Surplus Applied to 2013</v>
      </c>
      <c r="C57" s="36"/>
      <c r="D57" s="144">
        <f>E57</f>
        <v>0</v>
      </c>
      <c r="E57" s="10"/>
      <c r="F57" s="84"/>
      <c r="G57" s="83"/>
      <c r="H57" s="83"/>
      <c r="I57" s="83"/>
      <c r="J57" s="83"/>
      <c r="K57" s="83"/>
      <c r="L57" s="83"/>
    </row>
    <row r="58" spans="1:12" x14ac:dyDescent="0.25">
      <c r="B58" s="90" t="str">
        <f xml:space="preserve"> ( 'Facility Detail'!$B$756 + 1 ) &amp; " Surplus Applied to " &amp; ( 'Facility Detail'!$B$756 + 2 )</f>
        <v>2014 Surplus Applied to 2015</v>
      </c>
      <c r="C58" s="36"/>
      <c r="D58" s="73"/>
      <c r="E58" s="10"/>
      <c r="F58" s="79">
        <f>E58</f>
        <v>0</v>
      </c>
      <c r="G58" s="83"/>
      <c r="H58" s="83"/>
      <c r="I58" s="83"/>
      <c r="J58" s="83"/>
      <c r="K58" s="83"/>
      <c r="L58" s="83"/>
    </row>
    <row r="59" spans="1:12" x14ac:dyDescent="0.25">
      <c r="B59" s="90" t="str">
        <f xml:space="preserve"> ( 'Facility Detail'!$B$756 + 2 ) &amp; " Surplus Applied to " &amp; ( 'Facility Detail'!$B$756 + 1 )</f>
        <v>2015 Surplus Applied to 2014</v>
      </c>
      <c r="C59" s="36"/>
      <c r="D59" s="73"/>
      <c r="E59" s="79">
        <f>F59</f>
        <v>0</v>
      </c>
      <c r="F59" s="10"/>
      <c r="G59" s="83"/>
      <c r="H59" s="83"/>
      <c r="I59" s="83"/>
      <c r="J59" s="83"/>
      <c r="K59" s="83"/>
      <c r="L59" s="83"/>
    </row>
    <row r="60" spans="1:12" x14ac:dyDescent="0.25">
      <c r="B60" s="90" t="str">
        <f xml:space="preserve"> ( 'Facility Detail'!$B$756 + 2 ) &amp; " Surplus Applied to " &amp; ( 'Facility Detail'!$B$756 + 3 )</f>
        <v>2015 Surplus Applied to 2016</v>
      </c>
      <c r="C60" s="36"/>
      <c r="D60" s="73"/>
      <c r="E60" s="84"/>
      <c r="F60" s="10"/>
      <c r="G60" s="145">
        <f>F60</f>
        <v>0</v>
      </c>
      <c r="H60" s="145">
        <f>G60</f>
        <v>0</v>
      </c>
      <c r="I60" s="145">
        <f>H60</f>
        <v>0</v>
      </c>
      <c r="J60" s="145">
        <f>I60</f>
        <v>0</v>
      </c>
      <c r="K60" s="145"/>
      <c r="L60" s="145"/>
    </row>
    <row r="61" spans="1:12" x14ac:dyDescent="0.25">
      <c r="B61" s="90" t="str">
        <f xml:space="preserve"> ( 'Facility Detail'!$B$756 +3 ) &amp; " Surplus Applied to " &amp; ( 'Facility Detail'!$B$756 + 2 )</f>
        <v>2016 Surplus Applied to 2015</v>
      </c>
      <c r="C61" s="36"/>
      <c r="D61" s="74"/>
      <c r="E61" s="85"/>
      <c r="F61" s="71">
        <f>G61</f>
        <v>0</v>
      </c>
      <c r="G61" s="146"/>
      <c r="H61" s="146"/>
      <c r="I61" s="146"/>
      <c r="J61" s="146"/>
      <c r="K61" s="146"/>
      <c r="L61" s="146"/>
    </row>
    <row r="62" spans="1:12" x14ac:dyDescent="0.25">
      <c r="B62" s="90" t="str">
        <f xml:space="preserve"> ( 'Facility Detail'!$B$756 +3 ) &amp; " Surplus Applied to " &amp; ( 'Facility Detail'!$B$756 + 4 )</f>
        <v>2016 Surplus Applied to 2017</v>
      </c>
      <c r="C62" s="36"/>
      <c r="D62" s="149"/>
      <c r="E62" s="149"/>
      <c r="F62" s="23"/>
      <c r="G62" s="150"/>
      <c r="H62" s="150"/>
      <c r="I62" s="150"/>
      <c r="J62" s="150"/>
      <c r="K62" s="150"/>
      <c r="L62" s="150"/>
    </row>
    <row r="63" spans="1:12" x14ac:dyDescent="0.25">
      <c r="B63" s="90"/>
      <c r="C63" s="36"/>
      <c r="D63" s="149"/>
      <c r="E63" s="149"/>
      <c r="F63" s="23"/>
      <c r="G63" s="150"/>
      <c r="H63" s="150"/>
      <c r="I63" s="150"/>
      <c r="J63" s="150"/>
      <c r="K63" s="150"/>
      <c r="L63" s="150"/>
    </row>
    <row r="64" spans="1:12" x14ac:dyDescent="0.25">
      <c r="B64" s="39" t="s">
        <v>26</v>
      </c>
      <c r="D64" s="7">
        <f xml:space="preserve"> D57 - D56</f>
        <v>0</v>
      </c>
      <c r="E64" s="7">
        <f xml:space="preserve"> E56 + E59 - E58 - E57</f>
        <v>0</v>
      </c>
      <c r="F64" s="7">
        <f>F58+F61-F59-F60</f>
        <v>0</v>
      </c>
      <c r="G64" s="7">
        <f t="shared" ref="G64:L64" si="19">G60-G61</f>
        <v>0</v>
      </c>
      <c r="H64" s="7">
        <f t="shared" si="19"/>
        <v>0</v>
      </c>
      <c r="I64" s="7">
        <f t="shared" si="19"/>
        <v>0</v>
      </c>
      <c r="J64" s="7">
        <f t="shared" si="19"/>
        <v>0</v>
      </c>
      <c r="K64" s="7">
        <f t="shared" si="19"/>
        <v>0</v>
      </c>
      <c r="L64" s="7">
        <f t="shared" si="19"/>
        <v>0</v>
      </c>
    </row>
    <row r="65" spans="1:12" x14ac:dyDescent="0.25">
      <c r="B65" s="6"/>
      <c r="D65" s="7"/>
      <c r="E65" s="7"/>
      <c r="F65" s="7"/>
      <c r="G65" s="7"/>
      <c r="H65" s="7"/>
      <c r="I65" s="7"/>
      <c r="J65" s="7"/>
      <c r="K65" s="7"/>
      <c r="L65" s="7"/>
    </row>
    <row r="66" spans="1:12" x14ac:dyDescent="0.25">
      <c r="B66" s="97" t="s">
        <v>22</v>
      </c>
      <c r="C66" s="80"/>
      <c r="D66" s="111"/>
      <c r="E66" s="112"/>
      <c r="F66" s="113"/>
      <c r="G66" s="113"/>
      <c r="H66" s="113"/>
      <c r="I66" s="113"/>
      <c r="J66" s="113"/>
      <c r="K66" s="113"/>
      <c r="L66" s="113"/>
    </row>
    <row r="67" spans="1:12" x14ac:dyDescent="0.25">
      <c r="B67" s="6"/>
      <c r="D67" s="7"/>
      <c r="E67" s="7"/>
      <c r="F67" s="7"/>
      <c r="G67" s="7"/>
      <c r="H67" s="7"/>
      <c r="I67" s="7"/>
      <c r="J67" s="7"/>
      <c r="K67" s="7"/>
      <c r="L67" s="7"/>
    </row>
    <row r="68" spans="1:12" ht="15.75" x14ac:dyDescent="0.25">
      <c r="A68" s="93" t="s">
        <v>34</v>
      </c>
      <c r="C68" s="80"/>
      <c r="D68" s="52">
        <f t="shared" ref="D68:I68" si="20" xml:space="preserve"> D42 + D47 - D53 + D64 + D66</f>
        <v>14197</v>
      </c>
      <c r="E68" s="53">
        <f t="shared" si="20"/>
        <v>14197</v>
      </c>
      <c r="F68" s="54">
        <f t="shared" si="20"/>
        <v>14197</v>
      </c>
      <c r="G68" s="54">
        <f t="shared" si="20"/>
        <v>14197</v>
      </c>
      <c r="H68" s="54">
        <f t="shared" si="20"/>
        <v>14197</v>
      </c>
      <c r="I68" s="54">
        <f t="shared" si="20"/>
        <v>14197</v>
      </c>
      <c r="J68" s="54">
        <f t="shared" ref="J68:K68" si="21" xml:space="preserve"> J42 + J47 - J53 + J64 + J66</f>
        <v>7241</v>
      </c>
      <c r="K68" s="54">
        <f t="shared" si="21"/>
        <v>11669</v>
      </c>
      <c r="L68" s="54">
        <f t="shared" ref="L68" si="22" xml:space="preserve"> L42 + L47 - L53 + L64 + L66</f>
        <v>11669</v>
      </c>
    </row>
    <row r="69" spans="1:12" x14ac:dyDescent="0.25">
      <c r="B69" s="6"/>
      <c r="D69" s="7"/>
      <c r="E69" s="7"/>
      <c r="F69" s="7"/>
      <c r="G69" s="34"/>
      <c r="H69" s="34"/>
      <c r="I69" s="34"/>
      <c r="J69" s="34"/>
      <c r="K69" s="34"/>
      <c r="L69" s="34"/>
    </row>
    <row r="70" spans="1:12" ht="15.75" thickBot="1" x14ac:dyDescent="0.3"/>
    <row r="71" spans="1:12" x14ac:dyDescent="0.25">
      <c r="A71" s="8"/>
      <c r="B71" s="8"/>
      <c r="C71" s="8"/>
      <c r="D71" s="8"/>
      <c r="E71" s="8"/>
      <c r="F71" s="8"/>
      <c r="G71" s="8"/>
      <c r="H71" s="8"/>
      <c r="I71" s="8"/>
      <c r="J71" s="8"/>
      <c r="K71" s="8"/>
      <c r="L71" s="8"/>
    </row>
    <row r="72" spans="1:12" x14ac:dyDescent="0.25">
      <c r="B72" s="36"/>
      <c r="C72" s="36"/>
      <c r="D72" s="36"/>
      <c r="E72" s="36"/>
      <c r="F72" s="36"/>
      <c r="G72" s="36"/>
      <c r="H72" s="36"/>
      <c r="I72" s="36"/>
      <c r="J72" s="36"/>
      <c r="K72" s="36"/>
      <c r="L72" s="36"/>
    </row>
    <row r="73" spans="1:12" ht="21" x14ac:dyDescent="0.35">
      <c r="A73" s="16" t="s">
        <v>4</v>
      </c>
      <c r="B73" s="16"/>
      <c r="C73" s="49" t="str">
        <f>B3</f>
        <v>Little Falls #4</v>
      </c>
      <c r="D73" s="50"/>
      <c r="E73" s="22"/>
      <c r="F73" s="22"/>
    </row>
    <row r="75" spans="1:12" ht="18.75" x14ac:dyDescent="0.3">
      <c r="A75" s="9" t="s">
        <v>28</v>
      </c>
      <c r="B75" s="9"/>
      <c r="D75" s="2">
        <v>2013</v>
      </c>
      <c r="E75" s="2">
        <f t="shared" ref="E75:J75" si="23">D75+1</f>
        <v>2014</v>
      </c>
      <c r="F75" s="2">
        <f t="shared" si="23"/>
        <v>2015</v>
      </c>
      <c r="G75" s="2">
        <f t="shared" si="23"/>
        <v>2016</v>
      </c>
      <c r="H75" s="2">
        <f t="shared" si="23"/>
        <v>2017</v>
      </c>
      <c r="I75" s="2">
        <f t="shared" si="23"/>
        <v>2018</v>
      </c>
      <c r="J75" s="2">
        <f t="shared" si="23"/>
        <v>2019</v>
      </c>
      <c r="K75" s="2">
        <f>J75+1</f>
        <v>2020</v>
      </c>
      <c r="L75" s="2">
        <f>K75+1</f>
        <v>2021</v>
      </c>
    </row>
    <row r="76" spans="1:12" x14ac:dyDescent="0.25">
      <c r="B76" s="90" t="str">
        <f>"Total MWh Produced / Purchased from " &amp; C73</f>
        <v>Total MWh Produced / Purchased from Little Falls #4</v>
      </c>
      <c r="C76" s="80"/>
      <c r="D76" s="3">
        <v>4862</v>
      </c>
      <c r="E76" s="3">
        <v>4862</v>
      </c>
      <c r="F76" s="3">
        <v>4862</v>
      </c>
      <c r="G76" s="3">
        <v>4862</v>
      </c>
      <c r="H76" s="3">
        <v>4862</v>
      </c>
      <c r="I76" s="3">
        <v>4862</v>
      </c>
      <c r="J76" s="3">
        <v>0</v>
      </c>
      <c r="K76" s="3">
        <v>930</v>
      </c>
      <c r="L76" s="3">
        <v>930</v>
      </c>
    </row>
    <row r="77" spans="1:12" x14ac:dyDescent="0.25">
      <c r="B77" s="90" t="s">
        <v>33</v>
      </c>
      <c r="C77" s="80"/>
      <c r="D77" s="64">
        <v>1</v>
      </c>
      <c r="E77" s="65">
        <v>1</v>
      </c>
      <c r="F77" s="66">
        <v>1</v>
      </c>
      <c r="G77" s="66">
        <v>1</v>
      </c>
      <c r="H77" s="66">
        <v>1</v>
      </c>
      <c r="I77" s="66">
        <v>1</v>
      </c>
      <c r="J77" s="66">
        <v>1</v>
      </c>
      <c r="K77" s="66">
        <v>1</v>
      </c>
      <c r="L77" s="66">
        <v>1</v>
      </c>
    </row>
    <row r="78" spans="1:12" x14ac:dyDescent="0.25">
      <c r="B78" s="90" t="s">
        <v>27</v>
      </c>
      <c r="C78" s="80"/>
      <c r="D78" s="57">
        <v>1</v>
      </c>
      <c r="E78" s="58">
        <v>1</v>
      </c>
      <c r="F78" s="59">
        <v>1</v>
      </c>
      <c r="G78" s="59">
        <v>1</v>
      </c>
      <c r="H78" s="59">
        <v>1</v>
      </c>
      <c r="I78" s="59">
        <v>1</v>
      </c>
      <c r="J78" s="59">
        <v>1</v>
      </c>
      <c r="K78" s="59">
        <v>1</v>
      </c>
      <c r="L78" s="59">
        <v>1</v>
      </c>
    </row>
    <row r="79" spans="1:12" x14ac:dyDescent="0.25">
      <c r="B79" s="87" t="s">
        <v>29</v>
      </c>
      <c r="C79" s="88"/>
      <c r="D79" s="44">
        <f t="shared" ref="D79:I79" si="24" xml:space="preserve"> D76 * D77 * D78</f>
        <v>4862</v>
      </c>
      <c r="E79" s="44">
        <f t="shared" si="24"/>
        <v>4862</v>
      </c>
      <c r="F79" s="44">
        <f t="shared" si="24"/>
        <v>4862</v>
      </c>
      <c r="G79" s="44">
        <f t="shared" si="24"/>
        <v>4862</v>
      </c>
      <c r="H79" s="44">
        <f t="shared" si="24"/>
        <v>4862</v>
      </c>
      <c r="I79" s="44">
        <f t="shared" si="24"/>
        <v>4862</v>
      </c>
      <c r="J79" s="44">
        <f t="shared" ref="J79:K79" si="25" xml:space="preserve"> J76 * J77 * J78</f>
        <v>0</v>
      </c>
      <c r="K79" s="44">
        <f t="shared" si="25"/>
        <v>930</v>
      </c>
      <c r="L79" s="44">
        <f t="shared" ref="L79" si="26" xml:space="preserve"> L76 * L77 * L78</f>
        <v>930</v>
      </c>
    </row>
    <row r="80" spans="1:12" x14ac:dyDescent="0.25">
      <c r="B80" s="22"/>
      <c r="C80" s="36"/>
      <c r="D80" s="43"/>
      <c r="E80" s="43"/>
      <c r="F80" s="43"/>
      <c r="G80" s="43"/>
      <c r="H80" s="43"/>
      <c r="I80" s="43"/>
      <c r="J80" s="43"/>
      <c r="K80" s="43"/>
      <c r="L80" s="43"/>
    </row>
    <row r="81" spans="1:12" ht="18.75" x14ac:dyDescent="0.3">
      <c r="A81" s="51" t="s">
        <v>31</v>
      </c>
      <c r="C81" s="36"/>
      <c r="D81" s="2">
        <f>D75</f>
        <v>2013</v>
      </c>
      <c r="E81" s="2">
        <f t="shared" ref="E81:J81" si="27">D81+1</f>
        <v>2014</v>
      </c>
      <c r="F81" s="2">
        <f t="shared" si="27"/>
        <v>2015</v>
      </c>
      <c r="G81" s="2">
        <f t="shared" si="27"/>
        <v>2016</v>
      </c>
      <c r="H81" s="2">
        <f t="shared" si="27"/>
        <v>2017</v>
      </c>
      <c r="I81" s="2">
        <f t="shared" si="27"/>
        <v>2018</v>
      </c>
      <c r="J81" s="2">
        <f t="shared" si="27"/>
        <v>2019</v>
      </c>
      <c r="K81" s="2">
        <f>J81+1</f>
        <v>2020</v>
      </c>
      <c r="L81" s="2">
        <f>K81+1</f>
        <v>2021</v>
      </c>
    </row>
    <row r="82" spans="1:12" x14ac:dyDescent="0.25">
      <c r="B82" s="90" t="s">
        <v>20</v>
      </c>
      <c r="C82" s="80"/>
      <c r="D82" s="60">
        <f>IF( $E3 = "Eligible",D79 * 'Facility Detail'!$B$601, 0 )</f>
        <v>0</v>
      </c>
      <c r="E82" s="13">
        <f>IF( $E3 = "Eligible",E79 * 'Facility Detail'!$B$601, 0 )</f>
        <v>0</v>
      </c>
      <c r="F82" s="14">
        <f>IF( $E3 = "Eligible",F79 * 'Facility Detail'!$B$601, 0 )</f>
        <v>0</v>
      </c>
      <c r="G82" s="14">
        <f>IF( $E3 = "Eligible",G79 * 'Facility Detail'!$B$601, 0 )</f>
        <v>0</v>
      </c>
      <c r="H82" s="14">
        <f>IF( $E3 = "Eligible",H79 * 'Facility Detail'!$B$601, 0 )</f>
        <v>0</v>
      </c>
      <c r="I82" s="14">
        <f>IF( $E3 = "Eligible",I79 * 'Facility Detail'!$B$601, 0 )</f>
        <v>0</v>
      </c>
      <c r="J82" s="14">
        <f>IF( $E3 = "Eligible",J79 * 'Facility Detail'!$B$601, 0 )</f>
        <v>0</v>
      </c>
      <c r="K82" s="14">
        <f>IF( $E3 = "Eligible",K79 * 'Facility Detail'!$B$601, 0 )</f>
        <v>0</v>
      </c>
      <c r="L82" s="14">
        <f>IF( $E3 = "Eligible",L79 * 'Facility Detail'!$B$601, 0 )</f>
        <v>0</v>
      </c>
    </row>
    <row r="83" spans="1:12" x14ac:dyDescent="0.25">
      <c r="B83" s="90" t="s">
        <v>6</v>
      </c>
      <c r="C83" s="80"/>
      <c r="D83" s="61">
        <f t="shared" ref="D83:I83" si="28">IF( $F3 = "Eligible", D79, 0 )</f>
        <v>0</v>
      </c>
      <c r="E83" s="62">
        <f t="shared" si="28"/>
        <v>0</v>
      </c>
      <c r="F83" s="63">
        <f t="shared" si="28"/>
        <v>0</v>
      </c>
      <c r="G83" s="63">
        <f t="shared" si="28"/>
        <v>0</v>
      </c>
      <c r="H83" s="63">
        <f t="shared" si="28"/>
        <v>0</v>
      </c>
      <c r="I83" s="63">
        <f t="shared" si="28"/>
        <v>0</v>
      </c>
      <c r="J83" s="63">
        <f t="shared" ref="J83:K83" si="29">IF( $F3 = "Eligible", J79, 0 )</f>
        <v>0</v>
      </c>
      <c r="K83" s="63">
        <f t="shared" si="29"/>
        <v>0</v>
      </c>
      <c r="L83" s="63">
        <f t="shared" ref="L83" si="30">IF( $F3 = "Eligible", L79, 0 )</f>
        <v>0</v>
      </c>
    </row>
    <row r="84" spans="1:12" x14ac:dyDescent="0.25">
      <c r="B84" s="89" t="s">
        <v>38</v>
      </c>
      <c r="C84" s="88"/>
      <c r="D84" s="46">
        <f t="shared" ref="D84:I84" si="31">SUM(D82:D83)</f>
        <v>0</v>
      </c>
      <c r="E84" s="47">
        <f t="shared" si="31"/>
        <v>0</v>
      </c>
      <c r="F84" s="47">
        <f t="shared" si="31"/>
        <v>0</v>
      </c>
      <c r="G84" s="47">
        <f t="shared" si="31"/>
        <v>0</v>
      </c>
      <c r="H84" s="47">
        <f t="shared" si="31"/>
        <v>0</v>
      </c>
      <c r="I84" s="47">
        <f t="shared" si="31"/>
        <v>0</v>
      </c>
      <c r="J84" s="47">
        <f t="shared" ref="J84:K84" si="32">SUM(J82:J83)</f>
        <v>0</v>
      </c>
      <c r="K84" s="47">
        <f t="shared" si="32"/>
        <v>0</v>
      </c>
      <c r="L84" s="47">
        <f t="shared" ref="L84" si="33">SUM(L82:L83)</f>
        <v>0</v>
      </c>
    </row>
    <row r="85" spans="1:12" x14ac:dyDescent="0.25">
      <c r="B85" s="36"/>
      <c r="C85" s="36"/>
      <c r="D85" s="45"/>
      <c r="E85" s="37"/>
      <c r="F85" s="37"/>
      <c r="G85" s="37"/>
      <c r="H85" s="37"/>
      <c r="I85" s="37"/>
      <c r="J85" s="37"/>
      <c r="K85" s="37"/>
      <c r="L85" s="37"/>
    </row>
    <row r="86" spans="1:12" ht="18.75" x14ac:dyDescent="0.3">
      <c r="A86" s="48" t="s">
        <v>36</v>
      </c>
      <c r="C86" s="36"/>
      <c r="D86" s="2">
        <f>D75</f>
        <v>2013</v>
      </c>
      <c r="E86" s="2">
        <f t="shared" ref="E86:J86" si="34">D86+1</f>
        <v>2014</v>
      </c>
      <c r="F86" s="2">
        <f t="shared" si="34"/>
        <v>2015</v>
      </c>
      <c r="G86" s="2">
        <f t="shared" si="34"/>
        <v>2016</v>
      </c>
      <c r="H86" s="2">
        <f t="shared" si="34"/>
        <v>2017</v>
      </c>
      <c r="I86" s="2">
        <f t="shared" si="34"/>
        <v>2018</v>
      </c>
      <c r="J86" s="2">
        <f t="shared" si="34"/>
        <v>2019</v>
      </c>
      <c r="K86" s="2">
        <f>J86+1</f>
        <v>2020</v>
      </c>
      <c r="L86" s="2">
        <f>K86+1</f>
        <v>2021</v>
      </c>
    </row>
    <row r="87" spans="1:12" x14ac:dyDescent="0.25">
      <c r="B87" s="90" t="s">
        <v>40</v>
      </c>
      <c r="C87" s="80"/>
      <c r="D87" s="98">
        <v>0</v>
      </c>
      <c r="E87" s="99">
        <v>0</v>
      </c>
      <c r="F87" s="100">
        <v>0</v>
      </c>
      <c r="G87" s="100">
        <v>0</v>
      </c>
      <c r="H87" s="100">
        <v>0</v>
      </c>
      <c r="I87" s="100">
        <v>0</v>
      </c>
      <c r="J87" s="100">
        <v>0</v>
      </c>
      <c r="K87" s="100">
        <v>0</v>
      </c>
      <c r="L87" s="100">
        <v>0</v>
      </c>
    </row>
    <row r="88" spans="1:12" x14ac:dyDescent="0.25">
      <c r="B88" s="91" t="s">
        <v>30</v>
      </c>
      <c r="C88" s="92"/>
      <c r="D88" s="101">
        <v>0</v>
      </c>
      <c r="E88" s="102">
        <v>0</v>
      </c>
      <c r="F88" s="103">
        <v>0</v>
      </c>
      <c r="G88" s="103">
        <v>0</v>
      </c>
      <c r="H88" s="103">
        <v>0</v>
      </c>
      <c r="I88" s="103">
        <v>0</v>
      </c>
      <c r="J88" s="103">
        <v>0</v>
      </c>
      <c r="K88" s="103">
        <v>0</v>
      </c>
      <c r="L88" s="103">
        <v>0</v>
      </c>
    </row>
    <row r="89" spans="1:12" x14ac:dyDescent="0.25">
      <c r="B89" s="104" t="s">
        <v>42</v>
      </c>
      <c r="C89" s="96"/>
      <c r="D89" s="67">
        <v>0</v>
      </c>
      <c r="E89" s="68">
        <v>0</v>
      </c>
      <c r="F89" s="69">
        <v>0</v>
      </c>
      <c r="G89" s="69">
        <v>0</v>
      </c>
      <c r="H89" s="69">
        <v>0</v>
      </c>
      <c r="I89" s="69">
        <v>0</v>
      </c>
      <c r="J89" s="69">
        <v>0</v>
      </c>
      <c r="K89" s="69">
        <v>0</v>
      </c>
      <c r="L89" s="69">
        <v>0</v>
      </c>
    </row>
    <row r="90" spans="1:12" x14ac:dyDescent="0.25">
      <c r="B90" s="39" t="s">
        <v>43</v>
      </c>
      <c r="D90" s="7">
        <f t="shared" ref="D90:I90" si="35">SUM(D87:D89)</f>
        <v>0</v>
      </c>
      <c r="E90" s="7">
        <f t="shared" si="35"/>
        <v>0</v>
      </c>
      <c r="F90" s="7">
        <f t="shared" si="35"/>
        <v>0</v>
      </c>
      <c r="G90" s="7">
        <f t="shared" si="35"/>
        <v>0</v>
      </c>
      <c r="H90" s="7">
        <f t="shared" si="35"/>
        <v>0</v>
      </c>
      <c r="I90" s="7">
        <f t="shared" si="35"/>
        <v>0</v>
      </c>
      <c r="J90" s="7">
        <f t="shared" ref="J90:K90" si="36">SUM(J87:J89)</f>
        <v>0</v>
      </c>
      <c r="K90" s="7">
        <f t="shared" si="36"/>
        <v>0</v>
      </c>
      <c r="L90" s="7">
        <f t="shared" ref="L90" si="37">SUM(L87:L89)</f>
        <v>0</v>
      </c>
    </row>
    <row r="91" spans="1:12" x14ac:dyDescent="0.25">
      <c r="B91" s="6"/>
      <c r="D91" s="7"/>
      <c r="E91" s="7"/>
      <c r="F91" s="7"/>
      <c r="G91" s="7"/>
      <c r="H91" s="7"/>
      <c r="I91" s="7"/>
      <c r="J91" s="7"/>
      <c r="K91" s="7"/>
      <c r="L91" s="7"/>
    </row>
    <row r="92" spans="1:12" ht="18.75" x14ac:dyDescent="0.3">
      <c r="A92" s="9" t="s">
        <v>44</v>
      </c>
      <c r="D92" s="2">
        <f>D75</f>
        <v>2013</v>
      </c>
      <c r="E92" s="2">
        <f t="shared" ref="E92:J92" si="38">D92+1</f>
        <v>2014</v>
      </c>
      <c r="F92" s="2">
        <f t="shared" si="38"/>
        <v>2015</v>
      </c>
      <c r="G92" s="2">
        <f t="shared" si="38"/>
        <v>2016</v>
      </c>
      <c r="H92" s="2">
        <f t="shared" si="38"/>
        <v>2017</v>
      </c>
      <c r="I92" s="2">
        <f t="shared" si="38"/>
        <v>2018</v>
      </c>
      <c r="J92" s="2">
        <f t="shared" si="38"/>
        <v>2019</v>
      </c>
      <c r="K92" s="2">
        <f>J92+1</f>
        <v>2020</v>
      </c>
      <c r="L92" s="2">
        <f>K92+1</f>
        <v>2021</v>
      </c>
    </row>
    <row r="93" spans="1:12" x14ac:dyDescent="0.25">
      <c r="B93" s="90" t="str">
        <f xml:space="preserve"> 'Facility Detail'!$B$756 &amp; " Surplus Applied to " &amp; ( 'Facility Detail'!$B$756 + 1 )</f>
        <v>2013 Surplus Applied to 2014</v>
      </c>
      <c r="C93" s="36"/>
      <c r="D93" s="3"/>
      <c r="E93" s="70">
        <f>D93</f>
        <v>0</v>
      </c>
      <c r="F93" s="143"/>
      <c r="G93" s="72"/>
      <c r="H93" s="72"/>
      <c r="I93" s="72"/>
      <c r="J93" s="72"/>
      <c r="K93" s="72"/>
      <c r="L93" s="72"/>
    </row>
    <row r="94" spans="1:12" x14ac:dyDescent="0.25">
      <c r="B94" s="90" t="str">
        <f xml:space="preserve"> ( 'Facility Detail'!$B$756 + 1 ) &amp; " Surplus Applied to " &amp; ( 'Facility Detail'!$B$756 )</f>
        <v>2014 Surplus Applied to 2013</v>
      </c>
      <c r="C94" s="36"/>
      <c r="D94" s="144">
        <f>E94</f>
        <v>0</v>
      </c>
      <c r="E94" s="10"/>
      <c r="F94" s="84"/>
      <c r="G94" s="83"/>
      <c r="H94" s="83"/>
      <c r="I94" s="83"/>
      <c r="J94" s="83"/>
      <c r="K94" s="83"/>
      <c r="L94" s="83"/>
    </row>
    <row r="95" spans="1:12" x14ac:dyDescent="0.25">
      <c r="B95" s="90" t="str">
        <f xml:space="preserve"> ( 'Facility Detail'!$B$756 + 1 ) &amp; " Surplus Applied to " &amp; ( 'Facility Detail'!$B$756 + 2 )</f>
        <v>2014 Surplus Applied to 2015</v>
      </c>
      <c r="C95" s="36"/>
      <c r="D95" s="73"/>
      <c r="E95" s="10"/>
      <c r="F95" s="79">
        <f>E95</f>
        <v>0</v>
      </c>
      <c r="G95" s="83"/>
      <c r="H95" s="83"/>
      <c r="I95" s="83"/>
      <c r="J95" s="83"/>
      <c r="K95" s="83"/>
      <c r="L95" s="83"/>
    </row>
    <row r="96" spans="1:12" x14ac:dyDescent="0.25">
      <c r="B96" s="90" t="str">
        <f xml:space="preserve"> ( 'Facility Detail'!$B$756 + 2 ) &amp; " Surplus Applied to " &amp; ( 'Facility Detail'!$B$756 + 1 )</f>
        <v>2015 Surplus Applied to 2014</v>
      </c>
      <c r="C96" s="36"/>
      <c r="D96" s="73"/>
      <c r="E96" s="79">
        <f>F96</f>
        <v>0</v>
      </c>
      <c r="F96" s="10"/>
      <c r="G96" s="83"/>
      <c r="H96" s="83"/>
      <c r="I96" s="83"/>
      <c r="J96" s="83"/>
      <c r="K96" s="83"/>
      <c r="L96" s="83"/>
    </row>
    <row r="97" spans="1:12" x14ac:dyDescent="0.25">
      <c r="B97" s="90" t="str">
        <f xml:space="preserve"> ( 'Facility Detail'!$B$756 + 2 ) &amp; " Surplus Applied to " &amp; ( 'Facility Detail'!$B$756 + 3 )</f>
        <v>2015 Surplus Applied to 2016</v>
      </c>
      <c r="C97" s="36"/>
      <c r="D97" s="73"/>
      <c r="E97" s="84"/>
      <c r="F97" s="10"/>
      <c r="G97" s="145">
        <f>F97</f>
        <v>0</v>
      </c>
      <c r="H97" s="145">
        <f>G97</f>
        <v>0</v>
      </c>
      <c r="I97" s="145">
        <f>H97</f>
        <v>0</v>
      </c>
      <c r="J97" s="145">
        <f>I97</f>
        <v>0</v>
      </c>
      <c r="K97" s="145"/>
      <c r="L97" s="145"/>
    </row>
    <row r="98" spans="1:12" x14ac:dyDescent="0.25">
      <c r="B98" s="90" t="str">
        <f xml:space="preserve"> ( 'Facility Detail'!$B$756 +3 ) &amp; " Surplus Applied to " &amp; ( 'Facility Detail'!$B$756 + 2 )</f>
        <v>2016 Surplus Applied to 2015</v>
      </c>
      <c r="C98" s="36"/>
      <c r="D98" s="74"/>
      <c r="E98" s="85"/>
      <c r="F98" s="71">
        <f>G98</f>
        <v>0</v>
      </c>
      <c r="G98" s="146"/>
      <c r="H98" s="146"/>
      <c r="I98" s="146"/>
      <c r="J98" s="146"/>
      <c r="K98" s="146"/>
      <c r="L98" s="146"/>
    </row>
    <row r="99" spans="1:12" x14ac:dyDescent="0.25">
      <c r="B99" s="90" t="str">
        <f xml:space="preserve"> ( 'Facility Detail'!$B$756 +3 ) &amp; " Surplus Applied to " &amp; ( 'Facility Detail'!$B$756 + 4 )</f>
        <v>2016 Surplus Applied to 2017</v>
      </c>
      <c r="C99" s="36"/>
      <c r="D99" s="149"/>
      <c r="E99" s="149"/>
      <c r="F99" s="23"/>
      <c r="G99" s="150"/>
      <c r="H99" s="150"/>
      <c r="I99" s="150"/>
      <c r="J99" s="150"/>
      <c r="K99" s="150"/>
      <c r="L99" s="150"/>
    </row>
    <row r="100" spans="1:12" x14ac:dyDescent="0.25">
      <c r="B100" s="39" t="s">
        <v>26</v>
      </c>
      <c r="D100" s="7">
        <f xml:space="preserve"> D94 - D93</f>
        <v>0</v>
      </c>
      <c r="E100" s="7">
        <f xml:space="preserve"> E93 + E96 - E95 - E94</f>
        <v>0</v>
      </c>
      <c r="F100" s="7">
        <f>F95+F98-F96-F97</f>
        <v>0</v>
      </c>
      <c r="G100" s="7">
        <f t="shared" ref="G100:L100" si="39">G97-G98</f>
        <v>0</v>
      </c>
      <c r="H100" s="7">
        <f t="shared" si="39"/>
        <v>0</v>
      </c>
      <c r="I100" s="7">
        <f t="shared" si="39"/>
        <v>0</v>
      </c>
      <c r="J100" s="7">
        <f t="shared" si="39"/>
        <v>0</v>
      </c>
      <c r="K100" s="7">
        <f t="shared" si="39"/>
        <v>0</v>
      </c>
      <c r="L100" s="7">
        <f t="shared" si="39"/>
        <v>0</v>
      </c>
    </row>
    <row r="101" spans="1:12" x14ac:dyDescent="0.25">
      <c r="B101" s="6"/>
      <c r="D101" s="7"/>
      <c r="E101" s="7"/>
      <c r="F101" s="7"/>
      <c r="G101" s="7"/>
      <c r="H101" s="7"/>
      <c r="I101" s="7"/>
      <c r="J101" s="7"/>
      <c r="K101" s="7"/>
      <c r="L101" s="7"/>
    </row>
    <row r="102" spans="1:12" x14ac:dyDescent="0.25">
      <c r="B102" s="97" t="s">
        <v>22</v>
      </c>
      <c r="C102" s="80"/>
      <c r="D102" s="111"/>
      <c r="E102" s="112"/>
      <c r="F102" s="113"/>
      <c r="G102" s="113"/>
      <c r="H102" s="113"/>
      <c r="I102" s="113"/>
      <c r="J102" s="113"/>
      <c r="K102" s="113"/>
      <c r="L102" s="113"/>
    </row>
    <row r="103" spans="1:12" x14ac:dyDescent="0.25">
      <c r="B103" s="6"/>
      <c r="D103" s="7"/>
      <c r="E103" s="7"/>
      <c r="F103" s="7"/>
      <c r="G103" s="7"/>
      <c r="H103" s="7"/>
      <c r="I103" s="7"/>
      <c r="J103" s="7"/>
      <c r="K103" s="7"/>
      <c r="L103" s="7"/>
    </row>
    <row r="104" spans="1:12" ht="15.75" x14ac:dyDescent="0.25">
      <c r="A104" s="93" t="s">
        <v>34</v>
      </c>
      <c r="C104" s="80"/>
      <c r="D104" s="52">
        <f t="shared" ref="D104:I104" si="40" xml:space="preserve"> D79 + D84 - D90 + D100 + D102</f>
        <v>4862</v>
      </c>
      <c r="E104" s="53">
        <f t="shared" si="40"/>
        <v>4862</v>
      </c>
      <c r="F104" s="54">
        <f t="shared" si="40"/>
        <v>4862</v>
      </c>
      <c r="G104" s="54">
        <f t="shared" si="40"/>
        <v>4862</v>
      </c>
      <c r="H104" s="54">
        <f t="shared" si="40"/>
        <v>4862</v>
      </c>
      <c r="I104" s="54">
        <f t="shared" si="40"/>
        <v>4862</v>
      </c>
      <c r="J104" s="54">
        <f t="shared" ref="J104:K104" si="41" xml:space="preserve"> J79 + J84 - J90 + J100 + J102</f>
        <v>0</v>
      </c>
      <c r="K104" s="54">
        <f t="shared" si="41"/>
        <v>930</v>
      </c>
      <c r="L104" s="54">
        <f t="shared" ref="L104" si="42" xml:space="preserve"> L79 + L84 - L90 + L100 + L102</f>
        <v>930</v>
      </c>
    </row>
    <row r="105" spans="1:12" x14ac:dyDescent="0.25">
      <c r="B105" s="6"/>
      <c r="D105" s="7"/>
      <c r="E105" s="7"/>
      <c r="F105" s="7"/>
      <c r="G105" s="34"/>
      <c r="H105" s="34"/>
      <c r="I105" s="34"/>
      <c r="J105" s="34"/>
      <c r="K105" s="34"/>
      <c r="L105" s="34"/>
    </row>
    <row r="106" spans="1:12" ht="15.75" thickBot="1" x14ac:dyDescent="0.3"/>
    <row r="107" spans="1:12" x14ac:dyDescent="0.25">
      <c r="A107" s="8"/>
      <c r="B107" s="8"/>
      <c r="C107" s="8"/>
      <c r="D107" s="8"/>
      <c r="E107" s="8"/>
      <c r="F107" s="8"/>
      <c r="G107" s="8"/>
      <c r="H107" s="8"/>
      <c r="I107" s="8"/>
      <c r="J107" s="8"/>
      <c r="K107" s="8"/>
      <c r="L107" s="8"/>
    </row>
    <row r="108" spans="1:12" x14ac:dyDescent="0.25">
      <c r="B108" s="36"/>
      <c r="C108" s="36"/>
      <c r="D108" s="36"/>
      <c r="E108" s="36"/>
      <c r="F108" s="36"/>
      <c r="G108" s="36"/>
      <c r="H108" s="36"/>
      <c r="I108" s="36"/>
      <c r="J108" s="36"/>
      <c r="K108" s="36"/>
      <c r="L108" s="36"/>
    </row>
    <row r="109" spans="1:12" ht="21" x14ac:dyDescent="0.35">
      <c r="A109" s="16" t="s">
        <v>4</v>
      </c>
      <c r="B109" s="16"/>
      <c r="C109" s="49" t="str">
        <f>B4</f>
        <v>Cabinet Gorge #2</v>
      </c>
      <c r="D109" s="50"/>
      <c r="E109" s="22"/>
      <c r="F109" s="22"/>
    </row>
    <row r="111" spans="1:12" ht="18.75" x14ac:dyDescent="0.3">
      <c r="A111" s="9" t="s">
        <v>28</v>
      </c>
      <c r="B111" s="9"/>
      <c r="D111" s="2">
        <v>2013</v>
      </c>
      <c r="E111" s="2">
        <f t="shared" ref="E111:J111" si="43">D111+1</f>
        <v>2014</v>
      </c>
      <c r="F111" s="2">
        <f t="shared" si="43"/>
        <v>2015</v>
      </c>
      <c r="G111" s="2">
        <f t="shared" si="43"/>
        <v>2016</v>
      </c>
      <c r="H111" s="2">
        <f t="shared" si="43"/>
        <v>2017</v>
      </c>
      <c r="I111" s="2">
        <f t="shared" si="43"/>
        <v>2018</v>
      </c>
      <c r="J111" s="2">
        <f t="shared" si="43"/>
        <v>2019</v>
      </c>
      <c r="K111" s="2">
        <f>J111+1</f>
        <v>2020</v>
      </c>
      <c r="L111" s="2">
        <f>K111+1</f>
        <v>2021</v>
      </c>
    </row>
    <row r="112" spans="1:12" x14ac:dyDescent="0.25">
      <c r="B112" s="90" t="str">
        <f>"Total MWh Produced / Purchased from " &amp; C109</f>
        <v>Total MWh Produced / Purchased from Cabinet Gorge #2</v>
      </c>
      <c r="C112" s="80"/>
      <c r="D112" s="3">
        <v>29008</v>
      </c>
      <c r="E112" s="3">
        <v>29008</v>
      </c>
      <c r="F112" s="3">
        <v>29008</v>
      </c>
      <c r="G112" s="3">
        <v>29008</v>
      </c>
      <c r="H112" s="3">
        <v>29008</v>
      </c>
      <c r="I112" s="3">
        <v>29008</v>
      </c>
      <c r="J112" s="3">
        <v>12184</v>
      </c>
      <c r="K112" s="3">
        <v>12230</v>
      </c>
      <c r="L112" s="3">
        <v>12230</v>
      </c>
    </row>
    <row r="113" spans="1:12" x14ac:dyDescent="0.25">
      <c r="B113" s="90" t="s">
        <v>33</v>
      </c>
      <c r="C113" s="80"/>
      <c r="D113" s="64">
        <v>1</v>
      </c>
      <c r="E113" s="65">
        <v>1</v>
      </c>
      <c r="F113" s="66">
        <v>1</v>
      </c>
      <c r="G113" s="66">
        <v>1</v>
      </c>
      <c r="H113" s="66">
        <v>1</v>
      </c>
      <c r="I113" s="66">
        <v>1</v>
      </c>
      <c r="J113" s="66">
        <v>1</v>
      </c>
      <c r="K113" s="66">
        <v>1</v>
      </c>
      <c r="L113" s="66">
        <v>1</v>
      </c>
    </row>
    <row r="114" spans="1:12" x14ac:dyDescent="0.25">
      <c r="B114" s="90" t="s">
        <v>27</v>
      </c>
      <c r="C114" s="80"/>
      <c r="D114" s="57">
        <v>1</v>
      </c>
      <c r="E114" s="58">
        <v>1</v>
      </c>
      <c r="F114" s="59">
        <v>1</v>
      </c>
      <c r="G114" s="59">
        <v>1</v>
      </c>
      <c r="H114" s="59">
        <v>1</v>
      </c>
      <c r="I114" s="59">
        <v>1</v>
      </c>
      <c r="J114" s="59">
        <v>1</v>
      </c>
      <c r="K114" s="59">
        <v>1</v>
      </c>
      <c r="L114" s="59">
        <v>1</v>
      </c>
    </row>
    <row r="115" spans="1:12" x14ac:dyDescent="0.25">
      <c r="B115" s="87" t="s">
        <v>29</v>
      </c>
      <c r="C115" s="88"/>
      <c r="D115" s="44">
        <f t="shared" ref="D115:L115" si="44" xml:space="preserve"> D112 * D113 * D114</f>
        <v>29008</v>
      </c>
      <c r="E115" s="44">
        <f t="shared" si="44"/>
        <v>29008</v>
      </c>
      <c r="F115" s="44">
        <f t="shared" si="44"/>
        <v>29008</v>
      </c>
      <c r="G115" s="44">
        <f t="shared" si="44"/>
        <v>29008</v>
      </c>
      <c r="H115" s="44">
        <f t="shared" si="44"/>
        <v>29008</v>
      </c>
      <c r="I115" s="44">
        <f t="shared" si="44"/>
        <v>29008</v>
      </c>
      <c r="J115" s="44">
        <f t="shared" si="44"/>
        <v>12184</v>
      </c>
      <c r="K115" s="44">
        <f t="shared" si="44"/>
        <v>12230</v>
      </c>
      <c r="L115" s="44">
        <f t="shared" si="44"/>
        <v>12230</v>
      </c>
    </row>
    <row r="116" spans="1:12" x14ac:dyDescent="0.25">
      <c r="B116" s="22"/>
      <c r="C116" s="36"/>
      <c r="D116" s="43"/>
      <c r="E116" s="43"/>
      <c r="F116" s="43"/>
      <c r="G116" s="43"/>
      <c r="H116" s="43"/>
      <c r="I116" s="43"/>
      <c r="J116" s="43"/>
      <c r="K116" s="43"/>
      <c r="L116" s="43"/>
    </row>
    <row r="117" spans="1:12" ht="18.75" x14ac:dyDescent="0.3">
      <c r="A117" s="51" t="s">
        <v>31</v>
      </c>
      <c r="C117" s="36"/>
      <c r="D117" s="2">
        <f>D111</f>
        <v>2013</v>
      </c>
      <c r="E117" s="2">
        <f t="shared" ref="E117:J117" si="45">D117+1</f>
        <v>2014</v>
      </c>
      <c r="F117" s="2">
        <f t="shared" si="45"/>
        <v>2015</v>
      </c>
      <c r="G117" s="2">
        <f t="shared" si="45"/>
        <v>2016</v>
      </c>
      <c r="H117" s="2">
        <f t="shared" si="45"/>
        <v>2017</v>
      </c>
      <c r="I117" s="2">
        <f t="shared" si="45"/>
        <v>2018</v>
      </c>
      <c r="J117" s="2">
        <f t="shared" si="45"/>
        <v>2019</v>
      </c>
      <c r="K117" s="2">
        <f>J117+1</f>
        <v>2020</v>
      </c>
      <c r="L117" s="2">
        <f>K117+1</f>
        <v>2021</v>
      </c>
    </row>
    <row r="118" spans="1:12" x14ac:dyDescent="0.25">
      <c r="B118" s="90" t="s">
        <v>20</v>
      </c>
      <c r="C118" s="80"/>
      <c r="D118" s="60">
        <f>IF( $E4 = "Eligible", D115 * 'Facility Detail'!$B$601, 0 )</f>
        <v>0</v>
      </c>
      <c r="E118" s="13">
        <f>IF( $E4 = "Eligible", E115 * 'Facility Detail'!$B$601, 0 )</f>
        <v>0</v>
      </c>
      <c r="F118" s="14">
        <f>IF( $E4 = "Eligible", F115 * 'Facility Detail'!$B$601, 0 )</f>
        <v>0</v>
      </c>
      <c r="G118" s="14">
        <f>IF( $E4 = "Eligible", G115 * 'Facility Detail'!$B$601, 0 )</f>
        <v>0</v>
      </c>
      <c r="H118" s="14">
        <f>IF( $E4 = "Eligible", H115 * 'Facility Detail'!$B$601, 0 )</f>
        <v>0</v>
      </c>
      <c r="I118" s="14">
        <f>IF( $E4 = "Eligible", I115 * 'Facility Detail'!$B$601, 0 )</f>
        <v>0</v>
      </c>
      <c r="J118" s="14">
        <f>IF( $E4 = "Eligible", J115 * 'Facility Detail'!$B$601, 0 )</f>
        <v>0</v>
      </c>
      <c r="K118" s="14">
        <f>IF( $E4 = "Eligible", K115 * 'Facility Detail'!$B$601, 0 )</f>
        <v>0</v>
      </c>
      <c r="L118" s="14">
        <f>IF( $E4 = "Eligible", L115 * 'Facility Detail'!$B$601, 0 )</f>
        <v>0</v>
      </c>
    </row>
    <row r="119" spans="1:12" x14ac:dyDescent="0.25">
      <c r="B119" s="90" t="s">
        <v>6</v>
      </c>
      <c r="C119" s="80"/>
      <c r="D119" s="61">
        <f t="shared" ref="D119:I119" si="46">IF( $F4 = "Eligible", D115, 0 )</f>
        <v>0</v>
      </c>
      <c r="E119" s="62">
        <f t="shared" si="46"/>
        <v>0</v>
      </c>
      <c r="F119" s="63">
        <f t="shared" si="46"/>
        <v>0</v>
      </c>
      <c r="G119" s="63">
        <f t="shared" si="46"/>
        <v>0</v>
      </c>
      <c r="H119" s="63">
        <f t="shared" si="46"/>
        <v>0</v>
      </c>
      <c r="I119" s="63">
        <f t="shared" si="46"/>
        <v>0</v>
      </c>
      <c r="J119" s="63">
        <f t="shared" ref="J119:K119" si="47">IF( $F4 = "Eligible", J115, 0 )</f>
        <v>0</v>
      </c>
      <c r="K119" s="63">
        <f t="shared" si="47"/>
        <v>0</v>
      </c>
      <c r="L119" s="63">
        <f t="shared" ref="L119" si="48">IF( $F4 = "Eligible", L115, 0 )</f>
        <v>0</v>
      </c>
    </row>
    <row r="120" spans="1:12" x14ac:dyDescent="0.25">
      <c r="B120" s="89" t="s">
        <v>38</v>
      </c>
      <c r="C120" s="88"/>
      <c r="D120" s="46">
        <f t="shared" ref="D120:I120" si="49">SUM(D118:D119)</f>
        <v>0</v>
      </c>
      <c r="E120" s="47">
        <f t="shared" si="49"/>
        <v>0</v>
      </c>
      <c r="F120" s="47">
        <f t="shared" si="49"/>
        <v>0</v>
      </c>
      <c r="G120" s="47">
        <f t="shared" si="49"/>
        <v>0</v>
      </c>
      <c r="H120" s="47">
        <f t="shared" si="49"/>
        <v>0</v>
      </c>
      <c r="I120" s="47">
        <f t="shared" si="49"/>
        <v>0</v>
      </c>
      <c r="J120" s="47">
        <f t="shared" ref="J120:K120" si="50">SUM(J118:J119)</f>
        <v>0</v>
      </c>
      <c r="K120" s="47">
        <f t="shared" si="50"/>
        <v>0</v>
      </c>
      <c r="L120" s="47">
        <f t="shared" ref="L120" si="51">SUM(L118:L119)</f>
        <v>0</v>
      </c>
    </row>
    <row r="121" spans="1:12" x14ac:dyDescent="0.25">
      <c r="B121" s="36"/>
      <c r="C121" s="36"/>
      <c r="D121" s="45"/>
      <c r="E121" s="37"/>
      <c r="F121" s="37"/>
      <c r="G121" s="37"/>
      <c r="H121" s="37"/>
      <c r="I121" s="37"/>
      <c r="J121" s="37"/>
      <c r="K121" s="37"/>
      <c r="L121" s="37"/>
    </row>
    <row r="122" spans="1:12" ht="18.75" x14ac:dyDescent="0.3">
      <c r="A122" s="48" t="s">
        <v>36</v>
      </c>
      <c r="C122" s="36"/>
      <c r="D122" s="2">
        <f>D111</f>
        <v>2013</v>
      </c>
      <c r="E122" s="2">
        <f t="shared" ref="E122:J122" si="52">D122+1</f>
        <v>2014</v>
      </c>
      <c r="F122" s="2">
        <f t="shared" si="52"/>
        <v>2015</v>
      </c>
      <c r="G122" s="2">
        <f t="shared" si="52"/>
        <v>2016</v>
      </c>
      <c r="H122" s="2">
        <f t="shared" si="52"/>
        <v>2017</v>
      </c>
      <c r="I122" s="2">
        <f t="shared" si="52"/>
        <v>2018</v>
      </c>
      <c r="J122" s="2">
        <f t="shared" si="52"/>
        <v>2019</v>
      </c>
      <c r="K122" s="2">
        <f>J122+1</f>
        <v>2020</v>
      </c>
      <c r="L122" s="2">
        <f>K122+1</f>
        <v>2021</v>
      </c>
    </row>
    <row r="123" spans="1:12" x14ac:dyDescent="0.25">
      <c r="B123" s="90" t="s">
        <v>40</v>
      </c>
      <c r="C123" s="80"/>
      <c r="D123" s="98">
        <v>0</v>
      </c>
      <c r="E123" s="99">
        <v>0</v>
      </c>
      <c r="F123" s="100">
        <v>0</v>
      </c>
      <c r="G123" s="100">
        <v>0</v>
      </c>
      <c r="H123" s="100">
        <v>0</v>
      </c>
      <c r="I123" s="100">
        <v>0</v>
      </c>
      <c r="J123" s="100">
        <v>0</v>
      </c>
      <c r="K123" s="100">
        <v>0</v>
      </c>
      <c r="L123" s="100">
        <v>0</v>
      </c>
    </row>
    <row r="124" spans="1:12" x14ac:dyDescent="0.25">
      <c r="B124" s="91" t="s">
        <v>30</v>
      </c>
      <c r="C124" s="92"/>
      <c r="D124" s="101">
        <v>0</v>
      </c>
      <c r="E124" s="102">
        <v>0</v>
      </c>
      <c r="F124" s="103">
        <v>0</v>
      </c>
      <c r="G124" s="103">
        <v>0</v>
      </c>
      <c r="H124" s="103">
        <v>0</v>
      </c>
      <c r="I124" s="103">
        <v>0</v>
      </c>
      <c r="J124" s="103">
        <v>0</v>
      </c>
      <c r="K124" s="103">
        <v>0</v>
      </c>
      <c r="L124" s="103">
        <v>0</v>
      </c>
    </row>
    <row r="125" spans="1:12" x14ac:dyDescent="0.25">
      <c r="B125" s="104" t="s">
        <v>42</v>
      </c>
      <c r="C125" s="96"/>
      <c r="D125" s="67">
        <v>0</v>
      </c>
      <c r="E125" s="68">
        <v>0</v>
      </c>
      <c r="F125" s="69">
        <v>0</v>
      </c>
      <c r="G125" s="69">
        <v>0</v>
      </c>
      <c r="H125" s="69">
        <v>0</v>
      </c>
      <c r="I125" s="69">
        <v>0</v>
      </c>
      <c r="J125" s="69">
        <v>0</v>
      </c>
      <c r="K125" s="69">
        <v>0</v>
      </c>
      <c r="L125" s="69">
        <v>0</v>
      </c>
    </row>
    <row r="126" spans="1:12" x14ac:dyDescent="0.25">
      <c r="B126" s="39" t="s">
        <v>43</v>
      </c>
      <c r="D126" s="7">
        <f t="shared" ref="D126:I126" si="53">SUM(D123:D125)</f>
        <v>0</v>
      </c>
      <c r="E126" s="7">
        <f t="shared" si="53"/>
        <v>0</v>
      </c>
      <c r="F126" s="7">
        <f t="shared" si="53"/>
        <v>0</v>
      </c>
      <c r="G126" s="7">
        <f t="shared" si="53"/>
        <v>0</v>
      </c>
      <c r="H126" s="7">
        <f t="shared" si="53"/>
        <v>0</v>
      </c>
      <c r="I126" s="7">
        <f t="shared" si="53"/>
        <v>0</v>
      </c>
      <c r="J126" s="7">
        <f t="shared" ref="J126:K126" si="54">SUM(J123:J125)</f>
        <v>0</v>
      </c>
      <c r="K126" s="7">
        <f t="shared" si="54"/>
        <v>0</v>
      </c>
      <c r="L126" s="7">
        <f t="shared" ref="L126" si="55">SUM(L123:L125)</f>
        <v>0</v>
      </c>
    </row>
    <row r="127" spans="1:12" x14ac:dyDescent="0.25">
      <c r="B127" s="6"/>
      <c r="D127" s="7"/>
      <c r="E127" s="7"/>
      <c r="F127" s="7"/>
      <c r="G127" s="7"/>
      <c r="H127" s="7"/>
      <c r="I127" s="7"/>
      <c r="J127" s="7"/>
      <c r="K127" s="7"/>
      <c r="L127" s="7"/>
    </row>
    <row r="128" spans="1:12" ht="18.75" x14ac:dyDescent="0.3">
      <c r="A128" s="9" t="s">
        <v>44</v>
      </c>
      <c r="D128" s="2">
        <f>D111</f>
        <v>2013</v>
      </c>
      <c r="E128" s="2">
        <f t="shared" ref="E128:J128" si="56">D128+1</f>
        <v>2014</v>
      </c>
      <c r="F128" s="2">
        <f t="shared" si="56"/>
        <v>2015</v>
      </c>
      <c r="G128" s="2">
        <f t="shared" si="56"/>
        <v>2016</v>
      </c>
      <c r="H128" s="2">
        <f t="shared" si="56"/>
        <v>2017</v>
      </c>
      <c r="I128" s="2">
        <f t="shared" si="56"/>
        <v>2018</v>
      </c>
      <c r="J128" s="2">
        <f t="shared" si="56"/>
        <v>2019</v>
      </c>
      <c r="K128" s="2">
        <f>J128+1</f>
        <v>2020</v>
      </c>
      <c r="L128" s="2">
        <f>K128+1</f>
        <v>2021</v>
      </c>
    </row>
    <row r="129" spans="1:12" x14ac:dyDescent="0.25">
      <c r="B129" s="90" t="str">
        <f xml:space="preserve"> 'Facility Detail'!$B$756 &amp; " Surplus Applied to " &amp; ( 'Facility Detail'!$B$756 + 1 )</f>
        <v>2013 Surplus Applied to 2014</v>
      </c>
      <c r="C129" s="80"/>
      <c r="D129" s="3"/>
      <c r="E129" s="70">
        <f>D129</f>
        <v>0</v>
      </c>
      <c r="F129" s="143"/>
      <c r="G129" s="72"/>
      <c r="H129" s="72"/>
      <c r="I129" s="72"/>
      <c r="J129" s="72"/>
      <c r="K129" s="72"/>
      <c r="L129" s="72"/>
    </row>
    <row r="130" spans="1:12" x14ac:dyDescent="0.25">
      <c r="B130" s="90" t="str">
        <f xml:space="preserve"> ( 'Facility Detail'!$B$756 + 1 ) &amp; " Surplus Applied to " &amp; ( 'Facility Detail'!$B$756 )</f>
        <v>2014 Surplus Applied to 2013</v>
      </c>
      <c r="C130" s="80"/>
      <c r="D130" s="144">
        <f>E130</f>
        <v>0</v>
      </c>
      <c r="E130" s="10"/>
      <c r="F130" s="84"/>
      <c r="G130" s="83"/>
      <c r="H130" s="83"/>
      <c r="I130" s="83"/>
      <c r="J130" s="83"/>
      <c r="K130" s="83"/>
      <c r="L130" s="83"/>
    </row>
    <row r="131" spans="1:12" x14ac:dyDescent="0.25">
      <c r="B131" s="90" t="str">
        <f xml:space="preserve"> ( 'Facility Detail'!$B$756 + 1 ) &amp; " Surplus Applied to " &amp; ( 'Facility Detail'!$B$756 + 2 )</f>
        <v>2014 Surplus Applied to 2015</v>
      </c>
      <c r="C131" s="80"/>
      <c r="D131" s="73"/>
      <c r="E131" s="10"/>
      <c r="F131" s="79">
        <f>E131</f>
        <v>0</v>
      </c>
      <c r="G131" s="83"/>
      <c r="H131" s="83"/>
      <c r="I131" s="83"/>
      <c r="J131" s="83"/>
      <c r="K131" s="83"/>
      <c r="L131" s="83"/>
    </row>
    <row r="132" spans="1:12" x14ac:dyDescent="0.25">
      <c r="B132" s="90" t="str">
        <f xml:space="preserve"> ( 'Facility Detail'!$B$756 + 2 ) &amp; " Surplus Applied to " &amp; ( 'Facility Detail'!$B$756 + 1 )</f>
        <v>2015 Surplus Applied to 2014</v>
      </c>
      <c r="C132" s="80"/>
      <c r="D132" s="73"/>
      <c r="E132" s="79">
        <f>F132</f>
        <v>0</v>
      </c>
      <c r="F132" s="10"/>
      <c r="G132" s="83"/>
      <c r="H132" s="83"/>
      <c r="I132" s="83"/>
      <c r="J132" s="83"/>
      <c r="K132" s="83"/>
      <c r="L132" s="83"/>
    </row>
    <row r="133" spans="1:12" x14ac:dyDescent="0.25">
      <c r="B133" s="90" t="str">
        <f xml:space="preserve"> ( 'Facility Detail'!$B$756 + 2 ) &amp; " Surplus Applied to " &amp; ( 'Facility Detail'!$B$756 + 3 )</f>
        <v>2015 Surplus Applied to 2016</v>
      </c>
      <c r="C133" s="36"/>
      <c r="D133" s="73"/>
      <c r="E133" s="84"/>
      <c r="F133" s="10"/>
      <c r="G133" s="145">
        <f>F133</f>
        <v>0</v>
      </c>
      <c r="H133" s="145">
        <f>G133</f>
        <v>0</v>
      </c>
      <c r="I133" s="145">
        <f>H133</f>
        <v>0</v>
      </c>
      <c r="J133" s="145">
        <f>I133</f>
        <v>0</v>
      </c>
      <c r="K133" s="145"/>
      <c r="L133" s="145"/>
    </row>
    <row r="134" spans="1:12" x14ac:dyDescent="0.25">
      <c r="B134" s="90" t="str">
        <f xml:space="preserve"> ( 'Facility Detail'!$B$756 +3 ) &amp; " Surplus Applied to " &amp; ( 'Facility Detail'!$B$756 + 2 )</f>
        <v>2016 Surplus Applied to 2015</v>
      </c>
      <c r="C134" s="36"/>
      <c r="D134" s="74"/>
      <c r="E134" s="85"/>
      <c r="F134" s="71">
        <f>G134</f>
        <v>0</v>
      </c>
      <c r="G134" s="146"/>
      <c r="H134" s="146"/>
      <c r="I134" s="146"/>
      <c r="J134" s="146"/>
      <c r="K134" s="146"/>
      <c r="L134" s="146"/>
    </row>
    <row r="135" spans="1:12" x14ac:dyDescent="0.25">
      <c r="B135" s="90" t="str">
        <f xml:space="preserve"> ( 'Facility Detail'!$B$756 +3 ) &amp; " Surplus Applied to " &amp; ( 'Facility Detail'!$B$756 + 4 )</f>
        <v>2016 Surplus Applied to 2017</v>
      </c>
      <c r="C135" s="36"/>
      <c r="D135" s="149"/>
      <c r="E135" s="149"/>
      <c r="F135" s="23"/>
      <c r="G135" s="150"/>
      <c r="H135" s="150"/>
      <c r="I135" s="150"/>
      <c r="J135" s="150"/>
      <c r="K135" s="150"/>
      <c r="L135" s="150"/>
    </row>
    <row r="136" spans="1:12" x14ac:dyDescent="0.25">
      <c r="B136" s="39" t="s">
        <v>26</v>
      </c>
      <c r="D136" s="7">
        <f xml:space="preserve"> D130 - D129</f>
        <v>0</v>
      </c>
      <c r="E136" s="7">
        <f xml:space="preserve"> E129 + E132 - E131 - E130</f>
        <v>0</v>
      </c>
      <c r="F136" s="7">
        <f>F131+F134-F132-F133</f>
        <v>0</v>
      </c>
      <c r="G136" s="7">
        <f t="shared" ref="G136:L136" si="57">G133-G134</f>
        <v>0</v>
      </c>
      <c r="H136" s="7">
        <f t="shared" si="57"/>
        <v>0</v>
      </c>
      <c r="I136" s="7">
        <f t="shared" si="57"/>
        <v>0</v>
      </c>
      <c r="J136" s="7">
        <f t="shared" si="57"/>
        <v>0</v>
      </c>
      <c r="K136" s="7">
        <f t="shared" si="57"/>
        <v>0</v>
      </c>
      <c r="L136" s="7">
        <f t="shared" si="57"/>
        <v>0</v>
      </c>
    </row>
    <row r="137" spans="1:12" x14ac:dyDescent="0.25">
      <c r="B137" s="6"/>
      <c r="D137" s="7"/>
      <c r="E137" s="7"/>
      <c r="F137" s="7"/>
      <c r="G137" s="7"/>
      <c r="H137" s="7"/>
      <c r="I137" s="7"/>
      <c r="J137" s="7"/>
      <c r="K137" s="7"/>
      <c r="L137" s="7"/>
    </row>
    <row r="138" spans="1:12" x14ac:dyDescent="0.25">
      <c r="B138" s="97" t="s">
        <v>22</v>
      </c>
      <c r="C138" s="80"/>
      <c r="D138" s="111"/>
      <c r="E138" s="112"/>
      <c r="F138" s="113"/>
      <c r="G138" s="113"/>
      <c r="H138" s="113"/>
      <c r="I138" s="113"/>
      <c r="J138" s="113"/>
      <c r="K138" s="113"/>
      <c r="L138" s="113"/>
    </row>
    <row r="139" spans="1:12" x14ac:dyDescent="0.25">
      <c r="B139" s="6"/>
      <c r="D139" s="7"/>
      <c r="E139" s="7"/>
      <c r="F139" s="7"/>
      <c r="G139" s="7"/>
      <c r="H139" s="7"/>
      <c r="I139" s="7"/>
      <c r="J139" s="7"/>
      <c r="K139" s="7"/>
      <c r="L139" s="7"/>
    </row>
    <row r="140" spans="1:12" ht="15.75" x14ac:dyDescent="0.25">
      <c r="A140" s="93" t="s">
        <v>34</v>
      </c>
      <c r="C140" s="80"/>
      <c r="D140" s="52">
        <f t="shared" ref="D140:I140" si="58" xml:space="preserve"> D115 + D120 - D126 + D136 + D138</f>
        <v>29008</v>
      </c>
      <c r="E140" s="53">
        <f t="shared" si="58"/>
        <v>29008</v>
      </c>
      <c r="F140" s="54">
        <f t="shared" si="58"/>
        <v>29008</v>
      </c>
      <c r="G140" s="54">
        <f t="shared" si="58"/>
        <v>29008</v>
      </c>
      <c r="H140" s="54">
        <f t="shared" si="58"/>
        <v>29008</v>
      </c>
      <c r="I140" s="54">
        <f t="shared" si="58"/>
        <v>29008</v>
      </c>
      <c r="J140" s="54">
        <f t="shared" ref="J140:K140" si="59" xml:space="preserve"> J115 + J120 - J126 + J136 + J138</f>
        <v>12184</v>
      </c>
      <c r="K140" s="54">
        <f t="shared" si="59"/>
        <v>12230</v>
      </c>
      <c r="L140" s="54">
        <f t="shared" ref="L140" si="60" xml:space="preserve"> L115 + L120 - L126 + L136 + L138</f>
        <v>12230</v>
      </c>
    </row>
    <row r="141" spans="1:12" x14ac:dyDescent="0.25">
      <c r="B141" s="6"/>
      <c r="D141" s="7"/>
      <c r="E141" s="7"/>
      <c r="F141" s="7"/>
      <c r="G141" s="34"/>
      <c r="H141" s="34"/>
      <c r="I141" s="34"/>
      <c r="J141" s="34"/>
      <c r="K141" s="34"/>
      <c r="L141" s="34"/>
    </row>
    <row r="142" spans="1:12" ht="15.75" thickBot="1" x14ac:dyDescent="0.3"/>
    <row r="143" spans="1:12" x14ac:dyDescent="0.25">
      <c r="A143" s="8"/>
      <c r="B143" s="8"/>
      <c r="C143" s="8"/>
      <c r="D143" s="8"/>
      <c r="E143" s="8"/>
      <c r="F143" s="8"/>
      <c r="G143" s="8"/>
      <c r="H143" s="8"/>
      <c r="I143" s="8"/>
      <c r="J143" s="8"/>
      <c r="K143" s="8"/>
      <c r="L143" s="8"/>
    </row>
    <row r="144" spans="1:12" x14ac:dyDescent="0.25">
      <c r="B144" s="36"/>
      <c r="C144" s="36"/>
      <c r="D144" s="36"/>
      <c r="E144" s="36"/>
      <c r="F144" s="36"/>
      <c r="G144" s="36"/>
      <c r="H144" s="36"/>
      <c r="I144" s="36"/>
      <c r="J144" s="36"/>
      <c r="K144" s="36"/>
      <c r="L144" s="36"/>
    </row>
    <row r="145" spans="1:12" ht="21" x14ac:dyDescent="0.35">
      <c r="A145" s="16" t="s">
        <v>4</v>
      </c>
      <c r="B145" s="16"/>
      <c r="C145" s="49" t="str">
        <f>B5</f>
        <v>Cabinet Gorge #3</v>
      </c>
      <c r="D145" s="50"/>
      <c r="E145" s="22"/>
      <c r="F145" s="22"/>
    </row>
    <row r="147" spans="1:12" ht="18.75" x14ac:dyDescent="0.3">
      <c r="A147" s="9" t="s">
        <v>28</v>
      </c>
      <c r="B147" s="9"/>
      <c r="D147" s="2">
        <v>2013</v>
      </c>
      <c r="E147" s="2">
        <f t="shared" ref="E147:J147" si="61">D147+1</f>
        <v>2014</v>
      </c>
      <c r="F147" s="2">
        <f t="shared" si="61"/>
        <v>2015</v>
      </c>
      <c r="G147" s="2">
        <f t="shared" si="61"/>
        <v>2016</v>
      </c>
      <c r="H147" s="2">
        <f t="shared" si="61"/>
        <v>2017</v>
      </c>
      <c r="I147" s="2">
        <f t="shared" si="61"/>
        <v>2018</v>
      </c>
      <c r="J147" s="2">
        <f t="shared" si="61"/>
        <v>2019</v>
      </c>
      <c r="K147" s="2">
        <f>J147+1</f>
        <v>2020</v>
      </c>
      <c r="L147" s="2">
        <f>K147+1</f>
        <v>2021</v>
      </c>
    </row>
    <row r="148" spans="1:12" x14ac:dyDescent="0.25">
      <c r="B148" s="90" t="str">
        <f>"Total MWh Produced / Purchased from " &amp; C145</f>
        <v>Total MWh Produced / Purchased from Cabinet Gorge #3</v>
      </c>
      <c r="C148" s="80"/>
      <c r="D148" s="3">
        <v>45808</v>
      </c>
      <c r="E148" s="3">
        <v>45808</v>
      </c>
      <c r="F148" s="3">
        <v>45808</v>
      </c>
      <c r="G148" s="3">
        <v>45808</v>
      </c>
      <c r="H148" s="3">
        <v>45808</v>
      </c>
      <c r="I148" s="3">
        <v>45808</v>
      </c>
      <c r="J148" s="3">
        <v>13690</v>
      </c>
      <c r="K148" s="3">
        <v>16757</v>
      </c>
      <c r="L148" s="3">
        <v>16757</v>
      </c>
    </row>
    <row r="149" spans="1:12" x14ac:dyDescent="0.25">
      <c r="B149" s="90" t="s">
        <v>33</v>
      </c>
      <c r="C149" s="80"/>
      <c r="D149" s="64">
        <v>1</v>
      </c>
      <c r="E149" s="65">
        <v>1</v>
      </c>
      <c r="F149" s="66">
        <v>1</v>
      </c>
      <c r="G149" s="66">
        <v>1</v>
      </c>
      <c r="H149" s="66">
        <v>1</v>
      </c>
      <c r="I149" s="66">
        <v>1</v>
      </c>
      <c r="J149" s="66">
        <v>1</v>
      </c>
      <c r="K149" s="66">
        <v>1</v>
      </c>
      <c r="L149" s="66">
        <v>1</v>
      </c>
    </row>
    <row r="150" spans="1:12" x14ac:dyDescent="0.25">
      <c r="B150" s="90" t="s">
        <v>27</v>
      </c>
      <c r="C150" s="80"/>
      <c r="D150" s="57">
        <v>1</v>
      </c>
      <c r="E150" s="58">
        <v>1</v>
      </c>
      <c r="F150" s="59">
        <v>1</v>
      </c>
      <c r="G150" s="59">
        <v>1</v>
      </c>
      <c r="H150" s="59">
        <v>1</v>
      </c>
      <c r="I150" s="59">
        <v>1</v>
      </c>
      <c r="J150" s="59">
        <v>1</v>
      </c>
      <c r="K150" s="59">
        <v>1</v>
      </c>
      <c r="L150" s="59">
        <v>1</v>
      </c>
    </row>
    <row r="151" spans="1:12" x14ac:dyDescent="0.25">
      <c r="B151" s="87" t="s">
        <v>29</v>
      </c>
      <c r="C151" s="88"/>
      <c r="D151" s="44">
        <f t="shared" ref="D151:L151" si="62" xml:space="preserve"> D148 * D149 * D150</f>
        <v>45808</v>
      </c>
      <c r="E151" s="44">
        <f t="shared" si="62"/>
        <v>45808</v>
      </c>
      <c r="F151" s="44">
        <f t="shared" si="62"/>
        <v>45808</v>
      </c>
      <c r="G151" s="44">
        <f t="shared" si="62"/>
        <v>45808</v>
      </c>
      <c r="H151" s="44">
        <f t="shared" si="62"/>
        <v>45808</v>
      </c>
      <c r="I151" s="44">
        <f t="shared" si="62"/>
        <v>45808</v>
      </c>
      <c r="J151" s="44">
        <f t="shared" si="62"/>
        <v>13690</v>
      </c>
      <c r="K151" s="44">
        <f t="shared" si="62"/>
        <v>16757</v>
      </c>
      <c r="L151" s="44">
        <f t="shared" si="62"/>
        <v>16757</v>
      </c>
    </row>
    <row r="152" spans="1:12" x14ac:dyDescent="0.25">
      <c r="B152" s="22"/>
      <c r="C152" s="36"/>
      <c r="D152" s="43"/>
      <c r="E152" s="43"/>
      <c r="F152" s="43"/>
      <c r="G152" s="43"/>
      <c r="H152" s="43"/>
      <c r="I152" s="43"/>
      <c r="J152" s="43"/>
      <c r="K152" s="43"/>
      <c r="L152" s="43"/>
    </row>
    <row r="153" spans="1:12" ht="18.75" x14ac:dyDescent="0.3">
      <c r="A153" s="51" t="s">
        <v>31</v>
      </c>
      <c r="C153" s="36"/>
      <c r="D153" s="2">
        <f>D147</f>
        <v>2013</v>
      </c>
      <c r="E153" s="2">
        <f t="shared" ref="E153:J153" si="63">D153+1</f>
        <v>2014</v>
      </c>
      <c r="F153" s="2">
        <f t="shared" si="63"/>
        <v>2015</v>
      </c>
      <c r="G153" s="2">
        <f t="shared" si="63"/>
        <v>2016</v>
      </c>
      <c r="H153" s="2">
        <f t="shared" si="63"/>
        <v>2017</v>
      </c>
      <c r="I153" s="2">
        <f t="shared" si="63"/>
        <v>2018</v>
      </c>
      <c r="J153" s="2">
        <f t="shared" si="63"/>
        <v>2019</v>
      </c>
      <c r="K153" s="2"/>
      <c r="L153" s="2"/>
    </row>
    <row r="154" spans="1:12" x14ac:dyDescent="0.25">
      <c r="B154" s="90" t="s">
        <v>20</v>
      </c>
      <c r="C154" s="80"/>
      <c r="D154" s="60">
        <f>IF( $E5 = "Eligible",D151 * 'Facility Detail'!$B$601, 0 )</f>
        <v>0</v>
      </c>
      <c r="E154" s="13">
        <f>IF( $E5 = "Eligible",E151 * 'Facility Detail'!$B$601, 0 )</f>
        <v>0</v>
      </c>
      <c r="F154" s="14">
        <f>IF( $E5 = "Eligible",F151 * 'Facility Detail'!$B$601, 0 )</f>
        <v>0</v>
      </c>
      <c r="G154" s="14">
        <f>IF( $E5 = "Eligible",G151 * 'Facility Detail'!$B$601, 0 )</f>
        <v>0</v>
      </c>
      <c r="H154" s="14">
        <f>IF( $E5 = "Eligible",H151 * 'Facility Detail'!$B$601, 0 )</f>
        <v>0</v>
      </c>
      <c r="I154" s="14">
        <f>IF( $E5 = "Eligible",I151 * 'Facility Detail'!$B$601, 0 )</f>
        <v>0</v>
      </c>
      <c r="J154" s="14">
        <f>IF( $E5 = "Eligible",J151 * 'Facility Detail'!$B$601, 0 )</f>
        <v>0</v>
      </c>
      <c r="K154" s="14">
        <f>IF( $E5 = "Eligible",K151 * 'Facility Detail'!$B$601, 0 )</f>
        <v>0</v>
      </c>
      <c r="L154" s="14">
        <f>IF( $E5 = "Eligible",L151 * 'Facility Detail'!$B$601, 0 )</f>
        <v>0</v>
      </c>
    </row>
    <row r="155" spans="1:12" x14ac:dyDescent="0.25">
      <c r="B155" s="90" t="s">
        <v>6</v>
      </c>
      <c r="C155" s="80"/>
      <c r="D155" s="61">
        <f t="shared" ref="D155:I155" si="64">IF( $F5 = "Eligible", D151, 0 )</f>
        <v>0</v>
      </c>
      <c r="E155" s="62">
        <f t="shared" si="64"/>
        <v>0</v>
      </c>
      <c r="F155" s="63">
        <f t="shared" si="64"/>
        <v>0</v>
      </c>
      <c r="G155" s="63">
        <f t="shared" si="64"/>
        <v>0</v>
      </c>
      <c r="H155" s="63">
        <f t="shared" si="64"/>
        <v>0</v>
      </c>
      <c r="I155" s="63">
        <f t="shared" si="64"/>
        <v>0</v>
      </c>
      <c r="J155" s="63">
        <f t="shared" ref="J155:K155" si="65">IF( $F5 = "Eligible", J151, 0 )</f>
        <v>0</v>
      </c>
      <c r="K155" s="63">
        <f t="shared" si="65"/>
        <v>0</v>
      </c>
      <c r="L155" s="63">
        <f t="shared" ref="L155" si="66">IF( $F5 = "Eligible", L151, 0 )</f>
        <v>0</v>
      </c>
    </row>
    <row r="156" spans="1:12" x14ac:dyDescent="0.25">
      <c r="B156" s="89" t="s">
        <v>38</v>
      </c>
      <c r="C156" s="88"/>
      <c r="D156" s="46">
        <f t="shared" ref="D156:I156" si="67">SUM(D154:D155)</f>
        <v>0</v>
      </c>
      <c r="E156" s="47">
        <f t="shared" si="67"/>
        <v>0</v>
      </c>
      <c r="F156" s="47">
        <f t="shared" si="67"/>
        <v>0</v>
      </c>
      <c r="G156" s="47">
        <f t="shared" si="67"/>
        <v>0</v>
      </c>
      <c r="H156" s="47">
        <f t="shared" si="67"/>
        <v>0</v>
      </c>
      <c r="I156" s="47">
        <f t="shared" si="67"/>
        <v>0</v>
      </c>
      <c r="J156" s="47">
        <f t="shared" ref="J156:K156" si="68">SUM(J154:J155)</f>
        <v>0</v>
      </c>
      <c r="K156" s="47">
        <f t="shared" si="68"/>
        <v>0</v>
      </c>
      <c r="L156" s="47">
        <f t="shared" ref="L156" si="69">SUM(L154:L155)</f>
        <v>0</v>
      </c>
    </row>
    <row r="157" spans="1:12" x14ac:dyDescent="0.25">
      <c r="B157" s="36"/>
      <c r="C157" s="36"/>
      <c r="D157" s="45"/>
      <c r="E157" s="37"/>
      <c r="F157" s="37"/>
      <c r="G157" s="37"/>
      <c r="H157" s="37"/>
      <c r="I157" s="37"/>
      <c r="J157" s="37"/>
      <c r="K157" s="37"/>
      <c r="L157" s="37"/>
    </row>
    <row r="158" spans="1:12" ht="18.75" x14ac:dyDescent="0.3">
      <c r="A158" s="48" t="s">
        <v>36</v>
      </c>
      <c r="C158" s="36"/>
      <c r="D158" s="2">
        <f>D147</f>
        <v>2013</v>
      </c>
      <c r="E158" s="2">
        <f t="shared" ref="E158:J158" si="70">D158+1</f>
        <v>2014</v>
      </c>
      <c r="F158" s="2">
        <f t="shared" si="70"/>
        <v>2015</v>
      </c>
      <c r="G158" s="2">
        <f t="shared" si="70"/>
        <v>2016</v>
      </c>
      <c r="H158" s="2">
        <f t="shared" si="70"/>
        <v>2017</v>
      </c>
      <c r="I158" s="2">
        <f t="shared" si="70"/>
        <v>2018</v>
      </c>
      <c r="J158" s="2">
        <f t="shared" si="70"/>
        <v>2019</v>
      </c>
      <c r="K158" s="2"/>
      <c r="L158" s="2"/>
    </row>
    <row r="159" spans="1:12" x14ac:dyDescent="0.25">
      <c r="B159" s="90" t="s">
        <v>40</v>
      </c>
      <c r="C159" s="80"/>
      <c r="D159" s="98">
        <v>0</v>
      </c>
      <c r="E159" s="99">
        <v>0</v>
      </c>
      <c r="F159" s="100">
        <v>0</v>
      </c>
      <c r="G159" s="100">
        <v>0</v>
      </c>
      <c r="H159" s="100">
        <v>0</v>
      </c>
      <c r="I159" s="100">
        <v>0</v>
      </c>
      <c r="J159" s="100">
        <v>0</v>
      </c>
      <c r="K159" s="100">
        <v>0</v>
      </c>
      <c r="L159" s="100">
        <v>0</v>
      </c>
    </row>
    <row r="160" spans="1:12" x14ac:dyDescent="0.25">
      <c r="B160" s="91" t="s">
        <v>30</v>
      </c>
      <c r="C160" s="92"/>
      <c r="D160" s="101">
        <v>0</v>
      </c>
      <c r="E160" s="102">
        <v>0</v>
      </c>
      <c r="F160" s="103">
        <v>0</v>
      </c>
      <c r="G160" s="103">
        <v>0</v>
      </c>
      <c r="H160" s="103">
        <v>0</v>
      </c>
      <c r="I160" s="103">
        <v>0</v>
      </c>
      <c r="J160" s="103">
        <v>0</v>
      </c>
      <c r="K160" s="103">
        <v>0</v>
      </c>
      <c r="L160" s="103">
        <v>0</v>
      </c>
    </row>
    <row r="161" spans="1:12" x14ac:dyDescent="0.25">
      <c r="B161" s="104" t="s">
        <v>42</v>
      </c>
      <c r="C161" s="96"/>
      <c r="D161" s="67">
        <v>0</v>
      </c>
      <c r="E161" s="68">
        <v>0</v>
      </c>
      <c r="F161" s="69">
        <v>0</v>
      </c>
      <c r="G161" s="69">
        <v>0</v>
      </c>
      <c r="H161" s="69">
        <v>0</v>
      </c>
      <c r="I161" s="69">
        <v>0</v>
      </c>
      <c r="J161" s="69">
        <v>0</v>
      </c>
      <c r="K161" s="69">
        <v>0</v>
      </c>
      <c r="L161" s="69">
        <v>0</v>
      </c>
    </row>
    <row r="162" spans="1:12" x14ac:dyDescent="0.25">
      <c r="B162" s="39" t="s">
        <v>43</v>
      </c>
      <c r="D162" s="7">
        <f t="shared" ref="D162:I162" si="71">SUM(D159:D161)</f>
        <v>0</v>
      </c>
      <c r="E162" s="7">
        <f t="shared" si="71"/>
        <v>0</v>
      </c>
      <c r="F162" s="7">
        <f t="shared" si="71"/>
        <v>0</v>
      </c>
      <c r="G162" s="7">
        <f t="shared" si="71"/>
        <v>0</v>
      </c>
      <c r="H162" s="7">
        <f t="shared" si="71"/>
        <v>0</v>
      </c>
      <c r="I162" s="7">
        <f t="shared" si="71"/>
        <v>0</v>
      </c>
      <c r="J162" s="7">
        <f t="shared" ref="J162:K162" si="72">SUM(J159:J161)</f>
        <v>0</v>
      </c>
      <c r="K162" s="7">
        <f t="shared" si="72"/>
        <v>0</v>
      </c>
      <c r="L162" s="7">
        <f t="shared" ref="L162" si="73">SUM(L159:L161)</f>
        <v>0</v>
      </c>
    </row>
    <row r="163" spans="1:12" x14ac:dyDescent="0.25">
      <c r="B163" s="6"/>
      <c r="D163" s="7"/>
      <c r="E163" s="7"/>
      <c r="F163" s="7"/>
      <c r="G163" s="7"/>
      <c r="H163" s="7"/>
      <c r="I163" s="7"/>
      <c r="J163" s="7"/>
      <c r="K163" s="7"/>
      <c r="L163" s="7"/>
    </row>
    <row r="164" spans="1:12" ht="18.75" x14ac:dyDescent="0.3">
      <c r="A164" s="9" t="s">
        <v>44</v>
      </c>
      <c r="D164" s="2">
        <f>D147</f>
        <v>2013</v>
      </c>
      <c r="E164" s="2">
        <f t="shared" ref="E164:J164" si="74">D164+1</f>
        <v>2014</v>
      </c>
      <c r="F164" s="2">
        <f t="shared" si="74"/>
        <v>2015</v>
      </c>
      <c r="G164" s="2">
        <f t="shared" si="74"/>
        <v>2016</v>
      </c>
      <c r="H164" s="2">
        <f t="shared" si="74"/>
        <v>2017</v>
      </c>
      <c r="I164" s="2">
        <f t="shared" si="74"/>
        <v>2018</v>
      </c>
      <c r="J164" s="2">
        <f t="shared" si="74"/>
        <v>2019</v>
      </c>
      <c r="K164" s="2">
        <f>J164+1</f>
        <v>2020</v>
      </c>
      <c r="L164" s="2">
        <f>K164+1</f>
        <v>2021</v>
      </c>
    </row>
    <row r="165" spans="1:12" x14ac:dyDescent="0.25">
      <c r="B165" s="90" t="str">
        <f xml:space="preserve"> 'Facility Detail'!$B$756 &amp; " Surplus Applied to " &amp; ( 'Facility Detail'!$B$756 + 1 )</f>
        <v>2013 Surplus Applied to 2014</v>
      </c>
      <c r="C165" s="36"/>
      <c r="D165" s="3"/>
      <c r="E165" s="70">
        <f>D165</f>
        <v>0</v>
      </c>
      <c r="F165" s="143"/>
      <c r="G165" s="72"/>
      <c r="H165" s="72"/>
      <c r="I165" s="72"/>
      <c r="J165" s="72"/>
      <c r="K165" s="72"/>
      <c r="L165" s="72"/>
    </row>
    <row r="166" spans="1:12" x14ac:dyDescent="0.25">
      <c r="B166" s="90" t="str">
        <f xml:space="preserve"> ( 'Facility Detail'!$B$756 + 1 ) &amp; " Surplus Applied to " &amp; ( 'Facility Detail'!$B$756 )</f>
        <v>2014 Surplus Applied to 2013</v>
      </c>
      <c r="C166" s="36"/>
      <c r="D166" s="144">
        <f>E166</f>
        <v>0</v>
      </c>
      <c r="E166" s="10"/>
      <c r="F166" s="84"/>
      <c r="G166" s="83"/>
      <c r="H166" s="83"/>
      <c r="I166" s="83"/>
      <c r="J166" s="83"/>
      <c r="K166" s="83"/>
      <c r="L166" s="83"/>
    </row>
    <row r="167" spans="1:12" x14ac:dyDescent="0.25">
      <c r="B167" s="90" t="str">
        <f xml:space="preserve"> ( 'Facility Detail'!$B$756 + 1 ) &amp; " Surplus Applied to " &amp; ( 'Facility Detail'!$B$756 + 2 )</f>
        <v>2014 Surplus Applied to 2015</v>
      </c>
      <c r="C167" s="36"/>
      <c r="D167" s="73"/>
      <c r="E167" s="10"/>
      <c r="F167" s="79">
        <f>E167</f>
        <v>0</v>
      </c>
      <c r="G167" s="83"/>
      <c r="H167" s="83"/>
      <c r="I167" s="83"/>
      <c r="J167" s="83"/>
      <c r="K167" s="83"/>
      <c r="L167" s="83"/>
    </row>
    <row r="168" spans="1:12" x14ac:dyDescent="0.25">
      <c r="B168" s="90" t="str">
        <f xml:space="preserve"> ( 'Facility Detail'!$B$756 + 2 ) &amp; " Surplus Applied to " &amp; ( 'Facility Detail'!$B$756 + 1 )</f>
        <v>2015 Surplus Applied to 2014</v>
      </c>
      <c r="C168" s="36"/>
      <c r="D168" s="73"/>
      <c r="E168" s="79">
        <f>F168</f>
        <v>0</v>
      </c>
      <c r="F168" s="10"/>
      <c r="G168" s="83"/>
      <c r="H168" s="83"/>
      <c r="I168" s="83"/>
      <c r="J168" s="83"/>
      <c r="K168" s="83"/>
      <c r="L168" s="83"/>
    </row>
    <row r="169" spans="1:12" x14ac:dyDescent="0.25">
      <c r="B169" s="90" t="str">
        <f xml:space="preserve"> ( 'Facility Detail'!$B$756 + 2 ) &amp; " Surplus Applied to " &amp; ( 'Facility Detail'!$B$756 + 3 )</f>
        <v>2015 Surplus Applied to 2016</v>
      </c>
      <c r="C169" s="36"/>
      <c r="D169" s="73"/>
      <c r="E169" s="84"/>
      <c r="F169" s="10"/>
      <c r="G169" s="145">
        <f>F169</f>
        <v>0</v>
      </c>
      <c r="H169" s="145">
        <f>G169</f>
        <v>0</v>
      </c>
      <c r="I169" s="145">
        <f>H169</f>
        <v>0</v>
      </c>
      <c r="J169" s="145">
        <f>I169</f>
        <v>0</v>
      </c>
      <c r="K169" s="145"/>
      <c r="L169" s="145"/>
    </row>
    <row r="170" spans="1:12" x14ac:dyDescent="0.25">
      <c r="B170" s="90" t="str">
        <f xml:space="preserve"> ( 'Facility Detail'!$B$756 +3 ) &amp; " Surplus Applied to " &amp; ( 'Facility Detail'!$B$756 + 2 )</f>
        <v>2016 Surplus Applied to 2015</v>
      </c>
      <c r="C170" s="36"/>
      <c r="D170" s="74"/>
      <c r="E170" s="85"/>
      <c r="F170" s="71">
        <f>G170</f>
        <v>0</v>
      </c>
      <c r="G170" s="146"/>
      <c r="H170" s="146"/>
      <c r="I170" s="146"/>
      <c r="J170" s="146"/>
      <c r="K170" s="146"/>
      <c r="L170" s="146"/>
    </row>
    <row r="171" spans="1:12" x14ac:dyDescent="0.25">
      <c r="B171" s="90" t="str">
        <f xml:space="preserve"> ( 'Facility Detail'!$B$756 +3 ) &amp; " Surplus Applied to " &amp; ( 'Facility Detail'!$B$756 + 4 )</f>
        <v>2016 Surplus Applied to 2017</v>
      </c>
      <c r="C171" s="36"/>
      <c r="D171" s="149"/>
      <c r="E171" s="149"/>
      <c r="F171" s="23"/>
      <c r="G171" s="150"/>
      <c r="H171" s="150"/>
      <c r="I171" s="150"/>
      <c r="J171" s="150"/>
      <c r="K171" s="150"/>
      <c r="L171" s="150"/>
    </row>
    <row r="172" spans="1:12" x14ac:dyDescent="0.25">
      <c r="B172" s="39" t="s">
        <v>26</v>
      </c>
      <c r="D172" s="7">
        <f xml:space="preserve"> D166 - D165</f>
        <v>0</v>
      </c>
      <c r="E172" s="7">
        <f xml:space="preserve"> E165 + E168 - E167 - E166</f>
        <v>0</v>
      </c>
      <c r="F172" s="7">
        <f>F167+F170-F168-F169</f>
        <v>0</v>
      </c>
      <c r="G172" s="7">
        <f t="shared" ref="G172:L172" si="75">G169-G170</f>
        <v>0</v>
      </c>
      <c r="H172" s="7">
        <f t="shared" si="75"/>
        <v>0</v>
      </c>
      <c r="I172" s="7">
        <f t="shared" si="75"/>
        <v>0</v>
      </c>
      <c r="J172" s="7">
        <f t="shared" si="75"/>
        <v>0</v>
      </c>
      <c r="K172" s="7">
        <f t="shared" si="75"/>
        <v>0</v>
      </c>
      <c r="L172" s="7">
        <f t="shared" si="75"/>
        <v>0</v>
      </c>
    </row>
    <row r="173" spans="1:12" x14ac:dyDescent="0.25">
      <c r="B173" s="6"/>
      <c r="D173" s="7"/>
      <c r="E173" s="7"/>
      <c r="F173" s="7"/>
      <c r="G173" s="7"/>
      <c r="H173" s="7"/>
      <c r="I173" s="7"/>
      <c r="J173" s="7"/>
      <c r="K173" s="7"/>
      <c r="L173" s="7"/>
    </row>
    <row r="174" spans="1:12" x14ac:dyDescent="0.25">
      <c r="B174" s="97" t="s">
        <v>22</v>
      </c>
      <c r="C174" s="80"/>
      <c r="D174" s="111"/>
      <c r="E174" s="112"/>
      <c r="F174" s="113"/>
      <c r="G174" s="113"/>
      <c r="H174" s="113"/>
      <c r="I174" s="113"/>
      <c r="J174" s="113"/>
      <c r="K174" s="113"/>
      <c r="L174" s="113"/>
    </row>
    <row r="175" spans="1:12" x14ac:dyDescent="0.25">
      <c r="B175" s="6"/>
      <c r="D175" s="7"/>
      <c r="E175" s="7"/>
      <c r="F175" s="7"/>
      <c r="G175" s="7"/>
      <c r="H175" s="7"/>
      <c r="I175" s="7"/>
      <c r="J175" s="7"/>
      <c r="K175" s="7"/>
      <c r="L175" s="7"/>
    </row>
    <row r="176" spans="1:12" ht="15.75" x14ac:dyDescent="0.25">
      <c r="A176" s="93" t="s">
        <v>34</v>
      </c>
      <c r="C176" s="80"/>
      <c r="D176" s="52">
        <f t="shared" ref="D176:I176" si="76" xml:space="preserve"> D151 + D156 - D162 + D172 + D174</f>
        <v>45808</v>
      </c>
      <c r="E176" s="53">
        <f t="shared" si="76"/>
        <v>45808</v>
      </c>
      <c r="F176" s="54">
        <f t="shared" si="76"/>
        <v>45808</v>
      </c>
      <c r="G176" s="54">
        <f t="shared" si="76"/>
        <v>45808</v>
      </c>
      <c r="H176" s="54">
        <f t="shared" si="76"/>
        <v>45808</v>
      </c>
      <c r="I176" s="54">
        <f t="shared" si="76"/>
        <v>45808</v>
      </c>
      <c r="J176" s="54">
        <f t="shared" ref="J176:K176" si="77" xml:space="preserve"> J151 + J156 - J162 + J172 + J174</f>
        <v>13690</v>
      </c>
      <c r="K176" s="54">
        <f t="shared" si="77"/>
        <v>16757</v>
      </c>
      <c r="L176" s="54">
        <f t="shared" ref="L176" si="78" xml:space="preserve"> L151 + L156 - L162 + L172 + L174</f>
        <v>16757</v>
      </c>
    </row>
    <row r="177" spans="1:12" x14ac:dyDescent="0.25">
      <c r="B177" s="6"/>
      <c r="D177" s="7"/>
      <c r="E177" s="7"/>
      <c r="F177" s="7"/>
      <c r="G177" s="34"/>
      <c r="H177" s="34"/>
      <c r="I177" s="34"/>
      <c r="J177" s="34"/>
      <c r="K177" s="34"/>
      <c r="L177" s="34"/>
    </row>
    <row r="178" spans="1:12" ht="15.75" thickBot="1" x14ac:dyDescent="0.3"/>
    <row r="179" spans="1:12" x14ac:dyDescent="0.25">
      <c r="A179" s="8"/>
      <c r="B179" s="8"/>
      <c r="C179" s="8"/>
      <c r="D179" s="8"/>
      <c r="E179" s="8"/>
      <c r="F179" s="8"/>
      <c r="G179" s="8"/>
      <c r="H179" s="8"/>
      <c r="I179" s="8"/>
      <c r="J179" s="8"/>
      <c r="K179" s="8"/>
      <c r="L179" s="8"/>
    </row>
    <row r="180" spans="1:12" x14ac:dyDescent="0.25">
      <c r="B180" s="36"/>
      <c r="C180" s="36"/>
      <c r="D180" s="36"/>
      <c r="E180" s="36"/>
      <c r="F180" s="36"/>
      <c r="G180" s="36"/>
      <c r="H180" s="36"/>
      <c r="I180" s="36"/>
      <c r="J180" s="36"/>
      <c r="K180" s="36"/>
      <c r="L180" s="36"/>
    </row>
    <row r="181" spans="1:12" ht="21" x14ac:dyDescent="0.35">
      <c r="A181" s="16" t="s">
        <v>4</v>
      </c>
      <c r="B181" s="16"/>
      <c r="C181" s="49" t="str">
        <f>B6</f>
        <v>Cabinet Gorge #4</v>
      </c>
      <c r="D181" s="50"/>
      <c r="E181" s="22"/>
      <c r="F181" s="22"/>
    </row>
    <row r="183" spans="1:12" ht="18.75" x14ac:dyDescent="0.3">
      <c r="A183" s="9" t="s">
        <v>28</v>
      </c>
      <c r="B183" s="9"/>
      <c r="D183" s="2">
        <v>2013</v>
      </c>
      <c r="E183" s="2">
        <f t="shared" ref="E183:J183" si="79">D183+1</f>
        <v>2014</v>
      </c>
      <c r="F183" s="2">
        <f t="shared" si="79"/>
        <v>2015</v>
      </c>
      <c r="G183" s="2">
        <f t="shared" si="79"/>
        <v>2016</v>
      </c>
      <c r="H183" s="2">
        <f t="shared" si="79"/>
        <v>2017</v>
      </c>
      <c r="I183" s="2">
        <f t="shared" si="79"/>
        <v>2018</v>
      </c>
      <c r="J183" s="2">
        <f t="shared" si="79"/>
        <v>2019</v>
      </c>
      <c r="K183" s="2">
        <f>J183+1</f>
        <v>2020</v>
      </c>
      <c r="L183" s="2">
        <f>K183+1</f>
        <v>2021</v>
      </c>
    </row>
    <row r="184" spans="1:12" x14ac:dyDescent="0.25">
      <c r="B184" s="90" t="str">
        <f>"Total MWh Produced / Purchased from " &amp; C181</f>
        <v>Total MWh Produced / Purchased from Cabinet Gorge #4</v>
      </c>
      <c r="C184" s="80"/>
      <c r="D184" s="3">
        <v>20517</v>
      </c>
      <c r="E184" s="4">
        <v>20517</v>
      </c>
      <c r="F184" s="5">
        <v>20517</v>
      </c>
      <c r="G184" s="5">
        <v>20517</v>
      </c>
      <c r="H184" s="5">
        <v>20517</v>
      </c>
      <c r="I184" s="5">
        <v>20517</v>
      </c>
      <c r="J184" s="5">
        <v>6137</v>
      </c>
      <c r="K184" s="5">
        <v>1357</v>
      </c>
      <c r="L184" s="5">
        <v>1357</v>
      </c>
    </row>
    <row r="185" spans="1:12" x14ac:dyDescent="0.25">
      <c r="B185" s="90" t="s">
        <v>33</v>
      </c>
      <c r="C185" s="80"/>
      <c r="D185" s="64">
        <v>1</v>
      </c>
      <c r="E185" s="65">
        <v>1</v>
      </c>
      <c r="F185" s="66">
        <v>1</v>
      </c>
      <c r="G185" s="66">
        <v>1</v>
      </c>
      <c r="H185" s="66">
        <v>1</v>
      </c>
      <c r="I185" s="66">
        <v>1</v>
      </c>
      <c r="J185" s="66">
        <v>1</v>
      </c>
      <c r="K185" s="66">
        <v>1</v>
      </c>
      <c r="L185" s="66">
        <v>1</v>
      </c>
    </row>
    <row r="186" spans="1:12" x14ac:dyDescent="0.25">
      <c r="B186" s="90" t="s">
        <v>27</v>
      </c>
      <c r="C186" s="80"/>
      <c r="D186" s="57">
        <v>1</v>
      </c>
      <c r="E186" s="58">
        <v>1</v>
      </c>
      <c r="F186" s="59">
        <v>1</v>
      </c>
      <c r="G186" s="59">
        <v>1</v>
      </c>
      <c r="H186" s="59">
        <v>1</v>
      </c>
      <c r="I186" s="59">
        <v>1</v>
      </c>
      <c r="J186" s="59">
        <v>1</v>
      </c>
      <c r="K186" s="59">
        <v>1</v>
      </c>
      <c r="L186" s="59">
        <v>1</v>
      </c>
    </row>
    <row r="187" spans="1:12" x14ac:dyDescent="0.25">
      <c r="B187" s="87" t="s">
        <v>29</v>
      </c>
      <c r="C187" s="88"/>
      <c r="D187" s="44">
        <f t="shared" ref="D187:L187" si="80" xml:space="preserve"> D184 * D185 * D186</f>
        <v>20517</v>
      </c>
      <c r="E187" s="44">
        <f t="shared" si="80"/>
        <v>20517</v>
      </c>
      <c r="F187" s="44">
        <f t="shared" si="80"/>
        <v>20517</v>
      </c>
      <c r="G187" s="44">
        <f t="shared" si="80"/>
        <v>20517</v>
      </c>
      <c r="H187" s="44">
        <f t="shared" si="80"/>
        <v>20517</v>
      </c>
      <c r="I187" s="44">
        <f t="shared" si="80"/>
        <v>20517</v>
      </c>
      <c r="J187" s="44">
        <f t="shared" si="80"/>
        <v>6137</v>
      </c>
      <c r="K187" s="44">
        <f t="shared" si="80"/>
        <v>1357</v>
      </c>
      <c r="L187" s="44">
        <f t="shared" si="80"/>
        <v>1357</v>
      </c>
    </row>
    <row r="188" spans="1:12" x14ac:dyDescent="0.25">
      <c r="B188" s="22"/>
      <c r="C188" s="36"/>
      <c r="D188" s="43"/>
      <c r="E188" s="43"/>
      <c r="F188" s="43"/>
      <c r="G188" s="43"/>
      <c r="H188" s="43"/>
      <c r="I188" s="43"/>
      <c r="J188" s="43"/>
      <c r="K188" s="43"/>
      <c r="L188" s="43"/>
    </row>
    <row r="189" spans="1:12" ht="18.75" x14ac:dyDescent="0.3">
      <c r="A189" s="51" t="s">
        <v>31</v>
      </c>
      <c r="C189" s="36"/>
      <c r="D189" s="2">
        <f>D183</f>
        <v>2013</v>
      </c>
      <c r="E189" s="2">
        <f t="shared" ref="E189:J189" si="81">D189+1</f>
        <v>2014</v>
      </c>
      <c r="F189" s="2">
        <f t="shared" si="81"/>
        <v>2015</v>
      </c>
      <c r="G189" s="2">
        <f t="shared" si="81"/>
        <v>2016</v>
      </c>
      <c r="H189" s="2">
        <f t="shared" si="81"/>
        <v>2017</v>
      </c>
      <c r="I189" s="2">
        <f t="shared" si="81"/>
        <v>2018</v>
      </c>
      <c r="J189" s="2">
        <f t="shared" si="81"/>
        <v>2019</v>
      </c>
      <c r="K189" s="2">
        <f>J189+1</f>
        <v>2020</v>
      </c>
      <c r="L189" s="2">
        <f>K189+1</f>
        <v>2021</v>
      </c>
    </row>
    <row r="190" spans="1:12" x14ac:dyDescent="0.25">
      <c r="B190" s="90" t="s">
        <v>20</v>
      </c>
      <c r="C190" s="80"/>
      <c r="D190" s="60">
        <f>IF( $E6 = "Eligible", D187 * 'Facility Detail'!$B$601, 0 )</f>
        <v>0</v>
      </c>
      <c r="E190" s="13">
        <f>IF( $E6 = "Eligible", E187 * 'Facility Detail'!$B$601, 0 )</f>
        <v>0</v>
      </c>
      <c r="F190" s="14">
        <f>IF( $E6 = "Eligible", F187 * 'Facility Detail'!$B$601, 0 )</f>
        <v>0</v>
      </c>
      <c r="G190" s="14">
        <f>IF( $E6 = "Eligible", G187 * 'Facility Detail'!$B$601, 0 )</f>
        <v>0</v>
      </c>
      <c r="H190" s="14">
        <f>IF( $E6 = "Eligible", H187 * 'Facility Detail'!$B$601, 0 )</f>
        <v>0</v>
      </c>
      <c r="I190" s="14">
        <f>IF( $E6 = "Eligible", I187 * 'Facility Detail'!$B$601, 0 )</f>
        <v>0</v>
      </c>
      <c r="J190" s="14">
        <f>IF( $E6 = "Eligible", J187 * 'Facility Detail'!$B$601, 0 )</f>
        <v>0</v>
      </c>
      <c r="K190" s="14">
        <f>IF( $E6 = "Eligible", K187 * 'Facility Detail'!$B$601, 0 )</f>
        <v>0</v>
      </c>
      <c r="L190" s="14">
        <f>IF( $E6 = "Eligible", L187 * 'Facility Detail'!$B$601, 0 )</f>
        <v>0</v>
      </c>
    </row>
    <row r="191" spans="1:12" x14ac:dyDescent="0.25">
      <c r="B191" s="90" t="s">
        <v>6</v>
      </c>
      <c r="C191" s="80"/>
      <c r="D191" s="61">
        <f t="shared" ref="D191:I191" si="82">IF( $F6 = "Eligible", D187, 0 )</f>
        <v>0</v>
      </c>
      <c r="E191" s="62">
        <f t="shared" si="82"/>
        <v>0</v>
      </c>
      <c r="F191" s="63">
        <f t="shared" si="82"/>
        <v>0</v>
      </c>
      <c r="G191" s="63">
        <f t="shared" si="82"/>
        <v>0</v>
      </c>
      <c r="H191" s="63">
        <f t="shared" si="82"/>
        <v>0</v>
      </c>
      <c r="I191" s="63">
        <f t="shared" si="82"/>
        <v>0</v>
      </c>
      <c r="J191" s="63">
        <f t="shared" ref="J191:K191" si="83">IF( $F6 = "Eligible", J187, 0 )</f>
        <v>0</v>
      </c>
      <c r="K191" s="63">
        <f t="shared" si="83"/>
        <v>0</v>
      </c>
      <c r="L191" s="63">
        <f t="shared" ref="L191" si="84">IF( $F6 = "Eligible", L187, 0 )</f>
        <v>0</v>
      </c>
    </row>
    <row r="192" spans="1:12" x14ac:dyDescent="0.25">
      <c r="B192" s="89" t="s">
        <v>38</v>
      </c>
      <c r="C192" s="88"/>
      <c r="D192" s="46">
        <f t="shared" ref="D192:I192" si="85">SUM(D190:D191)</f>
        <v>0</v>
      </c>
      <c r="E192" s="47">
        <f t="shared" si="85"/>
        <v>0</v>
      </c>
      <c r="F192" s="47">
        <f t="shared" si="85"/>
        <v>0</v>
      </c>
      <c r="G192" s="47">
        <f t="shared" si="85"/>
        <v>0</v>
      </c>
      <c r="H192" s="47">
        <f t="shared" si="85"/>
        <v>0</v>
      </c>
      <c r="I192" s="47">
        <f t="shared" si="85"/>
        <v>0</v>
      </c>
      <c r="J192" s="47">
        <f t="shared" ref="J192:K192" si="86">SUM(J190:J191)</f>
        <v>0</v>
      </c>
      <c r="K192" s="47">
        <f t="shared" si="86"/>
        <v>0</v>
      </c>
      <c r="L192" s="47">
        <f t="shared" ref="L192" si="87">SUM(L190:L191)</f>
        <v>0</v>
      </c>
    </row>
    <row r="193" spans="1:12" x14ac:dyDescent="0.25">
      <c r="B193" s="36"/>
      <c r="C193" s="36"/>
      <c r="D193" s="45"/>
      <c r="E193" s="37"/>
      <c r="F193" s="37"/>
      <c r="G193" s="37"/>
      <c r="H193" s="37"/>
      <c r="I193" s="37"/>
      <c r="J193" s="37"/>
      <c r="K193" s="37"/>
      <c r="L193" s="37"/>
    </row>
    <row r="194" spans="1:12" ht="18.75" x14ac:dyDescent="0.3">
      <c r="A194" s="48" t="s">
        <v>36</v>
      </c>
      <c r="C194" s="36"/>
      <c r="D194" s="2">
        <f>D183</f>
        <v>2013</v>
      </c>
      <c r="E194" s="2">
        <f t="shared" ref="E194:J194" si="88">D194+1</f>
        <v>2014</v>
      </c>
      <c r="F194" s="2">
        <f t="shared" si="88"/>
        <v>2015</v>
      </c>
      <c r="G194" s="2">
        <f t="shared" si="88"/>
        <v>2016</v>
      </c>
      <c r="H194" s="2">
        <f t="shared" si="88"/>
        <v>2017</v>
      </c>
      <c r="I194" s="2">
        <f t="shared" si="88"/>
        <v>2018</v>
      </c>
      <c r="J194" s="2">
        <f t="shared" si="88"/>
        <v>2019</v>
      </c>
      <c r="K194" s="2">
        <f>J194+1</f>
        <v>2020</v>
      </c>
      <c r="L194" s="2">
        <f>K194+1</f>
        <v>2021</v>
      </c>
    </row>
    <row r="195" spans="1:12" x14ac:dyDescent="0.25">
      <c r="B195" s="90" t="s">
        <v>40</v>
      </c>
      <c r="C195" s="80"/>
      <c r="D195" s="98">
        <v>0</v>
      </c>
      <c r="E195" s="99">
        <v>0</v>
      </c>
      <c r="F195" s="100">
        <v>0</v>
      </c>
      <c r="G195" s="100">
        <v>0</v>
      </c>
      <c r="H195" s="100">
        <v>0</v>
      </c>
      <c r="I195" s="100">
        <v>0</v>
      </c>
      <c r="J195" s="100">
        <v>0</v>
      </c>
      <c r="K195" s="100">
        <v>0</v>
      </c>
      <c r="L195" s="100">
        <v>0</v>
      </c>
    </row>
    <row r="196" spans="1:12" x14ac:dyDescent="0.25">
      <c r="B196" s="91" t="s">
        <v>30</v>
      </c>
      <c r="C196" s="92"/>
      <c r="D196" s="101">
        <v>0</v>
      </c>
      <c r="E196" s="102">
        <v>0</v>
      </c>
      <c r="F196" s="103">
        <v>0</v>
      </c>
      <c r="G196" s="103">
        <v>0</v>
      </c>
      <c r="H196" s="103">
        <v>0</v>
      </c>
      <c r="I196" s="103">
        <v>0</v>
      </c>
      <c r="J196" s="103">
        <v>0</v>
      </c>
      <c r="K196" s="103">
        <v>0</v>
      </c>
      <c r="L196" s="103">
        <v>0</v>
      </c>
    </row>
    <row r="197" spans="1:12" x14ac:dyDescent="0.25">
      <c r="B197" s="104" t="s">
        <v>42</v>
      </c>
      <c r="C197" s="96"/>
      <c r="D197" s="67">
        <v>0</v>
      </c>
      <c r="E197" s="68">
        <v>0</v>
      </c>
      <c r="F197" s="69">
        <v>0</v>
      </c>
      <c r="G197" s="69">
        <v>0</v>
      </c>
      <c r="H197" s="69">
        <v>0</v>
      </c>
      <c r="I197" s="69">
        <v>0</v>
      </c>
      <c r="J197" s="69">
        <v>0</v>
      </c>
      <c r="K197" s="69">
        <v>0</v>
      </c>
      <c r="L197" s="69">
        <v>0</v>
      </c>
    </row>
    <row r="198" spans="1:12" x14ac:dyDescent="0.25">
      <c r="B198" s="39" t="s">
        <v>43</v>
      </c>
      <c r="D198" s="7">
        <f t="shared" ref="D198:I198" si="89">SUM(D195:D197)</f>
        <v>0</v>
      </c>
      <c r="E198" s="7">
        <f t="shared" si="89"/>
        <v>0</v>
      </c>
      <c r="F198" s="7">
        <f t="shared" si="89"/>
        <v>0</v>
      </c>
      <c r="G198" s="7">
        <f t="shared" si="89"/>
        <v>0</v>
      </c>
      <c r="H198" s="7">
        <f t="shared" si="89"/>
        <v>0</v>
      </c>
      <c r="I198" s="7">
        <f t="shared" si="89"/>
        <v>0</v>
      </c>
      <c r="J198" s="7">
        <f t="shared" ref="J198:K198" si="90">SUM(J195:J197)</f>
        <v>0</v>
      </c>
      <c r="K198" s="7">
        <f t="shared" si="90"/>
        <v>0</v>
      </c>
      <c r="L198" s="7">
        <f t="shared" ref="L198" si="91">SUM(L195:L197)</f>
        <v>0</v>
      </c>
    </row>
    <row r="199" spans="1:12" x14ac:dyDescent="0.25">
      <c r="B199" s="6"/>
      <c r="D199" s="7"/>
      <c r="E199" s="7"/>
      <c r="F199" s="7"/>
      <c r="G199" s="7"/>
      <c r="H199" s="7"/>
      <c r="I199" s="7"/>
      <c r="J199" s="7"/>
      <c r="K199" s="7"/>
      <c r="L199" s="7"/>
    </row>
    <row r="200" spans="1:12" ht="18.75" x14ac:dyDescent="0.3">
      <c r="A200" s="9" t="s">
        <v>44</v>
      </c>
      <c r="D200" s="2">
        <f>D183</f>
        <v>2013</v>
      </c>
      <c r="E200" s="2">
        <f t="shared" ref="E200:J200" si="92">D200+1</f>
        <v>2014</v>
      </c>
      <c r="F200" s="2">
        <f t="shared" si="92"/>
        <v>2015</v>
      </c>
      <c r="G200" s="2">
        <f t="shared" si="92"/>
        <v>2016</v>
      </c>
      <c r="H200" s="2">
        <f t="shared" si="92"/>
        <v>2017</v>
      </c>
      <c r="I200" s="2">
        <f t="shared" si="92"/>
        <v>2018</v>
      </c>
      <c r="J200" s="2">
        <f t="shared" si="92"/>
        <v>2019</v>
      </c>
      <c r="K200" s="2">
        <f>J200+1</f>
        <v>2020</v>
      </c>
      <c r="L200" s="2">
        <f>K200+1</f>
        <v>2021</v>
      </c>
    </row>
    <row r="201" spans="1:12" x14ac:dyDescent="0.25">
      <c r="B201" s="90" t="str">
        <f xml:space="preserve"> 'Facility Detail'!$B$756 &amp; " Surplus Applied to " &amp; ( 'Facility Detail'!$B$756 + 1 )</f>
        <v>2013 Surplus Applied to 2014</v>
      </c>
      <c r="C201" s="80"/>
      <c r="D201" s="3"/>
      <c r="E201" s="70">
        <f>D201</f>
        <v>0</v>
      </c>
      <c r="F201" s="143"/>
      <c r="G201" s="72"/>
      <c r="H201" s="72"/>
      <c r="I201" s="72"/>
      <c r="J201" s="72"/>
      <c r="K201" s="72"/>
      <c r="L201" s="72"/>
    </row>
    <row r="202" spans="1:12" x14ac:dyDescent="0.25">
      <c r="B202" s="90" t="str">
        <f xml:space="preserve"> ( 'Facility Detail'!$B$756 + 1 ) &amp; " Surplus Applied to " &amp; ( 'Facility Detail'!$B$756 )</f>
        <v>2014 Surplus Applied to 2013</v>
      </c>
      <c r="C202" s="80"/>
      <c r="D202" s="144">
        <f>E202</f>
        <v>0</v>
      </c>
      <c r="E202" s="10"/>
      <c r="F202" s="84"/>
      <c r="G202" s="83"/>
      <c r="H202" s="83"/>
      <c r="I202" s="83"/>
      <c r="J202" s="83"/>
      <c r="K202" s="83"/>
      <c r="L202" s="83"/>
    </row>
    <row r="203" spans="1:12" x14ac:dyDescent="0.25">
      <c r="B203" s="90" t="str">
        <f xml:space="preserve"> ( 'Facility Detail'!$B$756 + 1 ) &amp; " Surplus Applied to " &amp; ( 'Facility Detail'!$B$756 + 2 )</f>
        <v>2014 Surplus Applied to 2015</v>
      </c>
      <c r="C203" s="80"/>
      <c r="D203" s="73"/>
      <c r="E203" s="10"/>
      <c r="F203" s="79">
        <f>E203</f>
        <v>0</v>
      </c>
      <c r="G203" s="83"/>
      <c r="H203" s="83"/>
      <c r="I203" s="83"/>
      <c r="J203" s="83"/>
      <c r="K203" s="83"/>
      <c r="L203" s="83"/>
    </row>
    <row r="204" spans="1:12" x14ac:dyDescent="0.25">
      <c r="B204" s="90" t="str">
        <f xml:space="preserve"> ( 'Facility Detail'!$B$756 + 2 ) &amp; " Surplus Applied to " &amp; ( 'Facility Detail'!$B$756 + 1 )</f>
        <v>2015 Surplus Applied to 2014</v>
      </c>
      <c r="C204" s="80"/>
      <c r="D204" s="73"/>
      <c r="E204" s="79">
        <f>F204</f>
        <v>0</v>
      </c>
      <c r="F204" s="10"/>
      <c r="G204" s="83"/>
      <c r="H204" s="83"/>
      <c r="I204" s="83"/>
      <c r="J204" s="83"/>
      <c r="K204" s="83"/>
      <c r="L204" s="83"/>
    </row>
    <row r="205" spans="1:12" x14ac:dyDescent="0.25">
      <c r="B205" s="90" t="str">
        <f xml:space="preserve"> ( 'Facility Detail'!$B$756 + 2 ) &amp; " Surplus Applied to " &amp; ( 'Facility Detail'!$B$756 + 3 )</f>
        <v>2015 Surplus Applied to 2016</v>
      </c>
      <c r="C205" s="36"/>
      <c r="D205" s="73"/>
      <c r="E205" s="84"/>
      <c r="F205" s="10"/>
      <c r="G205" s="145">
        <f>F205</f>
        <v>0</v>
      </c>
      <c r="H205" s="145">
        <f>G205</f>
        <v>0</v>
      </c>
      <c r="I205" s="145">
        <f>H205</f>
        <v>0</v>
      </c>
      <c r="J205" s="145">
        <f>I205</f>
        <v>0</v>
      </c>
      <c r="K205" s="145"/>
      <c r="L205" s="145"/>
    </row>
    <row r="206" spans="1:12" x14ac:dyDescent="0.25">
      <c r="B206" s="90" t="str">
        <f xml:space="preserve"> ( 'Facility Detail'!$B$756 +3 ) &amp; " Surplus Applied to " &amp; ( 'Facility Detail'!$B$756 + 2 )</f>
        <v>2016 Surplus Applied to 2015</v>
      </c>
      <c r="C206" s="36"/>
      <c r="D206" s="74"/>
      <c r="E206" s="85"/>
      <c r="F206" s="71">
        <f>G206</f>
        <v>0</v>
      </c>
      <c r="G206" s="146"/>
      <c r="H206" s="146"/>
      <c r="I206" s="146"/>
      <c r="J206" s="146"/>
      <c r="K206" s="146"/>
      <c r="L206" s="146"/>
    </row>
    <row r="207" spans="1:12" x14ac:dyDescent="0.25">
      <c r="B207" s="90" t="str">
        <f xml:space="preserve"> ( 'Facility Detail'!$B$756 +3 ) &amp; " Surplus Applied to " &amp; ( 'Facility Detail'!$B$756 + 4 )</f>
        <v>2016 Surplus Applied to 2017</v>
      </c>
      <c r="C207" s="36"/>
      <c r="D207" s="149"/>
      <c r="E207" s="149"/>
      <c r="F207" s="23"/>
      <c r="G207" s="150"/>
      <c r="H207" s="150"/>
      <c r="I207" s="150"/>
      <c r="J207" s="150"/>
      <c r="K207" s="150"/>
      <c r="L207" s="150"/>
    </row>
    <row r="208" spans="1:12" x14ac:dyDescent="0.25">
      <c r="B208" s="39" t="s">
        <v>26</v>
      </c>
      <c r="D208" s="7">
        <f xml:space="preserve"> D202 - D201</f>
        <v>0</v>
      </c>
      <c r="E208" s="7">
        <f xml:space="preserve"> E201 + E204 - E203 - E202</f>
        <v>0</v>
      </c>
      <c r="F208" s="7">
        <f>F203+F206-F204-F205</f>
        <v>0</v>
      </c>
      <c r="G208" s="7">
        <f t="shared" ref="G208:L208" si="93">G205-G206</f>
        <v>0</v>
      </c>
      <c r="H208" s="7">
        <f t="shared" si="93"/>
        <v>0</v>
      </c>
      <c r="I208" s="7">
        <f t="shared" si="93"/>
        <v>0</v>
      </c>
      <c r="J208" s="7">
        <f t="shared" si="93"/>
        <v>0</v>
      </c>
      <c r="K208" s="7">
        <f t="shared" si="93"/>
        <v>0</v>
      </c>
      <c r="L208" s="7">
        <f t="shared" si="93"/>
        <v>0</v>
      </c>
    </row>
    <row r="209" spans="1:12" x14ac:dyDescent="0.25">
      <c r="B209" s="6"/>
      <c r="D209" s="7"/>
      <c r="E209" s="7"/>
      <c r="F209" s="7"/>
      <c r="G209" s="7"/>
      <c r="H209" s="7"/>
      <c r="I209" s="7"/>
      <c r="J209" s="7"/>
      <c r="K209" s="7"/>
      <c r="L209" s="7"/>
    </row>
    <row r="210" spans="1:12" x14ac:dyDescent="0.25">
      <c r="B210" s="97" t="s">
        <v>22</v>
      </c>
      <c r="C210" s="80"/>
      <c r="D210" s="111"/>
      <c r="E210" s="112"/>
      <c r="F210" s="113"/>
      <c r="G210" s="113"/>
      <c r="H210" s="113"/>
      <c r="I210" s="113"/>
      <c r="J210" s="113"/>
      <c r="K210" s="113"/>
      <c r="L210" s="113"/>
    </row>
    <row r="211" spans="1:12" x14ac:dyDescent="0.25">
      <c r="B211" s="6"/>
      <c r="D211" s="7"/>
      <c r="E211" s="7"/>
      <c r="F211" s="7"/>
      <c r="G211" s="7"/>
      <c r="H211" s="7"/>
      <c r="I211" s="7"/>
      <c r="J211" s="7"/>
      <c r="K211" s="7"/>
      <c r="L211" s="7"/>
    </row>
    <row r="212" spans="1:12" ht="15.75" x14ac:dyDescent="0.25">
      <c r="A212" s="93" t="s">
        <v>34</v>
      </c>
      <c r="C212" s="80"/>
      <c r="D212" s="52">
        <f t="shared" ref="D212:I212" si="94" xml:space="preserve"> D187 + D192 - D198 + D208 + D210</f>
        <v>20517</v>
      </c>
      <c r="E212" s="53">
        <f t="shared" si="94"/>
        <v>20517</v>
      </c>
      <c r="F212" s="54">
        <f t="shared" si="94"/>
        <v>20517</v>
      </c>
      <c r="G212" s="54">
        <f t="shared" si="94"/>
        <v>20517</v>
      </c>
      <c r="H212" s="54">
        <f t="shared" si="94"/>
        <v>20517</v>
      </c>
      <c r="I212" s="54">
        <f t="shared" si="94"/>
        <v>20517</v>
      </c>
      <c r="J212" s="54">
        <f t="shared" ref="J212:K212" si="95" xml:space="preserve"> J187 + J192 - J198 + J208 + J210</f>
        <v>6137</v>
      </c>
      <c r="K212" s="54">
        <f t="shared" si="95"/>
        <v>1357</v>
      </c>
      <c r="L212" s="54">
        <f t="shared" ref="L212" si="96" xml:space="preserve"> L187 + L192 - L198 + L208 + L210</f>
        <v>1357</v>
      </c>
    </row>
    <row r="213" spans="1:12" x14ac:dyDescent="0.25">
      <c r="B213" s="6"/>
      <c r="D213" s="7"/>
      <c r="E213" s="7"/>
      <c r="F213" s="7"/>
      <c r="G213" s="34"/>
      <c r="H213" s="34"/>
      <c r="I213" s="34"/>
      <c r="J213" s="34"/>
      <c r="K213" s="34"/>
      <c r="L213" s="34"/>
    </row>
    <row r="214" spans="1:12" ht="15.75" thickBot="1" x14ac:dyDescent="0.3"/>
    <row r="215" spans="1:12" x14ac:dyDescent="0.25">
      <c r="A215" s="8"/>
      <c r="B215" s="8"/>
      <c r="C215" s="8"/>
      <c r="D215" s="8"/>
      <c r="E215" s="8"/>
      <c r="F215" s="8"/>
      <c r="G215" s="8"/>
      <c r="H215" s="8"/>
      <c r="I215" s="8"/>
      <c r="J215" s="8"/>
      <c r="K215" s="8"/>
      <c r="L215" s="8"/>
    </row>
    <row r="216" spans="1:12" x14ac:dyDescent="0.25">
      <c r="B216" s="36"/>
      <c r="C216" s="36"/>
      <c r="D216" s="36"/>
      <c r="E216" s="36"/>
      <c r="F216" s="36"/>
      <c r="G216" s="36"/>
      <c r="H216" s="36"/>
      <c r="I216" s="36"/>
      <c r="J216" s="36"/>
      <c r="K216" s="36"/>
      <c r="L216" s="36"/>
    </row>
    <row r="217" spans="1:12" ht="21" x14ac:dyDescent="0.35">
      <c r="A217" s="16" t="s">
        <v>4</v>
      </c>
      <c r="B217" s="16"/>
      <c r="C217" s="49" t="str">
        <f>B7</f>
        <v>Noxon Rapids #1</v>
      </c>
      <c r="D217" s="50"/>
      <c r="E217" s="22"/>
      <c r="F217" s="22"/>
    </row>
    <row r="219" spans="1:12" ht="18.75" x14ac:dyDescent="0.3">
      <c r="A219" s="9" t="s">
        <v>28</v>
      </c>
      <c r="B219" s="9"/>
      <c r="D219" s="2">
        <v>2013</v>
      </c>
      <c r="E219" s="2">
        <f t="shared" ref="E219:J219" si="97">D219+1</f>
        <v>2014</v>
      </c>
      <c r="F219" s="2">
        <f t="shared" si="97"/>
        <v>2015</v>
      </c>
      <c r="G219" s="2">
        <f t="shared" si="97"/>
        <v>2016</v>
      </c>
      <c r="H219" s="2">
        <f t="shared" si="97"/>
        <v>2017</v>
      </c>
      <c r="I219" s="2">
        <f t="shared" si="97"/>
        <v>2018</v>
      </c>
      <c r="J219" s="2">
        <f t="shared" si="97"/>
        <v>2019</v>
      </c>
      <c r="K219" s="2">
        <f>J219+1</f>
        <v>2020</v>
      </c>
      <c r="L219" s="2">
        <f>K219+1</f>
        <v>2021</v>
      </c>
    </row>
    <row r="220" spans="1:12" x14ac:dyDescent="0.25">
      <c r="B220" s="90" t="str">
        <f>"Total MWh Produced / Purchased from " &amp; C217</f>
        <v>Total MWh Produced / Purchased from Noxon Rapids #1</v>
      </c>
      <c r="C220" s="80"/>
      <c r="D220" s="3">
        <v>21435</v>
      </c>
      <c r="E220" s="4">
        <v>21435</v>
      </c>
      <c r="F220" s="5">
        <v>21435</v>
      </c>
      <c r="G220" s="5">
        <v>21435</v>
      </c>
      <c r="H220" s="5">
        <v>21435</v>
      </c>
      <c r="I220" s="5">
        <v>21435</v>
      </c>
      <c r="J220" s="5">
        <v>23719</v>
      </c>
      <c r="K220" s="5">
        <v>25911</v>
      </c>
      <c r="L220" s="5">
        <v>25911</v>
      </c>
    </row>
    <row r="221" spans="1:12" x14ac:dyDescent="0.25">
      <c r="B221" s="90" t="s">
        <v>33</v>
      </c>
      <c r="C221" s="80"/>
      <c r="D221" s="64">
        <v>1</v>
      </c>
      <c r="E221" s="65">
        <v>1</v>
      </c>
      <c r="F221" s="66">
        <v>1</v>
      </c>
      <c r="G221" s="66">
        <v>1</v>
      </c>
      <c r="H221" s="66">
        <v>1</v>
      </c>
      <c r="I221" s="66">
        <v>1</v>
      </c>
      <c r="J221" s="66">
        <v>1</v>
      </c>
      <c r="K221" s="66">
        <v>1</v>
      </c>
      <c r="L221" s="66">
        <v>1</v>
      </c>
    </row>
    <row r="222" spans="1:12" x14ac:dyDescent="0.25">
      <c r="B222" s="90" t="s">
        <v>27</v>
      </c>
      <c r="C222" s="80"/>
      <c r="D222" s="57">
        <v>1</v>
      </c>
      <c r="E222" s="58">
        <v>1</v>
      </c>
      <c r="F222" s="59">
        <v>1</v>
      </c>
      <c r="G222" s="59">
        <v>1</v>
      </c>
      <c r="H222" s="59">
        <v>1</v>
      </c>
      <c r="I222" s="59">
        <v>1</v>
      </c>
      <c r="J222" s="59">
        <v>1</v>
      </c>
      <c r="K222" s="59">
        <v>1</v>
      </c>
      <c r="L222" s="59">
        <v>1</v>
      </c>
    </row>
    <row r="223" spans="1:12" x14ac:dyDescent="0.25">
      <c r="B223" s="87" t="s">
        <v>29</v>
      </c>
      <c r="C223" s="88"/>
      <c r="D223" s="44">
        <f t="shared" ref="D223:I223" si="98" xml:space="preserve"> D220 * D221 * D222</f>
        <v>21435</v>
      </c>
      <c r="E223" s="44">
        <f t="shared" si="98"/>
        <v>21435</v>
      </c>
      <c r="F223" s="44">
        <f t="shared" si="98"/>
        <v>21435</v>
      </c>
      <c r="G223" s="44">
        <f t="shared" si="98"/>
        <v>21435</v>
      </c>
      <c r="H223" s="44">
        <f t="shared" si="98"/>
        <v>21435</v>
      </c>
      <c r="I223" s="44">
        <f t="shared" si="98"/>
        <v>21435</v>
      </c>
      <c r="J223" s="44">
        <f t="shared" ref="J223:K223" si="99" xml:space="preserve"> J220 * J221 * J222</f>
        <v>23719</v>
      </c>
      <c r="K223" s="44">
        <f t="shared" si="99"/>
        <v>25911</v>
      </c>
      <c r="L223" s="44">
        <f t="shared" ref="L223" si="100" xml:space="preserve"> L220 * L221 * L222</f>
        <v>25911</v>
      </c>
    </row>
    <row r="224" spans="1:12" x14ac:dyDescent="0.25">
      <c r="B224" s="22"/>
      <c r="C224" s="36"/>
      <c r="D224" s="43"/>
      <c r="E224" s="43"/>
      <c r="F224" s="43"/>
      <c r="G224" s="43"/>
      <c r="H224" s="43"/>
      <c r="I224" s="43"/>
      <c r="J224" s="43"/>
      <c r="K224" s="43"/>
      <c r="L224" s="43"/>
    </row>
    <row r="225" spans="1:12" ht="18.75" x14ac:dyDescent="0.3">
      <c r="A225" s="51" t="s">
        <v>31</v>
      </c>
      <c r="C225" s="36"/>
      <c r="D225" s="2">
        <f>D219</f>
        <v>2013</v>
      </c>
      <c r="E225" s="2">
        <f t="shared" ref="E225:J225" si="101">D225+1</f>
        <v>2014</v>
      </c>
      <c r="F225" s="2">
        <f t="shared" si="101"/>
        <v>2015</v>
      </c>
      <c r="G225" s="2">
        <f t="shared" si="101"/>
        <v>2016</v>
      </c>
      <c r="H225" s="2">
        <f t="shared" si="101"/>
        <v>2017</v>
      </c>
      <c r="I225" s="2">
        <f t="shared" si="101"/>
        <v>2018</v>
      </c>
      <c r="J225" s="2">
        <f t="shared" si="101"/>
        <v>2019</v>
      </c>
      <c r="K225" s="2">
        <f>J225+1</f>
        <v>2020</v>
      </c>
      <c r="L225" s="2">
        <f>K225+1</f>
        <v>2021</v>
      </c>
    </row>
    <row r="226" spans="1:12" x14ac:dyDescent="0.25">
      <c r="B226" s="90" t="s">
        <v>20</v>
      </c>
      <c r="C226" s="80"/>
      <c r="D226" s="60">
        <f>IF( $E7 = "Eligible", D223 * 'Facility Detail'!$B$601, 0 )</f>
        <v>0</v>
      </c>
      <c r="E226" s="13">
        <f>IF( $E7 = "Eligible", E223 * 'Facility Detail'!$B$601, 0 )</f>
        <v>0</v>
      </c>
      <c r="F226" s="14">
        <f>IF( $E7 = "Eligible", F223 * 'Facility Detail'!$B$601, 0 )</f>
        <v>0</v>
      </c>
      <c r="G226" s="14">
        <f>IF( $E7 = "Eligible", G223 * 'Facility Detail'!$B$601, 0 )</f>
        <v>0</v>
      </c>
      <c r="H226" s="14">
        <f>IF( $E7 = "Eligible", H223 * 'Facility Detail'!$B$601, 0 )</f>
        <v>0</v>
      </c>
      <c r="I226" s="14">
        <f>IF( $E7 = "Eligible", I223 * 'Facility Detail'!$B$601, 0 )</f>
        <v>0</v>
      </c>
      <c r="J226" s="14">
        <f>IF( $E7 = "Eligible", J223 * 'Facility Detail'!$B$601, 0 )</f>
        <v>0</v>
      </c>
      <c r="K226" s="14">
        <f>IF( $E7 = "Eligible", K223 * 'Facility Detail'!$B$601, 0 )</f>
        <v>0</v>
      </c>
      <c r="L226" s="14">
        <f>IF( $E7 = "Eligible", L223 * 'Facility Detail'!$B$601, 0 )</f>
        <v>0</v>
      </c>
    </row>
    <row r="227" spans="1:12" x14ac:dyDescent="0.25">
      <c r="B227" s="90" t="s">
        <v>6</v>
      </c>
      <c r="C227" s="80"/>
      <c r="D227" s="61">
        <f t="shared" ref="D227:I227" si="102">IF( $F7 = "Eligible", D223, 0 )</f>
        <v>0</v>
      </c>
      <c r="E227" s="62">
        <f t="shared" si="102"/>
        <v>0</v>
      </c>
      <c r="F227" s="63">
        <f t="shared" si="102"/>
        <v>0</v>
      </c>
      <c r="G227" s="63">
        <f t="shared" si="102"/>
        <v>0</v>
      </c>
      <c r="H227" s="63">
        <f t="shared" si="102"/>
        <v>0</v>
      </c>
      <c r="I227" s="63">
        <f t="shared" si="102"/>
        <v>0</v>
      </c>
      <c r="J227" s="63">
        <f t="shared" ref="J227:K227" si="103">IF( $F7 = "Eligible", J223, 0 )</f>
        <v>0</v>
      </c>
      <c r="K227" s="63">
        <f t="shared" si="103"/>
        <v>0</v>
      </c>
      <c r="L227" s="63">
        <f t="shared" ref="L227" si="104">IF( $F7 = "Eligible", L223, 0 )</f>
        <v>0</v>
      </c>
    </row>
    <row r="228" spans="1:12" x14ac:dyDescent="0.25">
      <c r="B228" s="89" t="s">
        <v>38</v>
      </c>
      <c r="C228" s="88"/>
      <c r="D228" s="46">
        <f t="shared" ref="D228:I228" si="105">SUM(D226:D227)</f>
        <v>0</v>
      </c>
      <c r="E228" s="47">
        <f t="shared" si="105"/>
        <v>0</v>
      </c>
      <c r="F228" s="47">
        <f t="shared" si="105"/>
        <v>0</v>
      </c>
      <c r="G228" s="47">
        <f t="shared" si="105"/>
        <v>0</v>
      </c>
      <c r="H228" s="47">
        <f t="shared" si="105"/>
        <v>0</v>
      </c>
      <c r="I228" s="47">
        <f t="shared" si="105"/>
        <v>0</v>
      </c>
      <c r="J228" s="47">
        <f t="shared" ref="J228:K228" si="106">SUM(J226:J227)</f>
        <v>0</v>
      </c>
      <c r="K228" s="47">
        <f t="shared" si="106"/>
        <v>0</v>
      </c>
      <c r="L228" s="47">
        <f t="shared" ref="L228" si="107">SUM(L226:L227)</f>
        <v>0</v>
      </c>
    </row>
    <row r="229" spans="1:12" x14ac:dyDescent="0.25">
      <c r="B229" s="36"/>
      <c r="C229" s="36"/>
      <c r="D229" s="45"/>
      <c r="E229" s="37"/>
      <c r="F229" s="37"/>
      <c r="G229" s="37"/>
      <c r="H229" s="37"/>
      <c r="I229" s="37"/>
      <c r="J229" s="37"/>
      <c r="K229" s="37"/>
      <c r="L229" s="37"/>
    </row>
    <row r="230" spans="1:12" ht="18.75" x14ac:dyDescent="0.3">
      <c r="A230" s="48" t="s">
        <v>36</v>
      </c>
      <c r="C230" s="36"/>
      <c r="D230" s="2">
        <f>D219</f>
        <v>2013</v>
      </c>
      <c r="E230" s="2">
        <f t="shared" ref="E230:J230" si="108">D230+1</f>
        <v>2014</v>
      </c>
      <c r="F230" s="2">
        <f t="shared" si="108"/>
        <v>2015</v>
      </c>
      <c r="G230" s="2">
        <f t="shared" si="108"/>
        <v>2016</v>
      </c>
      <c r="H230" s="2">
        <f t="shared" si="108"/>
        <v>2017</v>
      </c>
      <c r="I230" s="2">
        <f t="shared" si="108"/>
        <v>2018</v>
      </c>
      <c r="J230" s="2">
        <f t="shared" si="108"/>
        <v>2019</v>
      </c>
      <c r="K230" s="2">
        <f>J230+1</f>
        <v>2020</v>
      </c>
      <c r="L230" s="2">
        <f>K230+1</f>
        <v>2021</v>
      </c>
    </row>
    <row r="231" spans="1:12" x14ac:dyDescent="0.25">
      <c r="B231" s="90" t="s">
        <v>40</v>
      </c>
      <c r="C231" s="80"/>
      <c r="D231" s="98">
        <v>0</v>
      </c>
      <c r="E231" s="99">
        <v>0</v>
      </c>
      <c r="F231" s="100">
        <v>0</v>
      </c>
      <c r="G231" s="100">
        <v>0</v>
      </c>
      <c r="H231" s="100">
        <v>0</v>
      </c>
      <c r="I231" s="100">
        <v>0</v>
      </c>
      <c r="J231" s="100">
        <v>0</v>
      </c>
      <c r="K231" s="100">
        <v>0</v>
      </c>
      <c r="L231" s="100">
        <v>0</v>
      </c>
    </row>
    <row r="232" spans="1:12" x14ac:dyDescent="0.25">
      <c r="B232" s="91" t="s">
        <v>30</v>
      </c>
      <c r="C232" s="92"/>
      <c r="D232" s="101">
        <v>0</v>
      </c>
      <c r="E232" s="102">
        <v>0</v>
      </c>
      <c r="F232" s="103">
        <v>0</v>
      </c>
      <c r="G232" s="103">
        <v>0</v>
      </c>
      <c r="H232" s="103">
        <v>0</v>
      </c>
      <c r="I232" s="103">
        <v>0</v>
      </c>
      <c r="J232" s="103">
        <v>0</v>
      </c>
      <c r="K232" s="103">
        <v>0</v>
      </c>
      <c r="L232" s="103">
        <v>0</v>
      </c>
    </row>
    <row r="233" spans="1:12" x14ac:dyDescent="0.25">
      <c r="B233" s="104" t="s">
        <v>42</v>
      </c>
      <c r="C233" s="96"/>
      <c r="D233" s="67">
        <v>0</v>
      </c>
      <c r="E233" s="68">
        <v>0</v>
      </c>
      <c r="F233" s="69">
        <v>0</v>
      </c>
      <c r="G233" s="69">
        <v>0</v>
      </c>
      <c r="H233" s="69">
        <v>0</v>
      </c>
      <c r="I233" s="69">
        <v>0</v>
      </c>
      <c r="J233" s="69">
        <v>0</v>
      </c>
      <c r="K233" s="69">
        <v>0</v>
      </c>
      <c r="L233" s="69">
        <v>0</v>
      </c>
    </row>
    <row r="234" spans="1:12" x14ac:dyDescent="0.25">
      <c r="B234" s="39" t="s">
        <v>43</v>
      </c>
      <c r="D234" s="7">
        <f t="shared" ref="D234:I234" si="109">SUM(D231:D233)</f>
        <v>0</v>
      </c>
      <c r="E234" s="7">
        <f t="shared" si="109"/>
        <v>0</v>
      </c>
      <c r="F234" s="7">
        <f t="shared" si="109"/>
        <v>0</v>
      </c>
      <c r="G234" s="7">
        <f t="shared" si="109"/>
        <v>0</v>
      </c>
      <c r="H234" s="7">
        <f t="shared" si="109"/>
        <v>0</v>
      </c>
      <c r="I234" s="7">
        <f t="shared" si="109"/>
        <v>0</v>
      </c>
      <c r="J234" s="7">
        <f t="shared" ref="J234:K234" si="110">SUM(J231:J233)</f>
        <v>0</v>
      </c>
      <c r="K234" s="7">
        <f t="shared" si="110"/>
        <v>0</v>
      </c>
      <c r="L234" s="7">
        <f t="shared" ref="L234" si="111">SUM(L231:L233)</f>
        <v>0</v>
      </c>
    </row>
    <row r="235" spans="1:12" x14ac:dyDescent="0.25">
      <c r="B235" s="6"/>
      <c r="D235" s="7"/>
      <c r="E235" s="7"/>
      <c r="F235" s="7"/>
      <c r="G235" s="7"/>
      <c r="H235" s="7"/>
      <c r="I235" s="7"/>
      <c r="J235" s="7"/>
      <c r="K235" s="7"/>
      <c r="L235" s="7"/>
    </row>
    <row r="236" spans="1:12" ht="18.75" x14ac:dyDescent="0.3">
      <c r="A236" s="9" t="s">
        <v>44</v>
      </c>
      <c r="D236" s="2">
        <f>D219</f>
        <v>2013</v>
      </c>
      <c r="E236" s="2">
        <f t="shared" ref="E236:J236" si="112">D236+1</f>
        <v>2014</v>
      </c>
      <c r="F236" s="2">
        <f t="shared" si="112"/>
        <v>2015</v>
      </c>
      <c r="G236" s="2">
        <f t="shared" si="112"/>
        <v>2016</v>
      </c>
      <c r="H236" s="2">
        <f t="shared" si="112"/>
        <v>2017</v>
      </c>
      <c r="I236" s="2">
        <f t="shared" si="112"/>
        <v>2018</v>
      </c>
      <c r="J236" s="2">
        <f t="shared" si="112"/>
        <v>2019</v>
      </c>
      <c r="K236" s="2">
        <f>J236+1</f>
        <v>2020</v>
      </c>
      <c r="L236" s="2">
        <f>K236+1</f>
        <v>2021</v>
      </c>
    </row>
    <row r="237" spans="1:12" x14ac:dyDescent="0.25">
      <c r="B237" s="90" t="str">
        <f xml:space="preserve"> 'Facility Detail'!$B$756 &amp; " Surplus Applied to " &amp; ( 'Facility Detail'!$B$756 + 1 )</f>
        <v>2013 Surplus Applied to 2014</v>
      </c>
      <c r="C237" s="80"/>
      <c r="D237" s="3"/>
      <c r="E237" s="70">
        <f>D237</f>
        <v>0</v>
      </c>
      <c r="F237" s="143"/>
      <c r="G237" s="72"/>
      <c r="H237" s="72"/>
      <c r="I237" s="72"/>
      <c r="J237" s="72"/>
      <c r="K237" s="72"/>
      <c r="L237" s="72"/>
    </row>
    <row r="238" spans="1:12" x14ac:dyDescent="0.25">
      <c r="B238" s="90" t="str">
        <f xml:space="preserve"> ( 'Facility Detail'!$B$756 + 1 ) &amp; " Surplus Applied to " &amp; ( 'Facility Detail'!$B$756 )</f>
        <v>2014 Surplus Applied to 2013</v>
      </c>
      <c r="C238" s="80"/>
      <c r="D238" s="144">
        <f>E238</f>
        <v>0</v>
      </c>
      <c r="E238" s="10"/>
      <c r="F238" s="84"/>
      <c r="G238" s="83"/>
      <c r="H238" s="83"/>
      <c r="I238" s="83"/>
      <c r="J238" s="83"/>
      <c r="K238" s="83"/>
      <c r="L238" s="83"/>
    </row>
    <row r="239" spans="1:12" x14ac:dyDescent="0.25">
      <c r="B239" s="90" t="str">
        <f xml:space="preserve"> ( 'Facility Detail'!$B$756 + 1 ) &amp; " Surplus Applied to " &amp; ( 'Facility Detail'!$B$756 + 2 )</f>
        <v>2014 Surplus Applied to 2015</v>
      </c>
      <c r="C239" s="80"/>
      <c r="D239" s="73"/>
      <c r="E239" s="10"/>
      <c r="F239" s="79">
        <f>E239</f>
        <v>0</v>
      </c>
      <c r="G239" s="83"/>
      <c r="H239" s="83"/>
      <c r="I239" s="83"/>
      <c r="J239" s="83"/>
      <c r="K239" s="83"/>
      <c r="L239" s="83"/>
    </row>
    <row r="240" spans="1:12" x14ac:dyDescent="0.25">
      <c r="B240" s="90" t="str">
        <f xml:space="preserve"> ( 'Facility Detail'!$B$756 + 2 ) &amp; " Surplus Applied to " &amp; ( 'Facility Detail'!$B$756 + 1 )</f>
        <v>2015 Surplus Applied to 2014</v>
      </c>
      <c r="C240" s="80"/>
      <c r="D240" s="73"/>
      <c r="E240" s="79">
        <f>F240</f>
        <v>0</v>
      </c>
      <c r="F240" s="10"/>
      <c r="G240" s="83"/>
      <c r="H240" s="83"/>
      <c r="I240" s="83"/>
      <c r="J240" s="83"/>
      <c r="K240" s="83"/>
      <c r="L240" s="83"/>
    </row>
    <row r="241" spans="1:12" x14ac:dyDescent="0.25">
      <c r="B241" s="90" t="str">
        <f xml:space="preserve"> ( 'Facility Detail'!$B$756 + 2 ) &amp; " Surplus Applied to " &amp; ( 'Facility Detail'!$B$756 + 3 )</f>
        <v>2015 Surplus Applied to 2016</v>
      </c>
      <c r="C241" s="36"/>
      <c r="D241" s="73"/>
      <c r="E241" s="84"/>
      <c r="F241" s="10"/>
      <c r="G241" s="145">
        <f>F241</f>
        <v>0</v>
      </c>
      <c r="H241" s="145">
        <f>G241</f>
        <v>0</v>
      </c>
      <c r="I241" s="145">
        <f>H241</f>
        <v>0</v>
      </c>
      <c r="J241" s="145">
        <f>I241</f>
        <v>0</v>
      </c>
      <c r="K241" s="145"/>
      <c r="L241" s="145"/>
    </row>
    <row r="242" spans="1:12" x14ac:dyDescent="0.25">
      <c r="B242" s="90" t="str">
        <f xml:space="preserve"> ( 'Facility Detail'!$B$756 +3 ) &amp; " Surplus Applied to " &amp; ( 'Facility Detail'!$B$756 + 2 )</f>
        <v>2016 Surplus Applied to 2015</v>
      </c>
      <c r="C242" s="36"/>
      <c r="D242" s="74"/>
      <c r="E242" s="85"/>
      <c r="F242" s="71">
        <f>G242</f>
        <v>0</v>
      </c>
      <c r="G242" s="146"/>
      <c r="H242" s="146"/>
      <c r="I242" s="146"/>
      <c r="J242" s="146"/>
      <c r="K242" s="146"/>
      <c r="L242" s="146"/>
    </row>
    <row r="243" spans="1:12" x14ac:dyDescent="0.25">
      <c r="B243" s="90" t="str">
        <f xml:space="preserve"> ( 'Facility Detail'!$B$756 +3 ) &amp; " Surplus Applied to " &amp; ( 'Facility Detail'!$B$756 + 4 )</f>
        <v>2016 Surplus Applied to 2017</v>
      </c>
      <c r="C243" s="36"/>
      <c r="D243" s="149"/>
      <c r="E243" s="149"/>
      <c r="F243" s="23"/>
      <c r="G243" s="150"/>
      <c r="H243" s="150"/>
      <c r="I243" s="150"/>
      <c r="J243" s="150"/>
      <c r="K243" s="150"/>
      <c r="L243" s="150"/>
    </row>
    <row r="244" spans="1:12" x14ac:dyDescent="0.25">
      <c r="B244" s="39" t="s">
        <v>26</v>
      </c>
      <c r="D244" s="7">
        <f xml:space="preserve"> D238 - D237</f>
        <v>0</v>
      </c>
      <c r="E244" s="7">
        <f xml:space="preserve"> E237 + E240 - E239 - E238</f>
        <v>0</v>
      </c>
      <c r="F244" s="7">
        <f>F239+F242-F240-F241</f>
        <v>0</v>
      </c>
      <c r="G244" s="7">
        <f t="shared" ref="G244:L244" si="113">G241-G242</f>
        <v>0</v>
      </c>
      <c r="H244" s="7">
        <f t="shared" si="113"/>
        <v>0</v>
      </c>
      <c r="I244" s="7">
        <f t="shared" si="113"/>
        <v>0</v>
      </c>
      <c r="J244" s="7">
        <f t="shared" si="113"/>
        <v>0</v>
      </c>
      <c r="K244" s="7">
        <f t="shared" si="113"/>
        <v>0</v>
      </c>
      <c r="L244" s="7">
        <f t="shared" si="113"/>
        <v>0</v>
      </c>
    </row>
    <row r="245" spans="1:12" x14ac:dyDescent="0.25">
      <c r="B245" s="6"/>
      <c r="D245" s="7"/>
      <c r="E245" s="7"/>
      <c r="F245" s="7"/>
      <c r="G245" s="7"/>
      <c r="H245" s="7"/>
      <c r="I245" s="7"/>
      <c r="J245" s="7"/>
      <c r="K245" s="7"/>
      <c r="L245" s="7"/>
    </row>
    <row r="246" spans="1:12" x14ac:dyDescent="0.25">
      <c r="B246" s="97" t="s">
        <v>22</v>
      </c>
      <c r="C246" s="80"/>
      <c r="D246" s="111"/>
      <c r="E246" s="112"/>
      <c r="F246" s="113"/>
      <c r="G246" s="113"/>
      <c r="H246" s="113"/>
      <c r="I246" s="113"/>
      <c r="J246" s="113"/>
      <c r="K246" s="113"/>
      <c r="L246" s="113"/>
    </row>
    <row r="247" spans="1:12" x14ac:dyDescent="0.25">
      <c r="B247" s="6"/>
      <c r="D247" s="7"/>
      <c r="E247" s="7"/>
      <c r="F247" s="7"/>
      <c r="G247" s="7"/>
      <c r="H247" s="7"/>
      <c r="I247" s="7"/>
      <c r="J247" s="7"/>
      <c r="K247" s="7"/>
      <c r="L247" s="7"/>
    </row>
    <row r="248" spans="1:12" ht="15.75" x14ac:dyDescent="0.25">
      <c r="A248" s="93" t="s">
        <v>34</v>
      </c>
      <c r="C248" s="80"/>
      <c r="D248" s="52">
        <f t="shared" ref="D248:I248" si="114" xml:space="preserve"> D223 + D228 - D234 + D244 + D246</f>
        <v>21435</v>
      </c>
      <c r="E248" s="53">
        <f t="shared" si="114"/>
        <v>21435</v>
      </c>
      <c r="F248" s="54">
        <f t="shared" si="114"/>
        <v>21435</v>
      </c>
      <c r="G248" s="54">
        <f t="shared" si="114"/>
        <v>21435</v>
      </c>
      <c r="H248" s="54">
        <f t="shared" si="114"/>
        <v>21435</v>
      </c>
      <c r="I248" s="54">
        <f t="shared" si="114"/>
        <v>21435</v>
      </c>
      <c r="J248" s="54">
        <f t="shared" ref="J248:K248" si="115" xml:space="preserve"> J223 + J228 - J234 + J244 + J246</f>
        <v>23719</v>
      </c>
      <c r="K248" s="54">
        <f t="shared" si="115"/>
        <v>25911</v>
      </c>
      <c r="L248" s="54">
        <f t="shared" ref="L248" si="116" xml:space="preserve"> L223 + L228 - L234 + L244 + L246</f>
        <v>25911</v>
      </c>
    </row>
    <row r="249" spans="1:12" x14ac:dyDescent="0.25">
      <c r="B249" s="6"/>
      <c r="D249" s="7"/>
      <c r="E249" s="7"/>
      <c r="F249" s="7"/>
      <c r="G249" s="34"/>
      <c r="H249" s="34"/>
      <c r="I249" s="34"/>
      <c r="J249" s="34"/>
      <c r="K249" s="34"/>
      <c r="L249" s="34"/>
    </row>
    <row r="250" spans="1:12" ht="15.75" thickBot="1" x14ac:dyDescent="0.3"/>
    <row r="251" spans="1:12" x14ac:dyDescent="0.25">
      <c r="A251" s="8"/>
      <c r="B251" s="8"/>
      <c r="C251" s="8"/>
      <c r="D251" s="8"/>
      <c r="E251" s="8"/>
      <c r="F251" s="8"/>
      <c r="G251" s="8"/>
      <c r="H251" s="8"/>
      <c r="I251" s="8"/>
      <c r="J251" s="8"/>
      <c r="K251" s="8"/>
      <c r="L251" s="8"/>
    </row>
    <row r="252" spans="1:12" x14ac:dyDescent="0.25">
      <c r="B252" s="36"/>
      <c r="C252" s="36"/>
      <c r="D252" s="36"/>
      <c r="E252" s="36"/>
      <c r="F252" s="36"/>
      <c r="G252" s="36"/>
      <c r="H252" s="36"/>
      <c r="I252" s="36"/>
      <c r="J252" s="36"/>
      <c r="K252" s="36"/>
      <c r="L252" s="36"/>
    </row>
    <row r="253" spans="1:12" ht="21" x14ac:dyDescent="0.35">
      <c r="A253" s="16" t="s">
        <v>4</v>
      </c>
      <c r="B253" s="16"/>
      <c r="C253" s="49" t="str">
        <f>B8</f>
        <v>Noxon Rapids #2</v>
      </c>
      <c r="D253" s="50"/>
      <c r="E253" s="22"/>
      <c r="F253" s="22"/>
    </row>
    <row r="255" spans="1:12" ht="18.75" x14ac:dyDescent="0.3">
      <c r="A255" s="9" t="s">
        <v>28</v>
      </c>
      <c r="B255" s="9"/>
      <c r="D255" s="2">
        <v>2013</v>
      </c>
      <c r="E255" s="2">
        <f t="shared" ref="E255:J255" si="117">D255+1</f>
        <v>2014</v>
      </c>
      <c r="F255" s="2">
        <f t="shared" si="117"/>
        <v>2015</v>
      </c>
      <c r="G255" s="2">
        <f t="shared" si="117"/>
        <v>2016</v>
      </c>
      <c r="H255" s="2">
        <f t="shared" si="117"/>
        <v>2017</v>
      </c>
      <c r="I255" s="2">
        <f t="shared" si="117"/>
        <v>2018</v>
      </c>
      <c r="J255" s="2">
        <f t="shared" si="117"/>
        <v>2019</v>
      </c>
      <c r="K255" s="2">
        <f>J255+1</f>
        <v>2020</v>
      </c>
      <c r="L255" s="2">
        <f>K255+1</f>
        <v>2021</v>
      </c>
    </row>
    <row r="256" spans="1:12" x14ac:dyDescent="0.25">
      <c r="B256" s="90" t="str">
        <f>"Total MWh Produced / Purchased from " &amp; C253</f>
        <v>Total MWh Produced / Purchased from Noxon Rapids #2</v>
      </c>
      <c r="C256" s="80"/>
      <c r="D256" s="3">
        <v>7709</v>
      </c>
      <c r="E256" s="3">
        <v>7709</v>
      </c>
      <c r="F256" s="3">
        <v>7709</v>
      </c>
      <c r="G256" s="3">
        <v>7709</v>
      </c>
      <c r="H256" s="3">
        <v>7709</v>
      </c>
      <c r="I256" s="3">
        <v>7709</v>
      </c>
      <c r="J256" s="3">
        <v>15492</v>
      </c>
      <c r="K256" s="3">
        <v>14477</v>
      </c>
      <c r="L256" s="3">
        <v>14477</v>
      </c>
    </row>
    <row r="257" spans="1:12" x14ac:dyDescent="0.25">
      <c r="B257" s="90" t="s">
        <v>33</v>
      </c>
      <c r="C257" s="80"/>
      <c r="D257" s="64">
        <v>1</v>
      </c>
      <c r="E257" s="65">
        <v>1</v>
      </c>
      <c r="F257" s="66">
        <v>1</v>
      </c>
      <c r="G257" s="66">
        <v>1</v>
      </c>
      <c r="H257" s="66">
        <v>1</v>
      </c>
      <c r="I257" s="66">
        <v>1</v>
      </c>
      <c r="J257" s="66">
        <v>1</v>
      </c>
      <c r="K257" s="66">
        <v>1</v>
      </c>
      <c r="L257" s="66">
        <v>1</v>
      </c>
    </row>
    <row r="258" spans="1:12" x14ac:dyDescent="0.25">
      <c r="B258" s="90" t="s">
        <v>27</v>
      </c>
      <c r="C258" s="80"/>
      <c r="D258" s="57">
        <v>1</v>
      </c>
      <c r="E258" s="58">
        <v>1</v>
      </c>
      <c r="F258" s="59">
        <v>1</v>
      </c>
      <c r="G258" s="59">
        <v>1</v>
      </c>
      <c r="H258" s="59">
        <v>1</v>
      </c>
      <c r="I258" s="59">
        <v>1</v>
      </c>
      <c r="J258" s="59">
        <v>1</v>
      </c>
      <c r="K258" s="59">
        <v>1</v>
      </c>
      <c r="L258" s="59">
        <v>1</v>
      </c>
    </row>
    <row r="259" spans="1:12" x14ac:dyDescent="0.25">
      <c r="B259" s="87" t="s">
        <v>29</v>
      </c>
      <c r="C259" s="88"/>
      <c r="D259" s="44">
        <f t="shared" ref="D259:I259" si="118" xml:space="preserve"> D256 * D257 * D258</f>
        <v>7709</v>
      </c>
      <c r="E259" s="44">
        <f t="shared" si="118"/>
        <v>7709</v>
      </c>
      <c r="F259" s="44">
        <f t="shared" si="118"/>
        <v>7709</v>
      </c>
      <c r="G259" s="44">
        <f t="shared" si="118"/>
        <v>7709</v>
      </c>
      <c r="H259" s="44">
        <f t="shared" si="118"/>
        <v>7709</v>
      </c>
      <c r="I259" s="44">
        <f t="shared" si="118"/>
        <v>7709</v>
      </c>
      <c r="J259" s="44">
        <f t="shared" ref="J259:K259" si="119" xml:space="preserve"> J256 * J257 * J258</f>
        <v>15492</v>
      </c>
      <c r="K259" s="44">
        <f t="shared" si="119"/>
        <v>14477</v>
      </c>
      <c r="L259" s="44">
        <f t="shared" ref="L259" si="120" xml:space="preserve"> L256 * L257 * L258</f>
        <v>14477</v>
      </c>
    </row>
    <row r="260" spans="1:12" x14ac:dyDescent="0.25">
      <c r="B260" s="22"/>
      <c r="C260" s="36"/>
      <c r="D260" s="43"/>
      <c r="E260" s="43"/>
      <c r="F260" s="43"/>
      <c r="G260" s="43"/>
      <c r="H260" s="43"/>
      <c r="I260" s="43"/>
      <c r="J260" s="43"/>
      <c r="K260" s="43"/>
      <c r="L260" s="43"/>
    </row>
    <row r="261" spans="1:12" ht="18.75" x14ac:dyDescent="0.3">
      <c r="A261" s="51" t="s">
        <v>31</v>
      </c>
      <c r="C261" s="36"/>
      <c r="D261" s="2">
        <f>D255</f>
        <v>2013</v>
      </c>
      <c r="E261" s="2">
        <f t="shared" ref="E261:J261" si="121">D261+1</f>
        <v>2014</v>
      </c>
      <c r="F261" s="2">
        <f t="shared" si="121"/>
        <v>2015</v>
      </c>
      <c r="G261" s="2">
        <f t="shared" si="121"/>
        <v>2016</v>
      </c>
      <c r="H261" s="2">
        <f t="shared" si="121"/>
        <v>2017</v>
      </c>
      <c r="I261" s="2">
        <f t="shared" si="121"/>
        <v>2018</v>
      </c>
      <c r="J261" s="2">
        <f t="shared" si="121"/>
        <v>2019</v>
      </c>
      <c r="K261" s="2">
        <f>J261+1</f>
        <v>2020</v>
      </c>
      <c r="L261" s="2">
        <f>K261+1</f>
        <v>2021</v>
      </c>
    </row>
    <row r="262" spans="1:12" x14ac:dyDescent="0.25">
      <c r="B262" s="90" t="s">
        <v>20</v>
      </c>
      <c r="C262" s="80"/>
      <c r="D262" s="60">
        <f>IF( $E8 = "Eligible", D259 * 'Facility Detail'!$B$601, 0 )</f>
        <v>0</v>
      </c>
      <c r="E262" s="13">
        <f>IF( $E8 = "Eligible", E259 * 'Facility Detail'!$B$601, 0 )</f>
        <v>0</v>
      </c>
      <c r="F262" s="14">
        <f>IF( $E8 = "Eligible", F259 * 'Facility Detail'!$B$601, 0 )</f>
        <v>0</v>
      </c>
      <c r="G262" s="14">
        <f>IF( $E8 = "Eligible", G259 * 'Facility Detail'!$B$601, 0 )</f>
        <v>0</v>
      </c>
      <c r="H262" s="14">
        <f>IF( $E8 = "Eligible", H259 * 'Facility Detail'!$B$601, 0 )</f>
        <v>0</v>
      </c>
      <c r="I262" s="14">
        <f>IF( $E8 = "Eligible", I259 * 'Facility Detail'!$B$601, 0 )</f>
        <v>0</v>
      </c>
      <c r="J262" s="14">
        <f>IF( $E8 = "Eligible", J259 * 'Facility Detail'!$B$601, 0 )</f>
        <v>0</v>
      </c>
      <c r="K262" s="14">
        <f>IF( $E8 = "Eligible", K259 * 'Facility Detail'!$B$601, 0 )</f>
        <v>0</v>
      </c>
      <c r="L262" s="14">
        <f>IF( $E8 = "Eligible", L259 * 'Facility Detail'!$B$601, 0 )</f>
        <v>0</v>
      </c>
    </row>
    <row r="263" spans="1:12" x14ac:dyDescent="0.25">
      <c r="B263" s="90" t="s">
        <v>6</v>
      </c>
      <c r="C263" s="80"/>
      <c r="D263" s="61">
        <f t="shared" ref="D263:I263" si="122">IF( $F8 = "Eligible", D259, 0 )</f>
        <v>0</v>
      </c>
      <c r="E263" s="62">
        <f t="shared" si="122"/>
        <v>0</v>
      </c>
      <c r="F263" s="63">
        <f t="shared" si="122"/>
        <v>0</v>
      </c>
      <c r="G263" s="63">
        <f t="shared" si="122"/>
        <v>0</v>
      </c>
      <c r="H263" s="63">
        <f t="shared" si="122"/>
        <v>0</v>
      </c>
      <c r="I263" s="63">
        <f t="shared" si="122"/>
        <v>0</v>
      </c>
      <c r="J263" s="63">
        <f t="shared" ref="J263:K263" si="123">IF( $F8 = "Eligible", J259, 0 )</f>
        <v>0</v>
      </c>
      <c r="K263" s="63">
        <f t="shared" si="123"/>
        <v>0</v>
      </c>
      <c r="L263" s="63">
        <f t="shared" ref="L263" si="124">IF( $F8 = "Eligible", L259, 0 )</f>
        <v>0</v>
      </c>
    </row>
    <row r="264" spans="1:12" x14ac:dyDescent="0.25">
      <c r="B264" s="89" t="s">
        <v>38</v>
      </c>
      <c r="C264" s="88"/>
      <c r="D264" s="46">
        <f t="shared" ref="D264:I264" si="125">SUM(D262:D263)</f>
        <v>0</v>
      </c>
      <c r="E264" s="47">
        <f t="shared" si="125"/>
        <v>0</v>
      </c>
      <c r="F264" s="47">
        <f t="shared" si="125"/>
        <v>0</v>
      </c>
      <c r="G264" s="47">
        <f t="shared" si="125"/>
        <v>0</v>
      </c>
      <c r="H264" s="47">
        <f t="shared" si="125"/>
        <v>0</v>
      </c>
      <c r="I264" s="47">
        <f t="shared" si="125"/>
        <v>0</v>
      </c>
      <c r="J264" s="47">
        <f t="shared" ref="J264:K264" si="126">SUM(J262:J263)</f>
        <v>0</v>
      </c>
      <c r="K264" s="47">
        <f t="shared" si="126"/>
        <v>0</v>
      </c>
      <c r="L264" s="47">
        <f t="shared" ref="L264" si="127">SUM(L262:L263)</f>
        <v>0</v>
      </c>
    </row>
    <row r="265" spans="1:12" x14ac:dyDescent="0.25">
      <c r="B265" s="36"/>
      <c r="C265" s="36"/>
      <c r="D265" s="45"/>
      <c r="E265" s="37"/>
      <c r="F265" s="37"/>
      <c r="G265" s="37"/>
      <c r="H265" s="37"/>
      <c r="I265" s="37"/>
      <c r="J265" s="37"/>
      <c r="K265" s="37"/>
      <c r="L265" s="37"/>
    </row>
    <row r="266" spans="1:12" ht="18.75" x14ac:dyDescent="0.3">
      <c r="A266" s="48" t="s">
        <v>36</v>
      </c>
      <c r="C266" s="36"/>
      <c r="D266" s="2">
        <f>D255</f>
        <v>2013</v>
      </c>
      <c r="E266" s="2">
        <f t="shared" ref="E266:J266" si="128">D266+1</f>
        <v>2014</v>
      </c>
      <c r="F266" s="2">
        <f t="shared" si="128"/>
        <v>2015</v>
      </c>
      <c r="G266" s="2">
        <f t="shared" si="128"/>
        <v>2016</v>
      </c>
      <c r="H266" s="2">
        <f t="shared" si="128"/>
        <v>2017</v>
      </c>
      <c r="I266" s="2">
        <f t="shared" si="128"/>
        <v>2018</v>
      </c>
      <c r="J266" s="2">
        <f t="shared" si="128"/>
        <v>2019</v>
      </c>
      <c r="K266" s="2">
        <f>J266+1</f>
        <v>2020</v>
      </c>
      <c r="L266" s="2">
        <f>K266+1</f>
        <v>2021</v>
      </c>
    </row>
    <row r="267" spans="1:12" x14ac:dyDescent="0.25">
      <c r="B267" s="90" t="s">
        <v>40</v>
      </c>
      <c r="C267" s="80"/>
      <c r="D267" s="98">
        <v>0</v>
      </c>
      <c r="E267" s="99">
        <v>0</v>
      </c>
      <c r="F267" s="100">
        <v>0</v>
      </c>
      <c r="G267" s="100">
        <v>0</v>
      </c>
      <c r="H267" s="100">
        <v>0</v>
      </c>
      <c r="I267" s="100">
        <v>0</v>
      </c>
      <c r="J267" s="100">
        <v>0</v>
      </c>
      <c r="K267" s="100">
        <v>0</v>
      </c>
      <c r="L267" s="100">
        <v>0</v>
      </c>
    </row>
    <row r="268" spans="1:12" x14ac:dyDescent="0.25">
      <c r="B268" s="91" t="s">
        <v>30</v>
      </c>
      <c r="C268" s="92"/>
      <c r="D268" s="101">
        <v>0</v>
      </c>
      <c r="E268" s="102">
        <v>0</v>
      </c>
      <c r="F268" s="103">
        <v>0</v>
      </c>
      <c r="G268" s="103">
        <v>0</v>
      </c>
      <c r="H268" s="103">
        <v>0</v>
      </c>
      <c r="I268" s="103">
        <v>0</v>
      </c>
      <c r="J268" s="103">
        <v>0</v>
      </c>
      <c r="K268" s="103">
        <v>0</v>
      </c>
      <c r="L268" s="103">
        <v>0</v>
      </c>
    </row>
    <row r="269" spans="1:12" x14ac:dyDescent="0.25">
      <c r="B269" s="104" t="s">
        <v>42</v>
      </c>
      <c r="C269" s="96"/>
      <c r="D269" s="67">
        <v>0</v>
      </c>
      <c r="E269" s="68">
        <v>0</v>
      </c>
      <c r="F269" s="69">
        <v>0</v>
      </c>
      <c r="G269" s="69">
        <v>0</v>
      </c>
      <c r="H269" s="69">
        <v>0</v>
      </c>
      <c r="I269" s="69">
        <v>0</v>
      </c>
      <c r="J269" s="69">
        <v>0</v>
      </c>
      <c r="K269" s="69">
        <v>0</v>
      </c>
      <c r="L269" s="69">
        <v>0</v>
      </c>
    </row>
    <row r="270" spans="1:12" x14ac:dyDescent="0.25">
      <c r="B270" s="39" t="s">
        <v>43</v>
      </c>
      <c r="D270" s="7">
        <f t="shared" ref="D270:I270" si="129">SUM(D267:D269)</f>
        <v>0</v>
      </c>
      <c r="E270" s="7">
        <f t="shared" si="129"/>
        <v>0</v>
      </c>
      <c r="F270" s="7">
        <f t="shared" si="129"/>
        <v>0</v>
      </c>
      <c r="G270" s="7">
        <f t="shared" si="129"/>
        <v>0</v>
      </c>
      <c r="H270" s="7">
        <f t="shared" si="129"/>
        <v>0</v>
      </c>
      <c r="I270" s="7">
        <f t="shared" si="129"/>
        <v>0</v>
      </c>
      <c r="J270" s="7">
        <f t="shared" ref="J270:K270" si="130">SUM(J267:J269)</f>
        <v>0</v>
      </c>
      <c r="K270" s="7">
        <f t="shared" si="130"/>
        <v>0</v>
      </c>
      <c r="L270" s="7">
        <f t="shared" ref="L270" si="131">SUM(L267:L269)</f>
        <v>0</v>
      </c>
    </row>
    <row r="271" spans="1:12" x14ac:dyDescent="0.25">
      <c r="B271" s="6"/>
      <c r="D271" s="7"/>
      <c r="E271" s="7"/>
      <c r="F271" s="7"/>
      <c r="G271" s="7"/>
      <c r="H271" s="7"/>
      <c r="I271" s="7"/>
      <c r="J271" s="7"/>
      <c r="K271" s="7"/>
      <c r="L271" s="7"/>
    </row>
    <row r="272" spans="1:12" ht="18.75" x14ac:dyDescent="0.3">
      <c r="A272" s="9" t="s">
        <v>44</v>
      </c>
      <c r="D272" s="2">
        <f>D255</f>
        <v>2013</v>
      </c>
      <c r="E272" s="2">
        <f t="shared" ref="E272:J272" si="132">D272+1</f>
        <v>2014</v>
      </c>
      <c r="F272" s="2">
        <f t="shared" si="132"/>
        <v>2015</v>
      </c>
      <c r="G272" s="2">
        <f t="shared" si="132"/>
        <v>2016</v>
      </c>
      <c r="H272" s="2">
        <f t="shared" si="132"/>
        <v>2017</v>
      </c>
      <c r="I272" s="2">
        <f t="shared" si="132"/>
        <v>2018</v>
      </c>
      <c r="J272" s="2">
        <f t="shared" si="132"/>
        <v>2019</v>
      </c>
      <c r="K272" s="2"/>
      <c r="L272" s="2"/>
    </row>
    <row r="273" spans="1:12" x14ac:dyDescent="0.25">
      <c r="B273" s="90" t="str">
        <f xml:space="preserve"> 'Facility Detail'!$B$756 &amp; " Surplus Applied to " &amp; ( 'Facility Detail'!$B$756 + 1 )</f>
        <v>2013 Surplus Applied to 2014</v>
      </c>
      <c r="C273" s="80"/>
      <c r="D273" s="3"/>
      <c r="E273" s="70">
        <f>D273</f>
        <v>0</v>
      </c>
      <c r="F273" s="143"/>
      <c r="G273" s="72"/>
      <c r="H273" s="72"/>
      <c r="I273" s="72"/>
      <c r="J273" s="72"/>
      <c r="K273" s="72"/>
      <c r="L273" s="72"/>
    </row>
    <row r="274" spans="1:12" x14ac:dyDescent="0.25">
      <c r="B274" s="90" t="str">
        <f xml:space="preserve"> ( 'Facility Detail'!$B$756 + 1 ) &amp; " Surplus Applied to " &amp; ( 'Facility Detail'!$B$756 )</f>
        <v>2014 Surplus Applied to 2013</v>
      </c>
      <c r="C274" s="80"/>
      <c r="D274" s="144">
        <f>E274</f>
        <v>0</v>
      </c>
      <c r="E274" s="10"/>
      <c r="F274" s="84"/>
      <c r="G274" s="83"/>
      <c r="H274" s="83"/>
      <c r="I274" s="83"/>
      <c r="J274" s="83"/>
      <c r="K274" s="83"/>
      <c r="L274" s="83"/>
    </row>
    <row r="275" spans="1:12" x14ac:dyDescent="0.25">
      <c r="B275" s="90" t="str">
        <f xml:space="preserve"> ( 'Facility Detail'!$B$756 + 1 ) &amp; " Surplus Applied to " &amp; ( 'Facility Detail'!$B$756 + 2 )</f>
        <v>2014 Surplus Applied to 2015</v>
      </c>
      <c r="C275" s="80"/>
      <c r="D275" s="73"/>
      <c r="E275" s="10"/>
      <c r="F275" s="79">
        <f>E275</f>
        <v>0</v>
      </c>
      <c r="G275" s="83"/>
      <c r="H275" s="83"/>
      <c r="I275" s="83"/>
      <c r="J275" s="83"/>
      <c r="K275" s="83"/>
      <c r="L275" s="83"/>
    </row>
    <row r="276" spans="1:12" x14ac:dyDescent="0.25">
      <c r="B276" s="90" t="str">
        <f xml:space="preserve"> ( 'Facility Detail'!$B$756 + 2 ) &amp; " Surplus Applied to " &amp; ( 'Facility Detail'!$B$756 + 1 )</f>
        <v>2015 Surplus Applied to 2014</v>
      </c>
      <c r="C276" s="80"/>
      <c r="D276" s="73"/>
      <c r="E276" s="79">
        <f>F276</f>
        <v>0</v>
      </c>
      <c r="F276" s="10"/>
      <c r="G276" s="83"/>
      <c r="H276" s="83"/>
      <c r="I276" s="83"/>
      <c r="J276" s="83"/>
      <c r="K276" s="83"/>
      <c r="L276" s="83"/>
    </row>
    <row r="277" spans="1:12" x14ac:dyDescent="0.25">
      <c r="B277" s="90" t="str">
        <f xml:space="preserve"> ( 'Facility Detail'!$B$756 + 2 ) &amp; " Surplus Applied to " &amp; ( 'Facility Detail'!$B$756 + 3 )</f>
        <v>2015 Surplus Applied to 2016</v>
      </c>
      <c r="C277" s="36"/>
      <c r="D277" s="73"/>
      <c r="E277" s="84"/>
      <c r="F277" s="10"/>
      <c r="G277" s="145">
        <f>F277</f>
        <v>0</v>
      </c>
      <c r="H277" s="145">
        <f>G277</f>
        <v>0</v>
      </c>
      <c r="I277" s="145">
        <f>H277</f>
        <v>0</v>
      </c>
      <c r="J277" s="145">
        <f>I277</f>
        <v>0</v>
      </c>
      <c r="K277" s="145"/>
      <c r="L277" s="145"/>
    </row>
    <row r="278" spans="1:12" x14ac:dyDescent="0.25">
      <c r="B278" s="90" t="str">
        <f xml:space="preserve"> ( 'Facility Detail'!$B$756 +3 ) &amp; " Surplus Applied to " &amp; ( 'Facility Detail'!$B$756 + 2 )</f>
        <v>2016 Surplus Applied to 2015</v>
      </c>
      <c r="C278" s="36"/>
      <c r="D278" s="74"/>
      <c r="E278" s="85"/>
      <c r="F278" s="71">
        <f>G278</f>
        <v>0</v>
      </c>
      <c r="G278" s="146"/>
      <c r="H278" s="146"/>
      <c r="I278" s="146"/>
      <c r="J278" s="146"/>
      <c r="K278" s="146"/>
      <c r="L278" s="146"/>
    </row>
    <row r="279" spans="1:12" x14ac:dyDescent="0.25">
      <c r="B279" s="90" t="str">
        <f xml:space="preserve"> ( 'Facility Detail'!$B$756 +3 ) &amp; " Surplus Applied to " &amp; ( 'Facility Detail'!$B$756 + 4 )</f>
        <v>2016 Surplus Applied to 2017</v>
      </c>
      <c r="C279" s="36"/>
      <c r="D279" s="149"/>
      <c r="E279" s="149"/>
      <c r="F279" s="23"/>
      <c r="G279" s="150"/>
      <c r="H279" s="150"/>
      <c r="I279" s="150"/>
      <c r="J279" s="150"/>
      <c r="K279" s="150"/>
      <c r="L279" s="150"/>
    </row>
    <row r="280" spans="1:12" x14ac:dyDescent="0.25">
      <c r="B280" s="39" t="s">
        <v>26</v>
      </c>
      <c r="D280" s="7">
        <f xml:space="preserve"> D274 - D273</f>
        <v>0</v>
      </c>
      <c r="E280" s="7">
        <f xml:space="preserve"> E273 + E276 - E275 - E274</f>
        <v>0</v>
      </c>
      <c r="F280" s="7">
        <f>F275+F278-F276-F277</f>
        <v>0</v>
      </c>
      <c r="G280" s="7">
        <f t="shared" ref="G280:L280" si="133">G277-G278</f>
        <v>0</v>
      </c>
      <c r="H280" s="7">
        <f t="shared" si="133"/>
        <v>0</v>
      </c>
      <c r="I280" s="7">
        <f t="shared" si="133"/>
        <v>0</v>
      </c>
      <c r="J280" s="7">
        <f t="shared" si="133"/>
        <v>0</v>
      </c>
      <c r="K280" s="7">
        <f t="shared" si="133"/>
        <v>0</v>
      </c>
      <c r="L280" s="7">
        <f t="shared" si="133"/>
        <v>0</v>
      </c>
    </row>
    <row r="281" spans="1:12" x14ac:dyDescent="0.25">
      <c r="B281" s="6"/>
      <c r="D281" s="7"/>
      <c r="E281" s="7"/>
      <c r="F281" s="7"/>
      <c r="G281" s="7"/>
      <c r="H281" s="7"/>
      <c r="I281" s="7"/>
      <c r="J281" s="7"/>
      <c r="K281" s="7"/>
      <c r="L281" s="7"/>
    </row>
    <row r="282" spans="1:12" x14ac:dyDescent="0.25">
      <c r="B282" s="97" t="s">
        <v>22</v>
      </c>
      <c r="C282" s="80"/>
      <c r="D282" s="111"/>
      <c r="E282" s="112"/>
      <c r="F282" s="113"/>
      <c r="G282" s="113"/>
      <c r="H282" s="113"/>
      <c r="I282" s="113"/>
      <c r="J282" s="113"/>
      <c r="K282" s="113"/>
      <c r="L282" s="113"/>
    </row>
    <row r="283" spans="1:12" x14ac:dyDescent="0.25">
      <c r="B283" s="6"/>
      <c r="D283" s="7"/>
      <c r="E283" s="7"/>
      <c r="F283" s="7"/>
      <c r="G283" s="7"/>
      <c r="H283" s="7"/>
      <c r="I283" s="7"/>
      <c r="J283" s="7"/>
      <c r="K283" s="7"/>
      <c r="L283" s="7"/>
    </row>
    <row r="284" spans="1:12" ht="15.75" x14ac:dyDescent="0.25">
      <c r="A284" s="93" t="s">
        <v>34</v>
      </c>
      <c r="C284" s="80"/>
      <c r="D284" s="52">
        <f t="shared" ref="D284:I284" si="134" xml:space="preserve"> D259 + D264 - D270 + D280 + D282</f>
        <v>7709</v>
      </c>
      <c r="E284" s="53">
        <f t="shared" si="134"/>
        <v>7709</v>
      </c>
      <c r="F284" s="54">
        <f t="shared" si="134"/>
        <v>7709</v>
      </c>
      <c r="G284" s="54">
        <f t="shared" si="134"/>
        <v>7709</v>
      </c>
      <c r="H284" s="54">
        <f t="shared" si="134"/>
        <v>7709</v>
      </c>
      <c r="I284" s="54">
        <f t="shared" si="134"/>
        <v>7709</v>
      </c>
      <c r="J284" s="54">
        <f t="shared" ref="J284:K284" si="135" xml:space="preserve"> J259 + J264 - J270 + J280 + J282</f>
        <v>15492</v>
      </c>
      <c r="K284" s="54">
        <f t="shared" si="135"/>
        <v>14477</v>
      </c>
      <c r="L284" s="54">
        <f t="shared" ref="L284" si="136" xml:space="preserve"> L259 + L264 - L270 + L280 + L282</f>
        <v>14477</v>
      </c>
    </row>
    <row r="285" spans="1:12" x14ac:dyDescent="0.25">
      <c r="B285" s="6"/>
      <c r="D285" s="7"/>
      <c r="E285" s="7"/>
      <c r="F285" s="7"/>
      <c r="G285" s="34"/>
      <c r="H285" s="34"/>
      <c r="I285" s="34"/>
      <c r="J285" s="34"/>
      <c r="K285" s="34"/>
      <c r="L285" s="34"/>
    </row>
    <row r="286" spans="1:12" ht="15.75" thickBot="1" x14ac:dyDescent="0.3"/>
    <row r="287" spans="1:12" x14ac:dyDescent="0.25">
      <c r="A287" s="8"/>
      <c r="B287" s="8"/>
      <c r="C287" s="8"/>
      <c r="D287" s="8"/>
      <c r="E287" s="8"/>
      <c r="F287" s="8"/>
      <c r="G287" s="8"/>
      <c r="H287" s="8"/>
      <c r="I287" s="8"/>
      <c r="J287" s="8"/>
      <c r="K287" s="8"/>
      <c r="L287" s="8"/>
    </row>
    <row r="288" spans="1:12" x14ac:dyDescent="0.25">
      <c r="B288" s="36"/>
      <c r="C288" s="36"/>
      <c r="D288" s="36"/>
      <c r="E288" s="36"/>
      <c r="F288" s="36"/>
      <c r="G288" s="36"/>
      <c r="H288" s="36"/>
      <c r="I288" s="36"/>
      <c r="J288" s="36"/>
      <c r="K288" s="36"/>
      <c r="L288" s="36"/>
    </row>
    <row r="289" spans="1:12" ht="21" x14ac:dyDescent="0.35">
      <c r="A289" s="16" t="s">
        <v>4</v>
      </c>
      <c r="B289" s="16"/>
      <c r="C289" s="49" t="str">
        <f>B9</f>
        <v>Noxon Rapids #3</v>
      </c>
      <c r="D289" s="50"/>
      <c r="E289" s="22"/>
      <c r="F289" s="22"/>
    </row>
    <row r="291" spans="1:12" ht="18.75" x14ac:dyDescent="0.3">
      <c r="A291" s="9" t="s">
        <v>28</v>
      </c>
      <c r="B291" s="9"/>
      <c r="D291" s="2">
        <v>2013</v>
      </c>
      <c r="E291" s="2">
        <f t="shared" ref="E291:J291" si="137">D291+1</f>
        <v>2014</v>
      </c>
      <c r="F291" s="2">
        <f t="shared" si="137"/>
        <v>2015</v>
      </c>
      <c r="G291" s="2">
        <f t="shared" si="137"/>
        <v>2016</v>
      </c>
      <c r="H291" s="2">
        <f t="shared" si="137"/>
        <v>2017</v>
      </c>
      <c r="I291" s="2">
        <f t="shared" si="137"/>
        <v>2018</v>
      </c>
      <c r="J291" s="2">
        <f t="shared" si="137"/>
        <v>2019</v>
      </c>
      <c r="K291" s="2">
        <f>J291+1</f>
        <v>2020</v>
      </c>
      <c r="L291" s="2">
        <f>K291+1</f>
        <v>2021</v>
      </c>
    </row>
    <row r="292" spans="1:12" x14ac:dyDescent="0.25">
      <c r="B292" s="90" t="str">
        <f>"Total MWh Produced / Purchased from " &amp; C289</f>
        <v>Total MWh Produced / Purchased from Noxon Rapids #3</v>
      </c>
      <c r="C292" s="80"/>
      <c r="D292" s="3">
        <v>14529</v>
      </c>
      <c r="E292" s="3">
        <v>14529</v>
      </c>
      <c r="F292" s="3">
        <v>14529</v>
      </c>
      <c r="G292" s="3">
        <v>14529</v>
      </c>
      <c r="H292" s="3">
        <v>14529</v>
      </c>
      <c r="I292" s="3">
        <v>14529</v>
      </c>
      <c r="J292" s="3">
        <v>25539</v>
      </c>
      <c r="K292" s="3">
        <v>25479</v>
      </c>
      <c r="L292" s="3">
        <v>25479</v>
      </c>
    </row>
    <row r="293" spans="1:12" x14ac:dyDescent="0.25">
      <c r="B293" s="90" t="s">
        <v>33</v>
      </c>
      <c r="C293" s="80"/>
      <c r="D293" s="64">
        <v>1</v>
      </c>
      <c r="E293" s="65">
        <v>1</v>
      </c>
      <c r="F293" s="66">
        <v>1</v>
      </c>
      <c r="G293" s="66">
        <v>1</v>
      </c>
      <c r="H293" s="66">
        <v>1</v>
      </c>
      <c r="I293" s="66">
        <v>1</v>
      </c>
      <c r="J293" s="66">
        <v>1</v>
      </c>
      <c r="K293" s="66">
        <v>1</v>
      </c>
      <c r="L293" s="66">
        <v>1</v>
      </c>
    </row>
    <row r="294" spans="1:12" x14ac:dyDescent="0.25">
      <c r="B294" s="90" t="s">
        <v>27</v>
      </c>
      <c r="C294" s="80"/>
      <c r="D294" s="57">
        <v>1</v>
      </c>
      <c r="E294" s="58">
        <v>1</v>
      </c>
      <c r="F294" s="59">
        <v>1</v>
      </c>
      <c r="G294" s="59">
        <v>1</v>
      </c>
      <c r="H294" s="59">
        <v>1</v>
      </c>
      <c r="I294" s="59">
        <v>1</v>
      </c>
      <c r="J294" s="59">
        <v>1</v>
      </c>
      <c r="K294" s="59">
        <v>1</v>
      </c>
      <c r="L294" s="59">
        <v>1</v>
      </c>
    </row>
    <row r="295" spans="1:12" x14ac:dyDescent="0.25">
      <c r="B295" s="87" t="s">
        <v>29</v>
      </c>
      <c r="C295" s="88"/>
      <c r="D295" s="44">
        <f t="shared" ref="D295:I295" si="138" xml:space="preserve"> D292 * D293 * D294</f>
        <v>14529</v>
      </c>
      <c r="E295" s="44">
        <f t="shared" si="138"/>
        <v>14529</v>
      </c>
      <c r="F295" s="44">
        <f t="shared" si="138"/>
        <v>14529</v>
      </c>
      <c r="G295" s="44">
        <f t="shared" si="138"/>
        <v>14529</v>
      </c>
      <c r="H295" s="44">
        <f t="shared" si="138"/>
        <v>14529</v>
      </c>
      <c r="I295" s="44">
        <f t="shared" si="138"/>
        <v>14529</v>
      </c>
      <c r="J295" s="44">
        <f t="shared" ref="J295:K295" si="139" xml:space="preserve"> J292 * J293 * J294</f>
        <v>25539</v>
      </c>
      <c r="K295" s="44">
        <f t="shared" si="139"/>
        <v>25479</v>
      </c>
      <c r="L295" s="44">
        <f t="shared" ref="L295" si="140" xml:space="preserve"> L292 * L293 * L294</f>
        <v>25479</v>
      </c>
    </row>
    <row r="296" spans="1:12" x14ac:dyDescent="0.25">
      <c r="B296" s="22"/>
      <c r="C296" s="36"/>
      <c r="D296" s="43"/>
      <c r="E296" s="43"/>
      <c r="F296" s="43"/>
      <c r="G296" s="43"/>
      <c r="H296" s="43"/>
      <c r="I296" s="43"/>
      <c r="J296" s="43"/>
      <c r="K296" s="43"/>
      <c r="L296" s="43"/>
    </row>
    <row r="297" spans="1:12" ht="18.75" x14ac:dyDescent="0.3">
      <c r="A297" s="51" t="s">
        <v>31</v>
      </c>
      <c r="C297" s="36"/>
      <c r="D297" s="2">
        <f>D291</f>
        <v>2013</v>
      </c>
      <c r="E297" s="2">
        <f t="shared" ref="E297:J297" si="141">D297+1</f>
        <v>2014</v>
      </c>
      <c r="F297" s="2">
        <f t="shared" si="141"/>
        <v>2015</v>
      </c>
      <c r="G297" s="2">
        <f t="shared" si="141"/>
        <v>2016</v>
      </c>
      <c r="H297" s="2">
        <f t="shared" si="141"/>
        <v>2017</v>
      </c>
      <c r="I297" s="2">
        <f t="shared" si="141"/>
        <v>2018</v>
      </c>
      <c r="J297" s="2">
        <f t="shared" si="141"/>
        <v>2019</v>
      </c>
      <c r="K297" s="2">
        <f>J297+1</f>
        <v>2020</v>
      </c>
      <c r="L297" s="2">
        <f>K297+1</f>
        <v>2021</v>
      </c>
    </row>
    <row r="298" spans="1:12" x14ac:dyDescent="0.25">
      <c r="B298" s="90" t="s">
        <v>20</v>
      </c>
      <c r="C298" s="80"/>
      <c r="D298" s="60">
        <f>IF( $E9 = "Eligible", D295 * 'Facility Detail'!$B$601, 0 )</f>
        <v>0</v>
      </c>
      <c r="E298" s="13">
        <f>IF( $E9 = "Eligible", E295 * 'Facility Detail'!$B$601, 0 )</f>
        <v>0</v>
      </c>
      <c r="F298" s="14">
        <f>IF( $E9 = "Eligible", F295 * 'Facility Detail'!$B$601, 0 )</f>
        <v>0</v>
      </c>
      <c r="G298" s="14">
        <f>IF( $E9 = "Eligible", G295 * 'Facility Detail'!$B$601, 0 )</f>
        <v>0</v>
      </c>
      <c r="H298" s="14">
        <f>IF( $E9 = "Eligible", H295 * 'Facility Detail'!$B$601, 0 )</f>
        <v>0</v>
      </c>
      <c r="I298" s="14">
        <f>IF( $E9 = "Eligible", I295 * 'Facility Detail'!$B$601, 0 )</f>
        <v>0</v>
      </c>
      <c r="J298" s="14">
        <f>IF( $E9 = "Eligible", J295 * 'Facility Detail'!$B$601, 0 )</f>
        <v>0</v>
      </c>
      <c r="K298" s="14">
        <f>IF( $E9 = "Eligible", K295 * 'Facility Detail'!$B$601, 0 )</f>
        <v>0</v>
      </c>
      <c r="L298" s="14">
        <f>IF( $E9 = "Eligible", L295 * 'Facility Detail'!$B$601, 0 )</f>
        <v>0</v>
      </c>
    </row>
    <row r="299" spans="1:12" x14ac:dyDescent="0.25">
      <c r="B299" s="90" t="s">
        <v>6</v>
      </c>
      <c r="C299" s="80"/>
      <c r="D299" s="61">
        <f t="shared" ref="D299:I299" si="142">IF( $F9 = "Eligible", D295, 0 )</f>
        <v>0</v>
      </c>
      <c r="E299" s="62">
        <f t="shared" si="142"/>
        <v>0</v>
      </c>
      <c r="F299" s="63">
        <f t="shared" si="142"/>
        <v>0</v>
      </c>
      <c r="G299" s="63">
        <f t="shared" si="142"/>
        <v>0</v>
      </c>
      <c r="H299" s="63">
        <f t="shared" si="142"/>
        <v>0</v>
      </c>
      <c r="I299" s="63">
        <f t="shared" si="142"/>
        <v>0</v>
      </c>
      <c r="J299" s="63">
        <f t="shared" ref="J299:K299" si="143">IF( $F9 = "Eligible", J295, 0 )</f>
        <v>0</v>
      </c>
      <c r="K299" s="63">
        <f t="shared" si="143"/>
        <v>0</v>
      </c>
      <c r="L299" s="63">
        <f t="shared" ref="L299" si="144">IF( $F9 = "Eligible", L295, 0 )</f>
        <v>0</v>
      </c>
    </row>
    <row r="300" spans="1:12" x14ac:dyDescent="0.25">
      <c r="B300" s="89" t="s">
        <v>38</v>
      </c>
      <c r="C300" s="88"/>
      <c r="D300" s="46">
        <f t="shared" ref="D300:I300" si="145">SUM(D298:D299)</f>
        <v>0</v>
      </c>
      <c r="E300" s="47">
        <f t="shared" si="145"/>
        <v>0</v>
      </c>
      <c r="F300" s="47">
        <f t="shared" si="145"/>
        <v>0</v>
      </c>
      <c r="G300" s="47">
        <f t="shared" si="145"/>
        <v>0</v>
      </c>
      <c r="H300" s="47">
        <f t="shared" si="145"/>
        <v>0</v>
      </c>
      <c r="I300" s="47">
        <f t="shared" si="145"/>
        <v>0</v>
      </c>
      <c r="J300" s="47">
        <f t="shared" ref="J300:K300" si="146">SUM(J298:J299)</f>
        <v>0</v>
      </c>
      <c r="K300" s="47">
        <f t="shared" si="146"/>
        <v>0</v>
      </c>
      <c r="L300" s="47">
        <f t="shared" ref="L300" si="147">SUM(L298:L299)</f>
        <v>0</v>
      </c>
    </row>
    <row r="301" spans="1:12" x14ac:dyDescent="0.25">
      <c r="B301" s="36"/>
      <c r="C301" s="36"/>
      <c r="D301" s="45"/>
      <c r="E301" s="37"/>
      <c r="F301" s="37"/>
      <c r="G301" s="37"/>
      <c r="H301" s="37"/>
      <c r="I301" s="37"/>
      <c r="J301" s="37"/>
      <c r="K301" s="37"/>
      <c r="L301" s="37"/>
    </row>
    <row r="302" spans="1:12" ht="18.75" x14ac:dyDescent="0.3">
      <c r="A302" s="48" t="s">
        <v>36</v>
      </c>
      <c r="C302" s="36"/>
      <c r="D302" s="2">
        <f>D291</f>
        <v>2013</v>
      </c>
      <c r="E302" s="2">
        <f t="shared" ref="E302:J302" si="148">D302+1</f>
        <v>2014</v>
      </c>
      <c r="F302" s="2">
        <f t="shared" si="148"/>
        <v>2015</v>
      </c>
      <c r="G302" s="2">
        <f t="shared" si="148"/>
        <v>2016</v>
      </c>
      <c r="H302" s="2">
        <f t="shared" si="148"/>
        <v>2017</v>
      </c>
      <c r="I302" s="2">
        <f t="shared" si="148"/>
        <v>2018</v>
      </c>
      <c r="J302" s="2">
        <f t="shared" si="148"/>
        <v>2019</v>
      </c>
      <c r="K302" s="2">
        <f>J302+1</f>
        <v>2020</v>
      </c>
      <c r="L302" s="2">
        <f>K302+1</f>
        <v>2021</v>
      </c>
    </row>
    <row r="303" spans="1:12" x14ac:dyDescent="0.25">
      <c r="B303" s="90" t="s">
        <v>40</v>
      </c>
      <c r="C303" s="80"/>
      <c r="D303" s="98">
        <v>0</v>
      </c>
      <c r="E303" s="99">
        <v>0</v>
      </c>
      <c r="F303" s="100">
        <v>0</v>
      </c>
      <c r="G303" s="100">
        <v>0</v>
      </c>
      <c r="H303" s="100">
        <v>0</v>
      </c>
      <c r="I303" s="100">
        <v>0</v>
      </c>
      <c r="J303" s="100">
        <v>0</v>
      </c>
      <c r="K303" s="100">
        <v>0</v>
      </c>
      <c r="L303" s="100">
        <v>0</v>
      </c>
    </row>
    <row r="304" spans="1:12" x14ac:dyDescent="0.25">
      <c r="B304" s="91" t="s">
        <v>30</v>
      </c>
      <c r="C304" s="92"/>
      <c r="D304" s="101">
        <v>0</v>
      </c>
      <c r="E304" s="102">
        <v>0</v>
      </c>
      <c r="F304" s="103">
        <v>0</v>
      </c>
      <c r="G304" s="103">
        <v>0</v>
      </c>
      <c r="H304" s="103">
        <v>0</v>
      </c>
      <c r="I304" s="103">
        <v>0</v>
      </c>
      <c r="J304" s="103">
        <v>0</v>
      </c>
      <c r="K304" s="103">
        <v>0</v>
      </c>
      <c r="L304" s="103">
        <v>0</v>
      </c>
    </row>
    <row r="305" spans="1:12" x14ac:dyDescent="0.25">
      <c r="B305" s="104" t="s">
        <v>42</v>
      </c>
      <c r="C305" s="96"/>
      <c r="D305" s="67">
        <v>0</v>
      </c>
      <c r="E305" s="68">
        <v>0</v>
      </c>
      <c r="F305" s="69">
        <v>0</v>
      </c>
      <c r="G305" s="69">
        <v>0</v>
      </c>
      <c r="H305" s="69">
        <v>0</v>
      </c>
      <c r="I305" s="69">
        <v>0</v>
      </c>
      <c r="J305" s="69">
        <v>0</v>
      </c>
      <c r="K305" s="69">
        <v>0</v>
      </c>
      <c r="L305" s="69">
        <v>0</v>
      </c>
    </row>
    <row r="306" spans="1:12" x14ac:dyDescent="0.25">
      <c r="B306" s="39" t="s">
        <v>43</v>
      </c>
      <c r="D306" s="7">
        <f t="shared" ref="D306:I306" si="149">SUM(D303:D305)</f>
        <v>0</v>
      </c>
      <c r="E306" s="7">
        <f t="shared" si="149"/>
        <v>0</v>
      </c>
      <c r="F306" s="7">
        <f t="shared" si="149"/>
        <v>0</v>
      </c>
      <c r="G306" s="7">
        <f t="shared" si="149"/>
        <v>0</v>
      </c>
      <c r="H306" s="7">
        <f t="shared" si="149"/>
        <v>0</v>
      </c>
      <c r="I306" s="7">
        <f t="shared" si="149"/>
        <v>0</v>
      </c>
      <c r="J306" s="7">
        <f t="shared" ref="J306:K306" si="150">SUM(J303:J305)</f>
        <v>0</v>
      </c>
      <c r="K306" s="7">
        <f t="shared" si="150"/>
        <v>0</v>
      </c>
      <c r="L306" s="7">
        <f t="shared" ref="L306" si="151">SUM(L303:L305)</f>
        <v>0</v>
      </c>
    </row>
    <row r="307" spans="1:12" x14ac:dyDescent="0.25">
      <c r="B307" s="6"/>
      <c r="D307" s="7"/>
      <c r="E307" s="7"/>
      <c r="F307" s="7"/>
      <c r="G307" s="7"/>
      <c r="H307" s="7"/>
      <c r="I307" s="7"/>
      <c r="J307" s="7"/>
      <c r="K307" s="7"/>
      <c r="L307" s="7"/>
    </row>
    <row r="308" spans="1:12" ht="18.75" x14ac:dyDescent="0.3">
      <c r="A308" s="9" t="s">
        <v>44</v>
      </c>
      <c r="D308" s="2">
        <f>D291</f>
        <v>2013</v>
      </c>
      <c r="E308" s="2">
        <f t="shared" ref="E308:J308" si="152">D308+1</f>
        <v>2014</v>
      </c>
      <c r="F308" s="2">
        <f t="shared" si="152"/>
        <v>2015</v>
      </c>
      <c r="G308" s="2">
        <f t="shared" si="152"/>
        <v>2016</v>
      </c>
      <c r="H308" s="2">
        <f t="shared" si="152"/>
        <v>2017</v>
      </c>
      <c r="I308" s="2">
        <f t="shared" si="152"/>
        <v>2018</v>
      </c>
      <c r="J308" s="2">
        <f t="shared" si="152"/>
        <v>2019</v>
      </c>
      <c r="K308" s="2">
        <f>J308+1</f>
        <v>2020</v>
      </c>
      <c r="L308" s="2">
        <f>K308+1</f>
        <v>2021</v>
      </c>
    </row>
    <row r="309" spans="1:12" x14ac:dyDescent="0.25">
      <c r="B309" s="90" t="str">
        <f xml:space="preserve"> 'Facility Detail'!$B$756 &amp; " Surplus Applied to " &amp; ( 'Facility Detail'!$B$756 + 1 )</f>
        <v>2013 Surplus Applied to 2014</v>
      </c>
      <c r="C309" s="80"/>
      <c r="D309" s="3"/>
      <c r="E309" s="70">
        <f>D309</f>
        <v>0</v>
      </c>
      <c r="F309" s="143"/>
      <c r="G309" s="72"/>
      <c r="H309" s="72"/>
      <c r="I309" s="72"/>
      <c r="J309" s="72"/>
      <c r="K309" s="72"/>
      <c r="L309" s="72"/>
    </row>
    <row r="310" spans="1:12" x14ac:dyDescent="0.25">
      <c r="B310" s="90" t="str">
        <f xml:space="preserve"> ( 'Facility Detail'!$B$756 + 1 ) &amp; " Surplus Applied to " &amp; ( 'Facility Detail'!$B$756 )</f>
        <v>2014 Surplus Applied to 2013</v>
      </c>
      <c r="C310" s="80"/>
      <c r="D310" s="144">
        <f>E310</f>
        <v>0</v>
      </c>
      <c r="E310" s="10"/>
      <c r="F310" s="84"/>
      <c r="G310" s="83"/>
      <c r="H310" s="83"/>
      <c r="I310" s="83"/>
      <c r="J310" s="83"/>
      <c r="K310" s="83"/>
      <c r="L310" s="83"/>
    </row>
    <row r="311" spans="1:12" x14ac:dyDescent="0.25">
      <c r="B311" s="90" t="str">
        <f xml:space="preserve"> ( 'Facility Detail'!$B$756 + 1 ) &amp; " Surplus Applied to " &amp; ( 'Facility Detail'!$B$756 + 2 )</f>
        <v>2014 Surplus Applied to 2015</v>
      </c>
      <c r="C311" s="80"/>
      <c r="D311" s="73"/>
      <c r="E311" s="10"/>
      <c r="F311" s="79">
        <f>E311</f>
        <v>0</v>
      </c>
      <c r="G311" s="83"/>
      <c r="H311" s="83"/>
      <c r="I311" s="83"/>
      <c r="J311" s="83"/>
      <c r="K311" s="83"/>
      <c r="L311" s="83"/>
    </row>
    <row r="312" spans="1:12" x14ac:dyDescent="0.25">
      <c r="B312" s="90" t="str">
        <f xml:space="preserve"> ( 'Facility Detail'!$B$756 + 2 ) &amp; " Surplus Applied to " &amp; ( 'Facility Detail'!$B$756 + 1 )</f>
        <v>2015 Surplus Applied to 2014</v>
      </c>
      <c r="C312" s="80"/>
      <c r="D312" s="73"/>
      <c r="E312" s="79">
        <f>F312</f>
        <v>0</v>
      </c>
      <c r="F312" s="10"/>
      <c r="G312" s="83"/>
      <c r="H312" s="83"/>
      <c r="I312" s="83"/>
      <c r="J312" s="83"/>
      <c r="K312" s="83"/>
      <c r="L312" s="83"/>
    </row>
    <row r="313" spans="1:12" x14ac:dyDescent="0.25">
      <c r="B313" s="90" t="str">
        <f xml:space="preserve"> ( 'Facility Detail'!$B$756 + 2 ) &amp; " Surplus Applied to " &amp; ( 'Facility Detail'!$B$756 + 3 )</f>
        <v>2015 Surplus Applied to 2016</v>
      </c>
      <c r="C313" s="36"/>
      <c r="D313" s="73"/>
      <c r="E313" s="84"/>
      <c r="F313" s="10"/>
      <c r="G313" s="145">
        <f>F313</f>
        <v>0</v>
      </c>
      <c r="H313" s="145">
        <f>G313</f>
        <v>0</v>
      </c>
      <c r="I313" s="145">
        <f>H313</f>
        <v>0</v>
      </c>
      <c r="J313" s="145">
        <f>I313</f>
        <v>0</v>
      </c>
      <c r="K313" s="145"/>
      <c r="L313" s="145"/>
    </row>
    <row r="314" spans="1:12" x14ac:dyDescent="0.25">
      <c r="B314" s="90" t="str">
        <f xml:space="preserve"> ( 'Facility Detail'!$B$756 +3 ) &amp; " Surplus Applied to " &amp; ( 'Facility Detail'!$B$756 + 2 )</f>
        <v>2016 Surplus Applied to 2015</v>
      </c>
      <c r="C314" s="36"/>
      <c r="D314" s="74"/>
      <c r="E314" s="85"/>
      <c r="F314" s="71">
        <f>G314</f>
        <v>0</v>
      </c>
      <c r="G314" s="146"/>
      <c r="H314" s="146"/>
      <c r="I314" s="146"/>
      <c r="J314" s="146"/>
      <c r="K314" s="146"/>
      <c r="L314" s="146"/>
    </row>
    <row r="315" spans="1:12" x14ac:dyDescent="0.25">
      <c r="B315" s="90" t="str">
        <f xml:space="preserve"> ( 'Facility Detail'!$B$756 +3 ) &amp; " Surplus Applied to " &amp; ( 'Facility Detail'!$B$756 + 4 )</f>
        <v>2016 Surplus Applied to 2017</v>
      </c>
      <c r="C315" s="36"/>
      <c r="D315" s="149"/>
      <c r="E315" s="149"/>
      <c r="F315" s="23"/>
      <c r="G315" s="150"/>
      <c r="H315" s="150"/>
      <c r="I315" s="150"/>
      <c r="J315" s="150"/>
      <c r="K315" s="150"/>
      <c r="L315" s="150"/>
    </row>
    <row r="316" spans="1:12" x14ac:dyDescent="0.25">
      <c r="B316" s="39" t="s">
        <v>26</v>
      </c>
      <c r="D316" s="7">
        <f xml:space="preserve"> D310 - D309</f>
        <v>0</v>
      </c>
      <c r="E316" s="7">
        <f xml:space="preserve"> E309 + E312 - E311 - E310</f>
        <v>0</v>
      </c>
      <c r="F316" s="7">
        <f>F311+F314-F312-F313</f>
        <v>0</v>
      </c>
      <c r="G316" s="7">
        <f t="shared" ref="G316:L316" si="153">G313-G314</f>
        <v>0</v>
      </c>
      <c r="H316" s="7">
        <f t="shared" si="153"/>
        <v>0</v>
      </c>
      <c r="I316" s="7">
        <f t="shared" si="153"/>
        <v>0</v>
      </c>
      <c r="J316" s="7">
        <f t="shared" si="153"/>
        <v>0</v>
      </c>
      <c r="K316" s="7">
        <f t="shared" si="153"/>
        <v>0</v>
      </c>
      <c r="L316" s="7">
        <f t="shared" si="153"/>
        <v>0</v>
      </c>
    </row>
    <row r="317" spans="1:12" x14ac:dyDescent="0.25">
      <c r="B317" s="6"/>
      <c r="D317" s="7"/>
      <c r="E317" s="7"/>
      <c r="F317" s="7"/>
      <c r="G317" s="7"/>
      <c r="H317" s="7"/>
      <c r="I317" s="7"/>
      <c r="J317" s="7"/>
      <c r="K317" s="7"/>
      <c r="L317" s="7"/>
    </row>
    <row r="318" spans="1:12" x14ac:dyDescent="0.25">
      <c r="B318" s="97" t="s">
        <v>22</v>
      </c>
      <c r="C318" s="80"/>
      <c r="D318" s="111"/>
      <c r="E318" s="112"/>
      <c r="F318" s="113"/>
      <c r="G318" s="113"/>
      <c r="H318" s="113"/>
      <c r="I318" s="113"/>
      <c r="J318" s="113"/>
      <c r="K318" s="113"/>
      <c r="L318" s="113"/>
    </row>
    <row r="319" spans="1:12" x14ac:dyDescent="0.25">
      <c r="B319" s="6"/>
      <c r="D319" s="7"/>
      <c r="E319" s="7"/>
      <c r="F319" s="7"/>
      <c r="G319" s="7"/>
      <c r="H319" s="7"/>
      <c r="I319" s="7"/>
      <c r="J319" s="7"/>
      <c r="K319" s="7"/>
      <c r="L319" s="7"/>
    </row>
    <row r="320" spans="1:12" ht="15.75" x14ac:dyDescent="0.25">
      <c r="A320" s="93" t="s">
        <v>34</v>
      </c>
      <c r="C320" s="80"/>
      <c r="D320" s="52">
        <f t="shared" ref="D320:I320" si="154" xml:space="preserve"> D295 + D300 - D306 + D316 + D318</f>
        <v>14529</v>
      </c>
      <c r="E320" s="53">
        <f t="shared" si="154"/>
        <v>14529</v>
      </c>
      <c r="F320" s="54">
        <f t="shared" si="154"/>
        <v>14529</v>
      </c>
      <c r="G320" s="54">
        <f t="shared" si="154"/>
        <v>14529</v>
      </c>
      <c r="H320" s="54">
        <f t="shared" si="154"/>
        <v>14529</v>
      </c>
      <c r="I320" s="54">
        <f t="shared" si="154"/>
        <v>14529</v>
      </c>
      <c r="J320" s="54">
        <f t="shared" ref="J320:K320" si="155" xml:space="preserve"> J295 + J300 - J306 + J316 + J318</f>
        <v>25539</v>
      </c>
      <c r="K320" s="54">
        <f t="shared" si="155"/>
        <v>25479</v>
      </c>
      <c r="L320" s="54">
        <f t="shared" ref="L320" si="156" xml:space="preserve"> L295 + L300 - L306 + L316 + L318</f>
        <v>25479</v>
      </c>
    </row>
    <row r="321" spans="1:12" x14ac:dyDescent="0.25">
      <c r="B321" s="6"/>
      <c r="D321" s="7"/>
      <c r="E321" s="7"/>
      <c r="F321" s="7"/>
      <c r="G321" s="34"/>
      <c r="H321" s="34"/>
      <c r="I321" s="34"/>
      <c r="J321" s="34"/>
      <c r="K321" s="34"/>
      <c r="L321" s="34"/>
    </row>
    <row r="322" spans="1:12" ht="15.75" thickBot="1" x14ac:dyDescent="0.3"/>
    <row r="323" spans="1:12" x14ac:dyDescent="0.25">
      <c r="A323" s="8"/>
      <c r="B323" s="8"/>
      <c r="C323" s="8"/>
      <c r="D323" s="8"/>
      <c r="E323" s="8"/>
      <c r="F323" s="8"/>
      <c r="G323" s="8"/>
      <c r="H323" s="8"/>
      <c r="I323" s="8"/>
      <c r="J323" s="8"/>
      <c r="K323" s="8"/>
      <c r="L323" s="8"/>
    </row>
    <row r="324" spans="1:12" x14ac:dyDescent="0.25">
      <c r="B324" s="36"/>
      <c r="C324" s="36"/>
      <c r="D324" s="36"/>
      <c r="E324" s="36"/>
      <c r="F324" s="36"/>
      <c r="G324" s="36"/>
      <c r="H324" s="36"/>
      <c r="I324" s="36"/>
      <c r="J324" s="36"/>
      <c r="K324" s="36"/>
      <c r="L324" s="36"/>
    </row>
    <row r="325" spans="1:12" ht="21" x14ac:dyDescent="0.35">
      <c r="A325" s="16" t="s">
        <v>4</v>
      </c>
      <c r="B325" s="16"/>
      <c r="C325" s="49" t="str">
        <f>B10</f>
        <v>Noxon Rapids #4</v>
      </c>
      <c r="D325" s="50"/>
      <c r="E325" s="22"/>
      <c r="F325" s="22"/>
    </row>
    <row r="327" spans="1:12" ht="18.75" x14ac:dyDescent="0.3">
      <c r="A327" s="9" t="s">
        <v>86</v>
      </c>
      <c r="B327" s="9"/>
      <c r="D327" s="2">
        <v>2013</v>
      </c>
      <c r="E327" s="2">
        <f t="shared" ref="E327:J327" si="157">D327+1</f>
        <v>2014</v>
      </c>
      <c r="F327" s="2">
        <f t="shared" si="157"/>
        <v>2015</v>
      </c>
      <c r="G327" s="2">
        <f t="shared" si="157"/>
        <v>2016</v>
      </c>
      <c r="H327" s="2">
        <f t="shared" si="157"/>
        <v>2017</v>
      </c>
      <c r="I327" s="2">
        <f t="shared" si="157"/>
        <v>2018</v>
      </c>
      <c r="J327" s="2">
        <f t="shared" si="157"/>
        <v>2019</v>
      </c>
      <c r="K327" s="2">
        <f>J327+1</f>
        <v>2020</v>
      </c>
      <c r="L327" s="2">
        <f>K327+1</f>
        <v>2021</v>
      </c>
    </row>
    <row r="328" spans="1:12" x14ac:dyDescent="0.25">
      <c r="B328" s="90" t="str">
        <f>"Total MWh Produced / Purchased from " &amp; C325</f>
        <v>Total MWh Produced / Purchased from Noxon Rapids #4</v>
      </c>
      <c r="C328" s="80"/>
      <c r="D328" s="3">
        <v>10934</v>
      </c>
      <c r="E328" s="4">
        <v>12024</v>
      </c>
      <c r="F328" s="5">
        <v>12024</v>
      </c>
      <c r="G328" s="5">
        <v>12024</v>
      </c>
      <c r="H328" s="5">
        <v>12024</v>
      </c>
      <c r="I328" s="5">
        <v>12024</v>
      </c>
      <c r="J328" s="5">
        <v>11898</v>
      </c>
      <c r="K328" s="5">
        <v>9952</v>
      </c>
      <c r="L328" s="5">
        <v>9952</v>
      </c>
    </row>
    <row r="329" spans="1:12" x14ac:dyDescent="0.25">
      <c r="B329" s="90" t="s">
        <v>33</v>
      </c>
      <c r="C329" s="80"/>
      <c r="D329" s="64">
        <v>1</v>
      </c>
      <c r="E329" s="65">
        <v>1</v>
      </c>
      <c r="F329" s="66">
        <v>1</v>
      </c>
      <c r="G329" s="66">
        <v>1</v>
      </c>
      <c r="H329" s="66">
        <v>1</v>
      </c>
      <c r="I329" s="66">
        <v>1</v>
      </c>
      <c r="J329" s="66">
        <v>1</v>
      </c>
      <c r="K329" s="66">
        <v>1</v>
      </c>
      <c r="L329" s="66">
        <v>1</v>
      </c>
    </row>
    <row r="330" spans="1:12" x14ac:dyDescent="0.25">
      <c r="B330" s="90" t="s">
        <v>27</v>
      </c>
      <c r="C330" s="80"/>
      <c r="D330" s="57">
        <v>1</v>
      </c>
      <c r="E330" s="58">
        <v>1</v>
      </c>
      <c r="F330" s="59">
        <v>1</v>
      </c>
      <c r="G330" s="59">
        <v>1</v>
      </c>
      <c r="H330" s="59">
        <v>1</v>
      </c>
      <c r="I330" s="59">
        <v>1</v>
      </c>
      <c r="J330" s="59">
        <v>1</v>
      </c>
      <c r="K330" s="59">
        <v>1</v>
      </c>
      <c r="L330" s="59">
        <v>1</v>
      </c>
    </row>
    <row r="331" spans="1:12" x14ac:dyDescent="0.25">
      <c r="B331" s="87" t="s">
        <v>29</v>
      </c>
      <c r="C331" s="88"/>
      <c r="D331" s="44">
        <f t="shared" ref="D331:I331" si="158" xml:space="preserve"> D328 * D329 * D330</f>
        <v>10934</v>
      </c>
      <c r="E331" s="44">
        <f t="shared" si="158"/>
        <v>12024</v>
      </c>
      <c r="F331" s="44">
        <f t="shared" si="158"/>
        <v>12024</v>
      </c>
      <c r="G331" s="44">
        <f t="shared" si="158"/>
        <v>12024</v>
      </c>
      <c r="H331" s="44">
        <f t="shared" si="158"/>
        <v>12024</v>
      </c>
      <c r="I331" s="44">
        <f t="shared" si="158"/>
        <v>12024</v>
      </c>
      <c r="J331" s="44">
        <f t="shared" ref="J331:K331" si="159" xml:space="preserve"> J328 * J329 * J330</f>
        <v>11898</v>
      </c>
      <c r="K331" s="44">
        <f t="shared" si="159"/>
        <v>9952</v>
      </c>
      <c r="L331" s="44">
        <f t="shared" ref="L331" si="160" xml:space="preserve"> L328 * L329 * L330</f>
        <v>9952</v>
      </c>
    </row>
    <row r="332" spans="1:12" x14ac:dyDescent="0.25">
      <c r="B332" s="22"/>
      <c r="C332" s="36"/>
      <c r="D332" s="43"/>
      <c r="E332" s="43"/>
      <c r="F332" s="43"/>
      <c r="G332" s="43"/>
      <c r="H332" s="43"/>
      <c r="I332" s="43"/>
      <c r="J332" s="43"/>
      <c r="K332" s="43"/>
      <c r="L332" s="43"/>
    </row>
    <row r="333" spans="1:12" ht="18.75" x14ac:dyDescent="0.3">
      <c r="A333" s="51" t="s">
        <v>31</v>
      </c>
      <c r="C333" s="36"/>
      <c r="D333" s="2">
        <f>D327</f>
        <v>2013</v>
      </c>
      <c r="E333" s="2">
        <f t="shared" ref="E333:J333" si="161">D333+1</f>
        <v>2014</v>
      </c>
      <c r="F333" s="2">
        <f t="shared" si="161"/>
        <v>2015</v>
      </c>
      <c r="G333" s="2">
        <f t="shared" si="161"/>
        <v>2016</v>
      </c>
      <c r="H333" s="2">
        <f t="shared" si="161"/>
        <v>2017</v>
      </c>
      <c r="I333" s="2">
        <f t="shared" si="161"/>
        <v>2018</v>
      </c>
      <c r="J333" s="2">
        <f t="shared" si="161"/>
        <v>2019</v>
      </c>
      <c r="K333" s="2">
        <f>J333+1</f>
        <v>2020</v>
      </c>
      <c r="L333" s="2">
        <f>K333+1</f>
        <v>2021</v>
      </c>
    </row>
    <row r="334" spans="1:12" x14ac:dyDescent="0.25">
      <c r="B334" s="90" t="s">
        <v>20</v>
      </c>
      <c r="C334" s="80"/>
      <c r="D334" s="60">
        <f>IF( $E10 = "Eligible", D331 * 'Facility Detail'!$B$601, 0 )</f>
        <v>0</v>
      </c>
      <c r="E334" s="13">
        <f>IF( $E10 = "Eligible", E331 * 'Facility Detail'!$B$601, 0 )</f>
        <v>0</v>
      </c>
      <c r="F334" s="14">
        <f>IF( $E10 = "Eligible", F331 * 'Facility Detail'!$B$601, 0 )</f>
        <v>0</v>
      </c>
      <c r="G334" s="14">
        <f>IF( $E10 = "Eligible", G331 * 'Facility Detail'!$B$601, 0 )</f>
        <v>0</v>
      </c>
      <c r="H334" s="14">
        <f>IF( $E10 = "Eligible", H331 * 'Facility Detail'!$B$601, 0 )</f>
        <v>0</v>
      </c>
      <c r="I334" s="14">
        <f>IF( $E10 = "Eligible", I331 * 'Facility Detail'!$B$601, 0 )</f>
        <v>0</v>
      </c>
      <c r="J334" s="14">
        <f>IF( $E10 = "Eligible", J331 * 'Facility Detail'!$B$601, 0 )</f>
        <v>0</v>
      </c>
      <c r="K334" s="14">
        <f>IF( $E10 = "Eligible", K331 * 'Facility Detail'!$B$601, 0 )</f>
        <v>0</v>
      </c>
      <c r="L334" s="14">
        <f>IF( $E10 = "Eligible", L331 * 'Facility Detail'!$B$601, 0 )</f>
        <v>0</v>
      </c>
    </row>
    <row r="335" spans="1:12" x14ac:dyDescent="0.25">
      <c r="B335" s="90" t="s">
        <v>6</v>
      </c>
      <c r="C335" s="80"/>
      <c r="D335" s="61">
        <f t="shared" ref="D335:I335" si="162">IF( $F10 = "Eligible", D331, 0 )</f>
        <v>0</v>
      </c>
      <c r="E335" s="62">
        <f t="shared" si="162"/>
        <v>0</v>
      </c>
      <c r="F335" s="63">
        <f t="shared" si="162"/>
        <v>0</v>
      </c>
      <c r="G335" s="63">
        <f t="shared" si="162"/>
        <v>0</v>
      </c>
      <c r="H335" s="63">
        <f t="shared" si="162"/>
        <v>0</v>
      </c>
      <c r="I335" s="63">
        <f t="shared" si="162"/>
        <v>0</v>
      </c>
      <c r="J335" s="63">
        <f t="shared" ref="J335:K335" si="163">IF( $F10 = "Eligible", J331, 0 )</f>
        <v>0</v>
      </c>
      <c r="K335" s="63">
        <f t="shared" si="163"/>
        <v>0</v>
      </c>
      <c r="L335" s="63">
        <f t="shared" ref="L335" si="164">IF( $F10 = "Eligible", L331, 0 )</f>
        <v>0</v>
      </c>
    </row>
    <row r="336" spans="1:12" x14ac:dyDescent="0.25">
      <c r="B336" s="89" t="s">
        <v>38</v>
      </c>
      <c r="C336" s="88"/>
      <c r="D336" s="46">
        <f t="shared" ref="D336:I336" si="165">SUM(D334:D335)</f>
        <v>0</v>
      </c>
      <c r="E336" s="47">
        <f t="shared" si="165"/>
        <v>0</v>
      </c>
      <c r="F336" s="47">
        <f t="shared" si="165"/>
        <v>0</v>
      </c>
      <c r="G336" s="47">
        <f t="shared" si="165"/>
        <v>0</v>
      </c>
      <c r="H336" s="47">
        <f t="shared" si="165"/>
        <v>0</v>
      </c>
      <c r="I336" s="47">
        <f t="shared" si="165"/>
        <v>0</v>
      </c>
      <c r="J336" s="47">
        <f t="shared" ref="J336:K336" si="166">SUM(J334:J335)</f>
        <v>0</v>
      </c>
      <c r="K336" s="47">
        <f t="shared" si="166"/>
        <v>0</v>
      </c>
      <c r="L336" s="47">
        <f t="shared" ref="L336" si="167">SUM(L334:L335)</f>
        <v>0</v>
      </c>
    </row>
    <row r="337" spans="1:12" x14ac:dyDescent="0.25">
      <c r="B337" s="36"/>
      <c r="C337" s="36"/>
      <c r="D337" s="45"/>
      <c r="E337" s="37"/>
      <c r="F337" s="37"/>
      <c r="G337" s="37"/>
      <c r="H337" s="37"/>
      <c r="I337" s="37"/>
      <c r="J337" s="37"/>
      <c r="K337" s="37"/>
      <c r="L337" s="37"/>
    </row>
    <row r="338" spans="1:12" ht="18.75" x14ac:dyDescent="0.3">
      <c r="A338" s="48" t="s">
        <v>36</v>
      </c>
      <c r="C338" s="36"/>
      <c r="D338" s="2">
        <f>D327</f>
        <v>2013</v>
      </c>
      <c r="E338" s="2">
        <f t="shared" ref="E338:J338" si="168">D338+1</f>
        <v>2014</v>
      </c>
      <c r="F338" s="2">
        <f t="shared" si="168"/>
        <v>2015</v>
      </c>
      <c r="G338" s="2">
        <f t="shared" si="168"/>
        <v>2016</v>
      </c>
      <c r="H338" s="2">
        <f t="shared" si="168"/>
        <v>2017</v>
      </c>
      <c r="I338" s="2">
        <f t="shared" si="168"/>
        <v>2018</v>
      </c>
      <c r="J338" s="2">
        <f t="shared" si="168"/>
        <v>2019</v>
      </c>
      <c r="K338" s="2">
        <f>J338+1</f>
        <v>2020</v>
      </c>
      <c r="L338" s="2">
        <f>K338+1</f>
        <v>2021</v>
      </c>
    </row>
    <row r="339" spans="1:12" x14ac:dyDescent="0.25">
      <c r="B339" s="90" t="s">
        <v>40</v>
      </c>
      <c r="C339" s="80"/>
      <c r="D339" s="98">
        <v>0</v>
      </c>
      <c r="E339" s="99">
        <v>0</v>
      </c>
      <c r="F339" s="100">
        <v>0</v>
      </c>
      <c r="G339" s="100">
        <v>0</v>
      </c>
      <c r="H339" s="100">
        <v>0</v>
      </c>
      <c r="I339" s="100">
        <v>0</v>
      </c>
      <c r="J339" s="100">
        <v>0</v>
      </c>
      <c r="K339" s="100">
        <v>0</v>
      </c>
      <c r="L339" s="100">
        <v>0</v>
      </c>
    </row>
    <row r="340" spans="1:12" x14ac:dyDescent="0.25">
      <c r="B340" s="91" t="s">
        <v>30</v>
      </c>
      <c r="C340" s="92"/>
      <c r="D340" s="101">
        <v>0</v>
      </c>
      <c r="E340" s="102">
        <v>0</v>
      </c>
      <c r="F340" s="103">
        <v>0</v>
      </c>
      <c r="G340" s="103">
        <v>0</v>
      </c>
      <c r="H340" s="103">
        <v>0</v>
      </c>
      <c r="I340" s="103">
        <v>0</v>
      </c>
      <c r="J340" s="103">
        <v>0</v>
      </c>
      <c r="K340" s="103">
        <v>0</v>
      </c>
      <c r="L340" s="103">
        <v>0</v>
      </c>
    </row>
    <row r="341" spans="1:12" x14ac:dyDescent="0.25">
      <c r="B341" s="104" t="s">
        <v>42</v>
      </c>
      <c r="C341" s="96"/>
      <c r="D341" s="67">
        <v>0</v>
      </c>
      <c r="E341" s="68">
        <v>0</v>
      </c>
      <c r="F341" s="69">
        <v>0</v>
      </c>
      <c r="G341" s="69">
        <v>0</v>
      </c>
      <c r="H341" s="69">
        <v>0</v>
      </c>
      <c r="I341" s="69">
        <v>0</v>
      </c>
      <c r="J341" s="69">
        <v>0</v>
      </c>
      <c r="K341" s="69">
        <v>0</v>
      </c>
      <c r="L341" s="69">
        <v>0</v>
      </c>
    </row>
    <row r="342" spans="1:12" x14ac:dyDescent="0.25">
      <c r="B342" s="39" t="s">
        <v>43</v>
      </c>
      <c r="D342" s="7">
        <f t="shared" ref="D342:I342" si="169">SUM(D339:D341)</f>
        <v>0</v>
      </c>
      <c r="E342" s="7">
        <f t="shared" si="169"/>
        <v>0</v>
      </c>
      <c r="F342" s="7">
        <f t="shared" si="169"/>
        <v>0</v>
      </c>
      <c r="G342" s="7">
        <f t="shared" si="169"/>
        <v>0</v>
      </c>
      <c r="H342" s="7">
        <f t="shared" si="169"/>
        <v>0</v>
      </c>
      <c r="I342" s="7">
        <f t="shared" si="169"/>
        <v>0</v>
      </c>
      <c r="J342" s="7">
        <f t="shared" ref="J342:K342" si="170">SUM(J339:J341)</f>
        <v>0</v>
      </c>
      <c r="K342" s="7">
        <f t="shared" si="170"/>
        <v>0</v>
      </c>
      <c r="L342" s="7">
        <f t="shared" ref="L342" si="171">SUM(L339:L341)</f>
        <v>0</v>
      </c>
    </row>
    <row r="343" spans="1:12" x14ac:dyDescent="0.25">
      <c r="B343" s="6"/>
      <c r="D343" s="7"/>
      <c r="E343" s="7"/>
      <c r="F343" s="7"/>
      <c r="G343" s="7"/>
      <c r="H343" s="7"/>
      <c r="I343" s="7"/>
      <c r="J343" s="7"/>
      <c r="K343" s="7"/>
      <c r="L343" s="7"/>
    </row>
    <row r="344" spans="1:12" ht="18.75" x14ac:dyDescent="0.3">
      <c r="A344" s="9" t="s">
        <v>44</v>
      </c>
      <c r="D344" s="2">
        <f>D327</f>
        <v>2013</v>
      </c>
      <c r="E344" s="2">
        <f t="shared" ref="E344:J344" si="172">D344+1</f>
        <v>2014</v>
      </c>
      <c r="F344" s="2">
        <f t="shared" si="172"/>
        <v>2015</v>
      </c>
      <c r="G344" s="2">
        <f t="shared" si="172"/>
        <v>2016</v>
      </c>
      <c r="H344" s="2">
        <f t="shared" si="172"/>
        <v>2017</v>
      </c>
      <c r="I344" s="2">
        <f t="shared" si="172"/>
        <v>2018</v>
      </c>
      <c r="J344" s="2">
        <f t="shared" si="172"/>
        <v>2019</v>
      </c>
      <c r="K344" s="2">
        <f>J344+1</f>
        <v>2020</v>
      </c>
      <c r="L344" s="2">
        <f>K344+1</f>
        <v>2021</v>
      </c>
    </row>
    <row r="345" spans="1:12" x14ac:dyDescent="0.25">
      <c r="B345" s="90" t="str">
        <f xml:space="preserve"> 'Facility Detail'!$B$756 &amp; " Surplus Applied to " &amp; ( 'Facility Detail'!$B$756 + 1 )</f>
        <v>2013 Surplus Applied to 2014</v>
      </c>
      <c r="C345" s="80"/>
      <c r="D345" s="3"/>
      <c r="E345" s="70">
        <f>D345</f>
        <v>0</v>
      </c>
      <c r="F345" s="143"/>
      <c r="G345" s="72"/>
      <c r="H345" s="72"/>
      <c r="I345" s="72"/>
      <c r="J345" s="72"/>
      <c r="K345" s="72"/>
      <c r="L345" s="72"/>
    </row>
    <row r="346" spans="1:12" x14ac:dyDescent="0.25">
      <c r="B346" s="90" t="str">
        <f xml:space="preserve"> ( 'Facility Detail'!$B$756 + 1 ) &amp; " Surplus Applied to " &amp; ( 'Facility Detail'!$B$756 )</f>
        <v>2014 Surplus Applied to 2013</v>
      </c>
      <c r="C346" s="80"/>
      <c r="D346" s="144">
        <f>E346</f>
        <v>0</v>
      </c>
      <c r="E346" s="10"/>
      <c r="F346" s="84"/>
      <c r="G346" s="83"/>
      <c r="H346" s="83"/>
      <c r="I346" s="83"/>
      <c r="J346" s="83"/>
      <c r="K346" s="83"/>
      <c r="L346" s="83"/>
    </row>
    <row r="347" spans="1:12" x14ac:dyDescent="0.25">
      <c r="B347" s="90" t="str">
        <f xml:space="preserve"> ( 'Facility Detail'!$B$756 + 1 ) &amp; " Surplus Applied to " &amp; ( 'Facility Detail'!$B$756 + 2 )</f>
        <v>2014 Surplus Applied to 2015</v>
      </c>
      <c r="C347" s="80"/>
      <c r="D347" s="73"/>
      <c r="E347" s="10"/>
      <c r="F347" s="79">
        <f>E347</f>
        <v>0</v>
      </c>
      <c r="G347" s="83"/>
      <c r="H347" s="83"/>
      <c r="I347" s="83"/>
      <c r="J347" s="83"/>
      <c r="K347" s="83"/>
      <c r="L347" s="83"/>
    </row>
    <row r="348" spans="1:12" x14ac:dyDescent="0.25">
      <c r="B348" s="90" t="str">
        <f xml:space="preserve"> ( 'Facility Detail'!$B$756 + 2 ) &amp; " Surplus Applied to " &amp; ( 'Facility Detail'!$B$756 + 1 )</f>
        <v>2015 Surplus Applied to 2014</v>
      </c>
      <c r="C348" s="80"/>
      <c r="D348" s="73"/>
      <c r="E348" s="79">
        <f>F348</f>
        <v>0</v>
      </c>
      <c r="F348" s="10"/>
      <c r="G348" s="83"/>
      <c r="H348" s="83"/>
      <c r="I348" s="83"/>
      <c r="J348" s="83"/>
      <c r="K348" s="83"/>
      <c r="L348" s="83"/>
    </row>
    <row r="349" spans="1:12" x14ac:dyDescent="0.25">
      <c r="B349" s="90" t="str">
        <f xml:space="preserve"> ( 'Facility Detail'!$B$756 + 2 ) &amp; " Surplus Applied to " &amp; ( 'Facility Detail'!$B$756 + 3 )</f>
        <v>2015 Surplus Applied to 2016</v>
      </c>
      <c r="C349" s="36"/>
      <c r="D349" s="73"/>
      <c r="E349" s="84"/>
      <c r="F349" s="10"/>
      <c r="G349" s="145">
        <f>F349</f>
        <v>0</v>
      </c>
      <c r="H349" s="145">
        <f>G349</f>
        <v>0</v>
      </c>
      <c r="I349" s="145">
        <f>H349</f>
        <v>0</v>
      </c>
      <c r="J349" s="145">
        <f>I349</f>
        <v>0</v>
      </c>
      <c r="K349" s="145"/>
      <c r="L349" s="145"/>
    </row>
    <row r="350" spans="1:12" x14ac:dyDescent="0.25">
      <c r="B350" s="90" t="str">
        <f xml:space="preserve"> ( 'Facility Detail'!$B$756 +3 ) &amp; " Surplus Applied to " &amp; ( 'Facility Detail'!$B$756 + 2 )</f>
        <v>2016 Surplus Applied to 2015</v>
      </c>
      <c r="C350" s="36"/>
      <c r="D350" s="74"/>
      <c r="E350" s="85"/>
      <c r="F350" s="71">
        <f>G350</f>
        <v>0</v>
      </c>
      <c r="G350" s="146"/>
      <c r="H350" s="146"/>
      <c r="I350" s="146"/>
      <c r="J350" s="146"/>
      <c r="K350" s="146"/>
      <c r="L350" s="146"/>
    </row>
    <row r="351" spans="1:12" x14ac:dyDescent="0.25">
      <c r="B351" s="90" t="str">
        <f xml:space="preserve"> ( 'Facility Detail'!$B$756 +3 ) &amp; " Surplus Applied to " &amp; ( 'Facility Detail'!$B$756 + 4 )</f>
        <v>2016 Surplus Applied to 2017</v>
      </c>
      <c r="C351" s="36"/>
      <c r="D351" s="149"/>
      <c r="E351" s="149"/>
      <c r="F351" s="23"/>
      <c r="G351" s="150"/>
      <c r="H351" s="150"/>
      <c r="I351" s="150"/>
      <c r="J351" s="150"/>
      <c r="K351" s="150"/>
      <c r="L351" s="150"/>
    </row>
    <row r="352" spans="1:12" x14ac:dyDescent="0.25">
      <c r="B352" s="39" t="s">
        <v>26</v>
      </c>
      <c r="D352" s="7">
        <f xml:space="preserve"> D346 - D345</f>
        <v>0</v>
      </c>
      <c r="E352" s="7">
        <f xml:space="preserve"> E345 + E348 - E347 - E346</f>
        <v>0</v>
      </c>
      <c r="F352" s="7">
        <f>F347+F350-F348-F349</f>
        <v>0</v>
      </c>
      <c r="G352" s="7">
        <f t="shared" ref="G352:L352" si="173">G349-G350</f>
        <v>0</v>
      </c>
      <c r="H352" s="7">
        <f t="shared" si="173"/>
        <v>0</v>
      </c>
      <c r="I352" s="7">
        <f t="shared" si="173"/>
        <v>0</v>
      </c>
      <c r="J352" s="7">
        <f t="shared" si="173"/>
        <v>0</v>
      </c>
      <c r="K352" s="7">
        <f t="shared" si="173"/>
        <v>0</v>
      </c>
      <c r="L352" s="7">
        <f t="shared" si="173"/>
        <v>0</v>
      </c>
    </row>
    <row r="353" spans="1:12" x14ac:dyDescent="0.25">
      <c r="B353" s="6"/>
      <c r="D353" s="7"/>
      <c r="E353" s="7"/>
      <c r="F353" s="7"/>
      <c r="G353" s="7"/>
      <c r="H353" s="7"/>
      <c r="I353" s="7"/>
      <c r="J353" s="7"/>
      <c r="K353" s="7"/>
      <c r="L353" s="7"/>
    </row>
    <row r="354" spans="1:12" x14ac:dyDescent="0.25">
      <c r="B354" s="97" t="s">
        <v>22</v>
      </c>
      <c r="C354" s="80"/>
      <c r="D354" s="111"/>
      <c r="E354" s="112"/>
      <c r="F354" s="113"/>
      <c r="G354" s="113"/>
      <c r="H354" s="113"/>
      <c r="I354" s="113"/>
      <c r="J354" s="113"/>
      <c r="K354" s="113"/>
      <c r="L354" s="113"/>
    </row>
    <row r="355" spans="1:12" x14ac:dyDescent="0.25">
      <c r="B355" s="6"/>
      <c r="D355" s="7"/>
      <c r="E355" s="7"/>
      <c r="F355" s="7"/>
      <c r="G355" s="7"/>
      <c r="H355" s="7"/>
      <c r="I355" s="7"/>
      <c r="J355" s="7"/>
      <c r="K355" s="7"/>
      <c r="L355" s="7"/>
    </row>
    <row r="356" spans="1:12" ht="15.75" x14ac:dyDescent="0.25">
      <c r="A356" s="93" t="s">
        <v>34</v>
      </c>
      <c r="C356" s="80"/>
      <c r="D356" s="52">
        <f t="shared" ref="D356:I356" si="174" xml:space="preserve"> D331 + D336 - D342 + D352 + D354</f>
        <v>10934</v>
      </c>
      <c r="E356" s="53">
        <f t="shared" si="174"/>
        <v>12024</v>
      </c>
      <c r="F356" s="54">
        <f t="shared" si="174"/>
        <v>12024</v>
      </c>
      <c r="G356" s="54">
        <f t="shared" si="174"/>
        <v>12024</v>
      </c>
      <c r="H356" s="54">
        <f t="shared" si="174"/>
        <v>12024</v>
      </c>
      <c r="I356" s="54">
        <f t="shared" si="174"/>
        <v>12024</v>
      </c>
      <c r="J356" s="54">
        <f t="shared" ref="J356:K356" si="175" xml:space="preserve"> J331 + J336 - J342 + J352 + J354</f>
        <v>11898</v>
      </c>
      <c r="K356" s="54">
        <f t="shared" si="175"/>
        <v>9952</v>
      </c>
      <c r="L356" s="54">
        <f t="shared" ref="L356" si="176" xml:space="preserve"> L331 + L336 - L342 + L352 + L354</f>
        <v>9952</v>
      </c>
    </row>
    <row r="357" spans="1:12" x14ac:dyDescent="0.25">
      <c r="B357" s="6"/>
      <c r="D357" s="7"/>
      <c r="E357" s="7"/>
      <c r="F357" s="7"/>
      <c r="G357" s="34"/>
      <c r="H357" s="34"/>
      <c r="I357" s="34"/>
      <c r="J357" s="34"/>
      <c r="K357" s="34"/>
      <c r="L357" s="34"/>
    </row>
    <row r="358" spans="1:12" ht="15.75" thickBot="1" x14ac:dyDescent="0.3">
      <c r="A358" s="1" t="s">
        <v>87</v>
      </c>
    </row>
    <row r="359" spans="1:12" x14ac:dyDescent="0.25">
      <c r="A359" s="8"/>
      <c r="B359" s="8"/>
      <c r="C359" s="8"/>
      <c r="D359" s="8"/>
      <c r="E359" s="8"/>
      <c r="F359" s="8"/>
      <c r="G359" s="8"/>
      <c r="H359" s="8"/>
      <c r="I359" s="8"/>
      <c r="J359" s="8"/>
      <c r="K359" s="8"/>
      <c r="L359" s="8"/>
    </row>
    <row r="360" spans="1:12" x14ac:dyDescent="0.25">
      <c r="B360" s="36"/>
      <c r="C360" s="36"/>
      <c r="D360" s="36"/>
      <c r="E360" s="36"/>
      <c r="F360" s="36"/>
      <c r="G360" s="36"/>
      <c r="H360" s="36"/>
      <c r="I360" s="36"/>
      <c r="J360" s="36"/>
      <c r="K360" s="36"/>
      <c r="L360" s="36"/>
    </row>
    <row r="361" spans="1:12" ht="21" x14ac:dyDescent="0.35">
      <c r="A361" s="16" t="s">
        <v>4</v>
      </c>
      <c r="B361" s="16"/>
      <c r="C361" s="49" t="str">
        <f>B11</f>
        <v>Grant PUD Fish Bypasses</v>
      </c>
      <c r="D361" s="50"/>
      <c r="E361" s="22"/>
      <c r="F361" s="22"/>
    </row>
    <row r="363" spans="1:12" ht="18.75" x14ac:dyDescent="0.3">
      <c r="A363" s="9" t="s">
        <v>86</v>
      </c>
      <c r="B363" s="9"/>
      <c r="D363" s="2">
        <v>2013</v>
      </c>
      <c r="E363" s="2">
        <f t="shared" ref="E363:J363" si="177">D363+1</f>
        <v>2014</v>
      </c>
      <c r="F363" s="2">
        <f t="shared" si="177"/>
        <v>2015</v>
      </c>
      <c r="G363" s="2">
        <f t="shared" si="177"/>
        <v>2016</v>
      </c>
      <c r="H363" s="2">
        <f t="shared" si="177"/>
        <v>2017</v>
      </c>
      <c r="I363" s="2">
        <f t="shared" si="177"/>
        <v>2018</v>
      </c>
      <c r="J363" s="2">
        <f t="shared" si="177"/>
        <v>2019</v>
      </c>
      <c r="K363" s="2">
        <f>J363+1</f>
        <v>2020</v>
      </c>
      <c r="L363" s="2">
        <f>K363+1</f>
        <v>2021</v>
      </c>
    </row>
    <row r="364" spans="1:12" x14ac:dyDescent="0.25">
      <c r="B364" s="90" t="str">
        <f>"Total MWh Produced / Purchased from " &amp; C361</f>
        <v>Total MWh Produced / Purchased from Grant PUD Fish Bypasses</v>
      </c>
      <c r="C364" s="80"/>
      <c r="D364" s="3">
        <v>22206</v>
      </c>
      <c r="E364" s="4">
        <v>0</v>
      </c>
      <c r="F364" s="5">
        <v>0</v>
      </c>
      <c r="G364" s="5">
        <v>0</v>
      </c>
      <c r="H364" s="5">
        <v>0</v>
      </c>
      <c r="I364" s="5">
        <v>0</v>
      </c>
      <c r="J364" s="5">
        <v>51244</v>
      </c>
      <c r="K364" s="5">
        <v>51244</v>
      </c>
      <c r="L364" s="5">
        <v>51244</v>
      </c>
    </row>
    <row r="365" spans="1:12" x14ac:dyDescent="0.25">
      <c r="B365" s="90" t="s">
        <v>33</v>
      </c>
      <c r="C365" s="80"/>
      <c r="D365" s="64">
        <v>1</v>
      </c>
      <c r="E365" s="65">
        <v>1</v>
      </c>
      <c r="F365" s="66">
        <v>1</v>
      </c>
      <c r="G365" s="66">
        <v>1</v>
      </c>
      <c r="H365" s="66">
        <v>1</v>
      </c>
      <c r="I365" s="66">
        <v>1</v>
      </c>
      <c r="J365" s="66">
        <v>1</v>
      </c>
      <c r="K365" s="66">
        <v>1</v>
      </c>
      <c r="L365" s="66">
        <v>1</v>
      </c>
    </row>
    <row r="366" spans="1:12" x14ac:dyDescent="0.25">
      <c r="B366" s="90" t="s">
        <v>27</v>
      </c>
      <c r="C366" s="80"/>
      <c r="D366" s="57">
        <v>1</v>
      </c>
      <c r="E366" s="58">
        <v>1</v>
      </c>
      <c r="F366" s="59">
        <v>1</v>
      </c>
      <c r="G366" s="59">
        <v>1</v>
      </c>
      <c r="H366" s="59">
        <v>1</v>
      </c>
      <c r="I366" s="59">
        <v>1</v>
      </c>
      <c r="J366" s="59">
        <v>1</v>
      </c>
      <c r="K366" s="59">
        <v>1</v>
      </c>
      <c r="L366" s="59">
        <v>1</v>
      </c>
    </row>
    <row r="367" spans="1:12" x14ac:dyDescent="0.25">
      <c r="B367" s="87" t="s">
        <v>29</v>
      </c>
      <c r="C367" s="88"/>
      <c r="D367" s="44">
        <f t="shared" ref="D367:I367" si="178" xml:space="preserve"> D364 * D365 * D366</f>
        <v>22206</v>
      </c>
      <c r="E367" s="44">
        <f t="shared" si="178"/>
        <v>0</v>
      </c>
      <c r="F367" s="44">
        <f t="shared" si="178"/>
        <v>0</v>
      </c>
      <c r="G367" s="44">
        <f t="shared" si="178"/>
        <v>0</v>
      </c>
      <c r="H367" s="44">
        <f t="shared" si="178"/>
        <v>0</v>
      </c>
      <c r="I367" s="44">
        <f t="shared" si="178"/>
        <v>0</v>
      </c>
      <c r="J367" s="44">
        <f t="shared" ref="J367:L367" si="179" xml:space="preserve"> J364 * J365 * J366</f>
        <v>51244</v>
      </c>
      <c r="K367" s="44">
        <f t="shared" si="179"/>
        <v>51244</v>
      </c>
      <c r="L367" s="44">
        <f t="shared" si="179"/>
        <v>51244</v>
      </c>
    </row>
    <row r="368" spans="1:12" x14ac:dyDescent="0.25">
      <c r="B368" s="22"/>
      <c r="C368" s="36"/>
      <c r="D368" s="43"/>
      <c r="E368" s="43"/>
      <c r="F368" s="43"/>
      <c r="G368" s="43"/>
      <c r="H368" s="43"/>
      <c r="I368" s="43"/>
      <c r="J368" s="43"/>
      <c r="K368" s="43"/>
      <c r="L368" s="43"/>
    </row>
    <row r="369" spans="1:12" ht="18.75" x14ac:dyDescent="0.3">
      <c r="A369" s="51" t="s">
        <v>31</v>
      </c>
      <c r="C369" s="36"/>
      <c r="D369" s="2">
        <f>D363</f>
        <v>2013</v>
      </c>
      <c r="E369" s="2">
        <f t="shared" ref="E369:J369" si="180">D369+1</f>
        <v>2014</v>
      </c>
      <c r="F369" s="2">
        <f t="shared" si="180"/>
        <v>2015</v>
      </c>
      <c r="G369" s="2">
        <f t="shared" si="180"/>
        <v>2016</v>
      </c>
      <c r="H369" s="2">
        <f t="shared" si="180"/>
        <v>2017</v>
      </c>
      <c r="I369" s="2">
        <f t="shared" si="180"/>
        <v>2018</v>
      </c>
      <c r="J369" s="2">
        <f t="shared" si="180"/>
        <v>2019</v>
      </c>
      <c r="K369" s="2">
        <f>J369+1</f>
        <v>2020</v>
      </c>
      <c r="L369" s="2">
        <f>K369+1</f>
        <v>2021</v>
      </c>
    </row>
    <row r="370" spans="1:12" x14ac:dyDescent="0.25">
      <c r="B370" s="90" t="s">
        <v>20</v>
      </c>
      <c r="C370" s="80"/>
      <c r="D370" s="60">
        <f>IF( $E11 = "Eligible", D367 * 'Facility Detail'!$B$601, 0 )</f>
        <v>0</v>
      </c>
      <c r="E370" s="13">
        <f>IF( $E11 = "Eligible", E367 * 'Facility Detail'!$B$601, 0 )</f>
        <v>0</v>
      </c>
      <c r="F370" s="14">
        <f>IF( $E11 = "Eligible", F367 * 'Facility Detail'!$B$601, 0 )</f>
        <v>0</v>
      </c>
      <c r="G370" s="14">
        <f>IF( $E11 = "Eligible", G367 * 'Facility Detail'!$B$601, 0 )</f>
        <v>0</v>
      </c>
      <c r="H370" s="14">
        <f>IF( $E11 = "Eligible", H367 * 'Facility Detail'!$B$601, 0 )</f>
        <v>0</v>
      </c>
      <c r="I370" s="14">
        <f>IF( $E11 = "Eligible", I367 * 'Facility Detail'!$B$601, 0 )</f>
        <v>0</v>
      </c>
      <c r="J370" s="14">
        <f>IF( $E11 = "Eligible", J367 * 'Facility Detail'!$B$601, 0 )</f>
        <v>0</v>
      </c>
      <c r="K370" s="14">
        <f>IF( $E11 = "Eligible", K367 * 'Facility Detail'!$B$601, 0 )</f>
        <v>0</v>
      </c>
      <c r="L370" s="14">
        <f>IF( $E11 = "Eligible", L367 * 'Facility Detail'!$B$601, 0 )</f>
        <v>0</v>
      </c>
    </row>
    <row r="371" spans="1:12" x14ac:dyDescent="0.25">
      <c r="B371" s="90" t="s">
        <v>6</v>
      </c>
      <c r="C371" s="80"/>
      <c r="D371" s="61">
        <f t="shared" ref="D371:I371" si="181">IF( $F11 = "Eligible", D367, 0 )</f>
        <v>0</v>
      </c>
      <c r="E371" s="62">
        <f t="shared" si="181"/>
        <v>0</v>
      </c>
      <c r="F371" s="63">
        <f t="shared" si="181"/>
        <v>0</v>
      </c>
      <c r="G371" s="63">
        <f t="shared" si="181"/>
        <v>0</v>
      </c>
      <c r="H371" s="63">
        <f t="shared" si="181"/>
        <v>0</v>
      </c>
      <c r="I371" s="63">
        <f t="shared" si="181"/>
        <v>0</v>
      </c>
      <c r="J371" s="63">
        <f t="shared" ref="J371:K371" si="182">IF( $F11 = "Eligible", J367, 0 )</f>
        <v>0</v>
      </c>
      <c r="K371" s="63">
        <f t="shared" si="182"/>
        <v>0</v>
      </c>
      <c r="L371" s="63">
        <f t="shared" ref="L371" si="183">IF( $F11 = "Eligible", L367, 0 )</f>
        <v>0</v>
      </c>
    </row>
    <row r="372" spans="1:12" x14ac:dyDescent="0.25">
      <c r="B372" s="89" t="s">
        <v>38</v>
      </c>
      <c r="C372" s="88"/>
      <c r="D372" s="46">
        <f t="shared" ref="D372:I372" si="184">SUM(D370:D371)</f>
        <v>0</v>
      </c>
      <c r="E372" s="47">
        <f t="shared" si="184"/>
        <v>0</v>
      </c>
      <c r="F372" s="47">
        <f t="shared" si="184"/>
        <v>0</v>
      </c>
      <c r="G372" s="47">
        <f t="shared" si="184"/>
        <v>0</v>
      </c>
      <c r="H372" s="47">
        <f t="shared" si="184"/>
        <v>0</v>
      </c>
      <c r="I372" s="47">
        <f t="shared" si="184"/>
        <v>0</v>
      </c>
      <c r="J372" s="47">
        <f t="shared" ref="J372:K372" si="185">SUM(J370:J371)</f>
        <v>0</v>
      </c>
      <c r="K372" s="47">
        <f t="shared" si="185"/>
        <v>0</v>
      </c>
      <c r="L372" s="47">
        <f t="shared" ref="L372" si="186">SUM(L370:L371)</f>
        <v>0</v>
      </c>
    </row>
    <row r="373" spans="1:12" x14ac:dyDescent="0.25">
      <c r="B373" s="36"/>
      <c r="C373" s="36"/>
      <c r="D373" s="45"/>
      <c r="E373" s="37"/>
      <c r="F373" s="37"/>
      <c r="G373" s="37"/>
      <c r="H373" s="37"/>
      <c r="I373" s="37"/>
      <c r="J373" s="37"/>
      <c r="K373" s="37"/>
      <c r="L373" s="37"/>
    </row>
    <row r="374" spans="1:12" ht="18.75" x14ac:dyDescent="0.3">
      <c r="A374" s="48" t="s">
        <v>36</v>
      </c>
      <c r="C374" s="36"/>
      <c r="D374" s="2">
        <f>D363</f>
        <v>2013</v>
      </c>
      <c r="E374" s="2">
        <f t="shared" ref="E374:J374" si="187">D374+1</f>
        <v>2014</v>
      </c>
      <c r="F374" s="2">
        <f t="shared" si="187"/>
        <v>2015</v>
      </c>
      <c r="G374" s="2">
        <f t="shared" si="187"/>
        <v>2016</v>
      </c>
      <c r="H374" s="2">
        <f t="shared" si="187"/>
        <v>2017</v>
      </c>
      <c r="I374" s="2">
        <f t="shared" si="187"/>
        <v>2018</v>
      </c>
      <c r="J374" s="2">
        <f t="shared" si="187"/>
        <v>2019</v>
      </c>
      <c r="K374" s="2">
        <f>J374+1</f>
        <v>2020</v>
      </c>
      <c r="L374" s="2">
        <f>K374+1</f>
        <v>2021</v>
      </c>
    </row>
    <row r="375" spans="1:12" x14ac:dyDescent="0.25">
      <c r="B375" s="90" t="s">
        <v>40</v>
      </c>
      <c r="C375" s="80"/>
      <c r="D375" s="98"/>
      <c r="E375" s="99"/>
      <c r="F375" s="100"/>
      <c r="G375" s="100"/>
      <c r="H375" s="100"/>
      <c r="I375" s="100"/>
      <c r="J375" s="100"/>
      <c r="K375" s="100"/>
      <c r="L375" s="100"/>
    </row>
    <row r="376" spans="1:12" x14ac:dyDescent="0.25">
      <c r="B376" s="91" t="s">
        <v>30</v>
      </c>
      <c r="C376" s="92"/>
      <c r="D376" s="101"/>
      <c r="E376" s="102"/>
      <c r="F376" s="103"/>
      <c r="G376" s="103"/>
      <c r="H376" s="103"/>
      <c r="I376" s="103"/>
      <c r="J376" s="103"/>
      <c r="K376" s="103"/>
      <c r="L376" s="103"/>
    </row>
    <row r="377" spans="1:12" x14ac:dyDescent="0.25">
      <c r="B377" s="104" t="s">
        <v>42</v>
      </c>
      <c r="C377" s="96"/>
      <c r="D377" s="67"/>
      <c r="E377" s="68"/>
      <c r="F377" s="69"/>
      <c r="G377" s="69"/>
      <c r="H377" s="69"/>
      <c r="I377" s="69"/>
      <c r="J377" s="69"/>
      <c r="K377" s="69"/>
      <c r="L377" s="69"/>
    </row>
    <row r="378" spans="1:12" x14ac:dyDescent="0.25">
      <c r="B378" s="39" t="s">
        <v>43</v>
      </c>
      <c r="D378" s="7">
        <f t="shared" ref="D378:I378" si="188">SUM(D375:D377)</f>
        <v>0</v>
      </c>
      <c r="E378" s="7">
        <f t="shared" si="188"/>
        <v>0</v>
      </c>
      <c r="F378" s="7">
        <f t="shared" si="188"/>
        <v>0</v>
      </c>
      <c r="G378" s="7">
        <f t="shared" si="188"/>
        <v>0</v>
      </c>
      <c r="H378" s="7">
        <f t="shared" si="188"/>
        <v>0</v>
      </c>
      <c r="I378" s="7">
        <f t="shared" si="188"/>
        <v>0</v>
      </c>
      <c r="J378" s="7">
        <f t="shared" ref="J378:K378" si="189">SUM(J375:J377)</f>
        <v>0</v>
      </c>
      <c r="K378" s="7">
        <f t="shared" si="189"/>
        <v>0</v>
      </c>
      <c r="L378" s="7">
        <f t="shared" ref="L378" si="190">SUM(L375:L377)</f>
        <v>0</v>
      </c>
    </row>
    <row r="379" spans="1:12" x14ac:dyDescent="0.25">
      <c r="B379" s="6"/>
      <c r="D379" s="7"/>
      <c r="E379" s="7"/>
      <c r="F379" s="7"/>
      <c r="G379" s="7"/>
      <c r="H379" s="7"/>
      <c r="I379" s="7"/>
      <c r="J379" s="7"/>
      <c r="K379" s="7"/>
      <c r="L379" s="7"/>
    </row>
    <row r="380" spans="1:12" ht="18.75" x14ac:dyDescent="0.3">
      <c r="A380" s="9" t="s">
        <v>44</v>
      </c>
      <c r="D380" s="2">
        <f>D363</f>
        <v>2013</v>
      </c>
      <c r="E380" s="2">
        <f t="shared" ref="E380:J380" si="191">D380+1</f>
        <v>2014</v>
      </c>
      <c r="F380" s="2">
        <f t="shared" si="191"/>
        <v>2015</v>
      </c>
      <c r="G380" s="2">
        <f t="shared" si="191"/>
        <v>2016</v>
      </c>
      <c r="H380" s="2">
        <f t="shared" si="191"/>
        <v>2017</v>
      </c>
      <c r="I380" s="2">
        <f t="shared" si="191"/>
        <v>2018</v>
      </c>
      <c r="J380" s="2">
        <f t="shared" si="191"/>
        <v>2019</v>
      </c>
      <c r="K380" s="2">
        <f>J380+1</f>
        <v>2020</v>
      </c>
      <c r="L380" s="2">
        <f>K380+1</f>
        <v>2021</v>
      </c>
    </row>
    <row r="381" spans="1:12" x14ac:dyDescent="0.25">
      <c r="B381" s="90" t="str">
        <f xml:space="preserve"> 'Facility Detail'!$B$756 &amp; " Surplus Applied to " &amp; ( 'Facility Detail'!$B$756 + 1 )</f>
        <v>2013 Surplus Applied to 2014</v>
      </c>
      <c r="C381" s="80"/>
      <c r="D381" s="3"/>
      <c r="E381" s="70">
        <f>D381</f>
        <v>0</v>
      </c>
      <c r="F381" s="143"/>
      <c r="G381" s="72"/>
      <c r="H381" s="72"/>
      <c r="I381" s="72"/>
      <c r="J381" s="72"/>
      <c r="K381" s="72"/>
      <c r="L381" s="72"/>
    </row>
    <row r="382" spans="1:12" x14ac:dyDescent="0.25">
      <c r="B382" s="90" t="str">
        <f xml:space="preserve"> ( 'Facility Detail'!$B$756 + 1 ) &amp; " Surplus Applied to " &amp; ( 'Facility Detail'!$B$756 )</f>
        <v>2014 Surplus Applied to 2013</v>
      </c>
      <c r="C382" s="80"/>
      <c r="D382" s="144">
        <f>E382</f>
        <v>0</v>
      </c>
      <c r="E382" s="10"/>
      <c r="F382" s="84"/>
      <c r="G382" s="83"/>
      <c r="H382" s="83"/>
      <c r="I382" s="83"/>
      <c r="J382" s="83"/>
      <c r="K382" s="83"/>
      <c r="L382" s="83"/>
    </row>
    <row r="383" spans="1:12" x14ac:dyDescent="0.25">
      <c r="B383" s="90" t="str">
        <f xml:space="preserve"> ( 'Facility Detail'!$B$756 + 1 ) &amp; " Surplus Applied to " &amp; ( 'Facility Detail'!$B$756 + 2 )</f>
        <v>2014 Surplus Applied to 2015</v>
      </c>
      <c r="C383" s="80"/>
      <c r="D383" s="73"/>
      <c r="E383" s="10"/>
      <c r="F383" s="79">
        <f>E383</f>
        <v>0</v>
      </c>
      <c r="G383" s="83"/>
      <c r="H383" s="83"/>
      <c r="I383" s="83"/>
      <c r="J383" s="83"/>
      <c r="K383" s="83"/>
      <c r="L383" s="83"/>
    </row>
    <row r="384" spans="1:12" x14ac:dyDescent="0.25">
      <c r="B384" s="90" t="str">
        <f xml:space="preserve"> ( 'Facility Detail'!$B$756 + 2 ) &amp; " Surplus Applied to " &amp; ( 'Facility Detail'!$B$756 + 1 )</f>
        <v>2015 Surplus Applied to 2014</v>
      </c>
      <c r="C384" s="80"/>
      <c r="D384" s="73"/>
      <c r="E384" s="79">
        <f>F384</f>
        <v>0</v>
      </c>
      <c r="F384" s="10"/>
      <c r="G384" s="83"/>
      <c r="H384" s="83"/>
      <c r="I384" s="83"/>
      <c r="J384" s="83"/>
      <c r="K384" s="83"/>
      <c r="L384" s="83"/>
    </row>
    <row r="385" spans="1:12" x14ac:dyDescent="0.25">
      <c r="B385" s="90" t="str">
        <f xml:space="preserve"> ( 'Facility Detail'!$B$756 + 2 ) &amp; " Surplus Applied to " &amp; ( 'Facility Detail'!$B$756 + 3 )</f>
        <v>2015 Surplus Applied to 2016</v>
      </c>
      <c r="C385" s="36"/>
      <c r="D385" s="73"/>
      <c r="E385" s="84"/>
      <c r="F385" s="10"/>
      <c r="G385" s="145">
        <f>F385</f>
        <v>0</v>
      </c>
      <c r="H385" s="145">
        <f>G385</f>
        <v>0</v>
      </c>
      <c r="I385" s="145">
        <f>H385</f>
        <v>0</v>
      </c>
      <c r="J385" s="145">
        <f>I385</f>
        <v>0</v>
      </c>
      <c r="K385" s="145"/>
      <c r="L385" s="145"/>
    </row>
    <row r="386" spans="1:12" x14ac:dyDescent="0.25">
      <c r="B386" s="90" t="str">
        <f xml:space="preserve"> ( 'Facility Detail'!$B$756 +3 ) &amp; " Surplus Applied to " &amp; ( 'Facility Detail'!$B$756 + 2 )</f>
        <v>2016 Surplus Applied to 2015</v>
      </c>
      <c r="C386" s="36"/>
      <c r="D386" s="74"/>
      <c r="E386" s="85"/>
      <c r="F386" s="71">
        <f>G386</f>
        <v>0</v>
      </c>
      <c r="G386" s="146"/>
      <c r="H386" s="146"/>
      <c r="I386" s="146"/>
      <c r="J386" s="146"/>
      <c r="K386" s="146"/>
      <c r="L386" s="146"/>
    </row>
    <row r="387" spans="1:12" x14ac:dyDescent="0.25">
      <c r="B387" s="90" t="str">
        <f xml:space="preserve"> ( 'Facility Detail'!$B$756 +3 ) &amp; " Surplus Applied to " &amp; ( 'Facility Detail'!$B$756 + 4 )</f>
        <v>2016 Surplus Applied to 2017</v>
      </c>
      <c r="C387" s="36"/>
      <c r="D387" s="149"/>
      <c r="E387" s="149"/>
      <c r="F387" s="23"/>
      <c r="G387" s="150"/>
      <c r="H387" s="150"/>
      <c r="I387" s="150"/>
      <c r="J387" s="150"/>
      <c r="K387" s="150"/>
      <c r="L387" s="150"/>
    </row>
    <row r="388" spans="1:12" x14ac:dyDescent="0.25">
      <c r="B388" s="39" t="s">
        <v>26</v>
      </c>
      <c r="D388" s="7">
        <f xml:space="preserve"> D382 - D381</f>
        <v>0</v>
      </c>
      <c r="E388" s="7">
        <f xml:space="preserve"> E381 + E384 - E383 - E382</f>
        <v>0</v>
      </c>
      <c r="F388" s="7">
        <f>F383+F386-F384-F385</f>
        <v>0</v>
      </c>
      <c r="G388" s="7">
        <f t="shared" ref="G388:L388" si="192">G385-G386</f>
        <v>0</v>
      </c>
      <c r="H388" s="7">
        <f t="shared" si="192"/>
        <v>0</v>
      </c>
      <c r="I388" s="7">
        <f t="shared" si="192"/>
        <v>0</v>
      </c>
      <c r="J388" s="7">
        <f t="shared" si="192"/>
        <v>0</v>
      </c>
      <c r="K388" s="7">
        <f t="shared" si="192"/>
        <v>0</v>
      </c>
      <c r="L388" s="7">
        <f t="shared" si="192"/>
        <v>0</v>
      </c>
    </row>
    <row r="389" spans="1:12" x14ac:dyDescent="0.25">
      <c r="B389" s="6"/>
      <c r="D389" s="7"/>
      <c r="E389" s="7"/>
      <c r="F389" s="7"/>
      <c r="G389" s="7"/>
      <c r="H389" s="7"/>
      <c r="I389" s="7"/>
      <c r="J389" s="7"/>
      <c r="K389" s="7"/>
      <c r="L389" s="7"/>
    </row>
    <row r="390" spans="1:12" x14ac:dyDescent="0.25">
      <c r="B390" s="97" t="s">
        <v>22</v>
      </c>
      <c r="C390" s="80"/>
      <c r="D390" s="111"/>
      <c r="E390" s="112"/>
      <c r="F390" s="113"/>
      <c r="G390" s="113"/>
      <c r="H390" s="113"/>
      <c r="I390" s="113"/>
      <c r="J390" s="113"/>
      <c r="K390" s="113"/>
      <c r="L390" s="113"/>
    </row>
    <row r="391" spans="1:12" x14ac:dyDescent="0.25">
      <c r="B391" s="6"/>
      <c r="D391" s="7"/>
      <c r="E391" s="7"/>
      <c r="F391" s="7"/>
      <c r="G391" s="7"/>
      <c r="H391" s="7"/>
      <c r="I391" s="7"/>
      <c r="J391" s="7"/>
      <c r="K391" s="7"/>
      <c r="L391" s="7"/>
    </row>
    <row r="392" spans="1:12" ht="15.75" x14ac:dyDescent="0.25">
      <c r="A392" s="93" t="s">
        <v>34</v>
      </c>
      <c r="C392" s="80"/>
      <c r="D392" s="52">
        <f t="shared" ref="D392:I392" si="193" xml:space="preserve"> D367 + D372 - D378 + D388 + D390</f>
        <v>22206</v>
      </c>
      <c r="E392" s="53">
        <f t="shared" si="193"/>
        <v>0</v>
      </c>
      <c r="F392" s="54">
        <f t="shared" si="193"/>
        <v>0</v>
      </c>
      <c r="G392" s="54">
        <f t="shared" si="193"/>
        <v>0</v>
      </c>
      <c r="H392" s="54">
        <f t="shared" si="193"/>
        <v>0</v>
      </c>
      <c r="I392" s="54">
        <f t="shared" si="193"/>
        <v>0</v>
      </c>
      <c r="J392" s="54">
        <f t="shared" ref="J392:K392" si="194" xml:space="preserve"> J367 + J372 - J378 + J388 + J390</f>
        <v>51244</v>
      </c>
      <c r="K392" s="54">
        <f t="shared" si="194"/>
        <v>51244</v>
      </c>
      <c r="L392" s="54">
        <f t="shared" ref="L392" si="195" xml:space="preserve"> L367 + L372 - L378 + L388 + L390</f>
        <v>51244</v>
      </c>
    </row>
    <row r="393" spans="1:12" x14ac:dyDescent="0.25">
      <c r="B393" s="6"/>
      <c r="D393" s="7"/>
      <c r="E393" s="7"/>
      <c r="F393" s="7"/>
      <c r="G393" s="34"/>
      <c r="H393" s="34"/>
      <c r="I393" s="34"/>
      <c r="J393" s="34"/>
      <c r="K393" s="34"/>
      <c r="L393" s="34"/>
    </row>
    <row r="394" spans="1:12" ht="63.75" customHeight="1" thickBot="1" x14ac:dyDescent="0.3">
      <c r="A394" s="196" t="s">
        <v>127</v>
      </c>
      <c r="B394" s="196"/>
      <c r="C394" s="196"/>
      <c r="D394" s="196"/>
      <c r="E394" s="196"/>
      <c r="F394" s="196"/>
    </row>
    <row r="395" spans="1:12" x14ac:dyDescent="0.25">
      <c r="A395" s="8"/>
      <c r="B395" s="8"/>
      <c r="C395" s="8"/>
      <c r="D395" s="8"/>
      <c r="E395" s="8"/>
      <c r="F395" s="8"/>
      <c r="G395" s="8"/>
      <c r="H395" s="8"/>
      <c r="I395" s="8"/>
      <c r="J395" s="8"/>
      <c r="K395" s="8"/>
      <c r="L395" s="8"/>
    </row>
    <row r="396" spans="1:12" x14ac:dyDescent="0.25">
      <c r="B396" s="36"/>
      <c r="C396" s="36"/>
      <c r="D396" s="36"/>
      <c r="E396" s="36"/>
      <c r="F396" s="36"/>
      <c r="G396" s="36"/>
      <c r="H396" s="36"/>
      <c r="I396" s="36"/>
      <c r="J396" s="36"/>
      <c r="K396" s="36"/>
      <c r="L396" s="36"/>
    </row>
    <row r="397" spans="1:12" ht="21" x14ac:dyDescent="0.35">
      <c r="A397" s="16" t="s">
        <v>4</v>
      </c>
      <c r="B397" s="16"/>
      <c r="C397" s="49" t="str">
        <f>B12</f>
        <v>Palouse Wind</v>
      </c>
      <c r="D397" s="50"/>
      <c r="E397" s="22"/>
      <c r="F397" s="22"/>
    </row>
    <row r="399" spans="1:12" ht="18.75" x14ac:dyDescent="0.3">
      <c r="A399" s="9" t="s">
        <v>28</v>
      </c>
      <c r="B399" s="9"/>
      <c r="D399" s="2">
        <v>2013</v>
      </c>
      <c r="E399" s="2">
        <f t="shared" ref="E399:J399" si="196">D399+1</f>
        <v>2014</v>
      </c>
      <c r="F399" s="2">
        <f t="shared" si="196"/>
        <v>2015</v>
      </c>
      <c r="G399" s="2">
        <f t="shared" si="196"/>
        <v>2016</v>
      </c>
      <c r="H399" s="2">
        <f t="shared" si="196"/>
        <v>2017</v>
      </c>
      <c r="I399" s="2">
        <f t="shared" si="196"/>
        <v>2018</v>
      </c>
      <c r="J399" s="2">
        <f t="shared" si="196"/>
        <v>2019</v>
      </c>
      <c r="K399" s="2">
        <f>J399+1</f>
        <v>2020</v>
      </c>
      <c r="L399" s="2">
        <f>K399+1</f>
        <v>2021</v>
      </c>
    </row>
    <row r="400" spans="1:12" x14ac:dyDescent="0.25">
      <c r="B400" s="90" t="str">
        <f>"Total MWh Produced / Purchased from " &amp; C397</f>
        <v>Total MWh Produced / Purchased from Palouse Wind</v>
      </c>
      <c r="C400" s="80"/>
      <c r="D400" s="3">
        <v>297027</v>
      </c>
      <c r="E400" s="4">
        <v>335291</v>
      </c>
      <c r="F400" s="5">
        <v>293563</v>
      </c>
      <c r="G400" s="5">
        <v>349771</v>
      </c>
      <c r="H400" s="5">
        <v>300380</v>
      </c>
      <c r="I400" s="5">
        <v>328275</v>
      </c>
      <c r="J400" s="5">
        <v>302136</v>
      </c>
      <c r="K400" s="5">
        <v>349406</v>
      </c>
      <c r="L400" s="5">
        <v>349406</v>
      </c>
    </row>
    <row r="401" spans="1:14" x14ac:dyDescent="0.25">
      <c r="B401" s="90" t="s">
        <v>33</v>
      </c>
      <c r="C401" s="80"/>
      <c r="D401" s="64">
        <v>1</v>
      </c>
      <c r="E401" s="65">
        <v>1</v>
      </c>
      <c r="F401" s="66">
        <v>1</v>
      </c>
      <c r="G401" s="66">
        <v>1</v>
      </c>
      <c r="H401" s="66">
        <v>1</v>
      </c>
      <c r="I401" s="66">
        <v>1</v>
      </c>
      <c r="J401" s="66">
        <v>1</v>
      </c>
      <c r="K401" s="66">
        <v>1</v>
      </c>
      <c r="L401" s="66">
        <v>1</v>
      </c>
    </row>
    <row r="402" spans="1:14" x14ac:dyDescent="0.25">
      <c r="B402" s="90" t="s">
        <v>27</v>
      </c>
      <c r="C402" s="80"/>
      <c r="D402" s="57">
        <v>1</v>
      </c>
      <c r="E402" s="58">
        <v>1</v>
      </c>
      <c r="F402" s="59">
        <v>1</v>
      </c>
      <c r="G402" s="59">
        <v>1</v>
      </c>
      <c r="H402" s="59">
        <v>1</v>
      </c>
      <c r="I402" s="59">
        <v>1</v>
      </c>
      <c r="J402" s="59">
        <v>1</v>
      </c>
      <c r="K402" s="59">
        <v>1</v>
      </c>
      <c r="L402" s="59">
        <v>1</v>
      </c>
    </row>
    <row r="403" spans="1:14" x14ac:dyDescent="0.25">
      <c r="B403" s="87" t="s">
        <v>29</v>
      </c>
      <c r="C403" s="88"/>
      <c r="D403" s="44">
        <f t="shared" ref="D403:I403" si="197" xml:space="preserve"> D400 * D401 * D402</f>
        <v>297027</v>
      </c>
      <c r="E403" s="44">
        <f t="shared" si="197"/>
        <v>335291</v>
      </c>
      <c r="F403" s="44">
        <f t="shared" si="197"/>
        <v>293563</v>
      </c>
      <c r="G403" s="44">
        <f t="shared" si="197"/>
        <v>349771</v>
      </c>
      <c r="H403" s="44">
        <f t="shared" si="197"/>
        <v>300380</v>
      </c>
      <c r="I403" s="44">
        <f t="shared" si="197"/>
        <v>328275</v>
      </c>
      <c r="J403" s="44">
        <f t="shared" ref="J403:K403" si="198" xml:space="preserve"> J400 * J401 * J402</f>
        <v>302136</v>
      </c>
      <c r="K403" s="44">
        <f t="shared" si="198"/>
        <v>349406</v>
      </c>
      <c r="L403" s="44">
        <f t="shared" ref="L403" si="199" xml:space="preserve"> L400 * L401 * L402</f>
        <v>349406</v>
      </c>
    </row>
    <row r="404" spans="1:14" x14ac:dyDescent="0.25">
      <c r="B404" s="22"/>
      <c r="C404" s="36"/>
      <c r="D404" s="43"/>
      <c r="E404" s="43"/>
      <c r="F404" s="43"/>
      <c r="G404" s="43"/>
      <c r="H404" s="43"/>
      <c r="I404" s="43"/>
      <c r="J404" s="43"/>
      <c r="K404" s="43"/>
      <c r="L404" s="43"/>
    </row>
    <row r="405" spans="1:14" ht="18.75" x14ac:dyDescent="0.3">
      <c r="A405" s="51" t="s">
        <v>31</v>
      </c>
      <c r="C405" s="36"/>
      <c r="D405" s="2">
        <f>D399</f>
        <v>2013</v>
      </c>
      <c r="E405" s="2">
        <f t="shared" ref="E405:J405" si="200">D405+1</f>
        <v>2014</v>
      </c>
      <c r="F405" s="2">
        <f t="shared" si="200"/>
        <v>2015</v>
      </c>
      <c r="G405" s="2">
        <f t="shared" si="200"/>
        <v>2016</v>
      </c>
      <c r="H405" s="2">
        <f t="shared" si="200"/>
        <v>2017</v>
      </c>
      <c r="I405" s="2">
        <f t="shared" si="200"/>
        <v>2018</v>
      </c>
      <c r="J405" s="2">
        <f t="shared" si="200"/>
        <v>2019</v>
      </c>
      <c r="K405" s="2">
        <f>J405+1</f>
        <v>2020</v>
      </c>
      <c r="L405" s="2">
        <f>K405+1</f>
        <v>2021</v>
      </c>
    </row>
    <row r="406" spans="1:14" x14ac:dyDescent="0.25">
      <c r="B406" s="90" t="s">
        <v>20</v>
      </c>
      <c r="C406" s="80"/>
      <c r="D406" s="156">
        <f>ROUND(IF( $E12 = "Eligible", D403 * 'Facility Detail'!$B$753, 0 ),0)</f>
        <v>59405</v>
      </c>
      <c r="E406" s="156">
        <f>ROUND(IF( $E12 = "Eligible", E403 * 'Facility Detail'!$B$753, 0 ),0)</f>
        <v>67058</v>
      </c>
      <c r="F406" s="156">
        <f>ROUND(IF( $E12 = "Eligible", F403 * 'Facility Detail'!$B$753, 0 ),0)</f>
        <v>58713</v>
      </c>
      <c r="G406" s="156">
        <f>ROUND(IF( $E12 = "Eligible", G403 * 'Facility Detail'!$B$753, 0 ),0)</f>
        <v>69954</v>
      </c>
      <c r="H406" s="156">
        <f>ROUND(IF( $E12 = "Eligible", H403 * 'Facility Detail'!$B$753, 0 ),0)</f>
        <v>60076</v>
      </c>
      <c r="I406" s="156">
        <f>ROUND(IF( $E12 = "Eligible", I403 * 'Facility Detail'!$B$753, 0 ),0)</f>
        <v>65655</v>
      </c>
      <c r="J406" s="156">
        <f>ROUND(IF( $E12 = "Eligible", J403 * 'Facility Detail'!$B$753, 0 ),0)</f>
        <v>60427</v>
      </c>
      <c r="K406" s="156">
        <f>ROUND(IF( $E12 = "Eligible", K403 * 'Facility Detail'!$B$753, 0 ),0)</f>
        <v>69881</v>
      </c>
      <c r="L406" s="156">
        <f>ROUND(IF( $E12 = "Eligible", L403 * 'Facility Detail'!$B$753, 0 ),0)</f>
        <v>69881</v>
      </c>
    </row>
    <row r="407" spans="1:14" x14ac:dyDescent="0.25">
      <c r="B407" s="90" t="s">
        <v>6</v>
      </c>
      <c r="C407" s="80"/>
      <c r="D407" s="61">
        <f t="shared" ref="D407:I407" si="201">IF( $F12 = "Eligible", D403, 0 )</f>
        <v>0</v>
      </c>
      <c r="E407" s="62">
        <f t="shared" si="201"/>
        <v>0</v>
      </c>
      <c r="F407" s="63">
        <f t="shared" si="201"/>
        <v>0</v>
      </c>
      <c r="G407" s="63">
        <f t="shared" si="201"/>
        <v>0</v>
      </c>
      <c r="H407" s="63">
        <f t="shared" si="201"/>
        <v>0</v>
      </c>
      <c r="I407" s="63">
        <f t="shared" si="201"/>
        <v>0</v>
      </c>
      <c r="J407" s="63">
        <f t="shared" ref="J407:K407" si="202">IF( $F12 = "Eligible", J403, 0 )</f>
        <v>0</v>
      </c>
      <c r="K407" s="63">
        <f t="shared" si="202"/>
        <v>0</v>
      </c>
      <c r="L407" s="63">
        <f t="shared" ref="L407" si="203">IF( $F12 = "Eligible", L403, 0 )</f>
        <v>0</v>
      </c>
    </row>
    <row r="408" spans="1:14" x14ac:dyDescent="0.25">
      <c r="B408" s="89" t="s">
        <v>38</v>
      </c>
      <c r="C408" s="88"/>
      <c r="D408" s="46">
        <f t="shared" ref="D408:I408" si="204">SUM(D406:D407)</f>
        <v>59405</v>
      </c>
      <c r="E408" s="47">
        <f t="shared" si="204"/>
        <v>67058</v>
      </c>
      <c r="F408" s="47">
        <f t="shared" si="204"/>
        <v>58713</v>
      </c>
      <c r="G408" s="47">
        <f t="shared" si="204"/>
        <v>69954</v>
      </c>
      <c r="H408" s="47">
        <f t="shared" si="204"/>
        <v>60076</v>
      </c>
      <c r="I408" s="47">
        <f t="shared" si="204"/>
        <v>65655</v>
      </c>
      <c r="J408" s="47">
        <f t="shared" ref="J408:K408" si="205">SUM(J406:J407)</f>
        <v>60427</v>
      </c>
      <c r="K408" s="47">
        <f t="shared" si="205"/>
        <v>69881</v>
      </c>
      <c r="L408" s="47">
        <f t="shared" ref="L408" si="206">SUM(L406:L407)</f>
        <v>69881</v>
      </c>
    </row>
    <row r="409" spans="1:14" x14ac:dyDescent="0.25">
      <c r="B409" s="36"/>
      <c r="C409" s="36"/>
      <c r="D409" s="45"/>
      <c r="E409" s="37"/>
      <c r="F409" s="37"/>
      <c r="G409" s="37"/>
      <c r="H409" s="37"/>
      <c r="I409" s="37"/>
      <c r="J409" s="37"/>
      <c r="K409" s="37"/>
      <c r="L409" s="37"/>
    </row>
    <row r="410" spans="1:14" ht="18.75" x14ac:dyDescent="0.3">
      <c r="A410" s="48" t="s">
        <v>36</v>
      </c>
      <c r="C410" s="36"/>
      <c r="D410" s="2">
        <f>D399</f>
        <v>2013</v>
      </c>
      <c r="E410" s="2">
        <f t="shared" ref="E410:J410" si="207">D410+1</f>
        <v>2014</v>
      </c>
      <c r="F410" s="2">
        <f t="shared" si="207"/>
        <v>2015</v>
      </c>
      <c r="G410" s="2">
        <f t="shared" si="207"/>
        <v>2016</v>
      </c>
      <c r="H410" s="2">
        <f t="shared" si="207"/>
        <v>2017</v>
      </c>
      <c r="I410" s="2">
        <f t="shared" si="207"/>
        <v>2018</v>
      </c>
      <c r="J410" s="2">
        <f t="shared" si="207"/>
        <v>2019</v>
      </c>
      <c r="K410" s="2">
        <f>J410+1</f>
        <v>2020</v>
      </c>
      <c r="L410" s="2">
        <f>K410+1</f>
        <v>2021</v>
      </c>
    </row>
    <row r="411" spans="1:14" x14ac:dyDescent="0.25">
      <c r="B411" s="90" t="s">
        <v>123</v>
      </c>
      <c r="C411" s="80"/>
      <c r="D411" s="98">
        <v>-61450</v>
      </c>
      <c r="E411" s="99">
        <v>-297027</v>
      </c>
      <c r="F411" s="100">
        <v>-293563</v>
      </c>
      <c r="G411" s="100">
        <v>-254068</v>
      </c>
      <c r="H411" s="100">
        <v>-21633</v>
      </c>
      <c r="I411" s="100">
        <v>-19205</v>
      </c>
      <c r="J411" s="100">
        <v>-5649</v>
      </c>
      <c r="K411" s="100">
        <v>-1666</v>
      </c>
      <c r="L411" s="100">
        <v>0</v>
      </c>
    </row>
    <row r="412" spans="1:14" x14ac:dyDescent="0.25">
      <c r="B412" s="91" t="s">
        <v>30</v>
      </c>
      <c r="C412" s="92"/>
      <c r="D412" s="101">
        <v>0</v>
      </c>
      <c r="E412" s="102">
        <v>0</v>
      </c>
      <c r="F412" s="103">
        <v>0</v>
      </c>
      <c r="G412" s="103">
        <v>0</v>
      </c>
      <c r="H412" s="103">
        <v>0</v>
      </c>
      <c r="I412" s="103">
        <v>0</v>
      </c>
      <c r="J412" s="103">
        <v>0</v>
      </c>
      <c r="K412" s="103">
        <v>0</v>
      </c>
      <c r="L412" s="103">
        <v>0</v>
      </c>
    </row>
    <row r="413" spans="1:14" x14ac:dyDescent="0.25">
      <c r="B413" s="104" t="s">
        <v>42</v>
      </c>
      <c r="C413" s="96"/>
      <c r="D413" s="67">
        <v>-12290</v>
      </c>
      <c r="E413" s="68">
        <v>-59405</v>
      </c>
      <c r="F413" s="69">
        <f>0.2*F411</f>
        <v>-58712.600000000006</v>
      </c>
      <c r="G413" s="69">
        <f>ROUND(0.2*G411,0)</f>
        <v>-50814</v>
      </c>
      <c r="H413" s="69">
        <f t="shared" ref="H413:I413" si="208">ROUND(0.2*H411,0)</f>
        <v>-4327</v>
      </c>
      <c r="I413" s="69">
        <f t="shared" si="208"/>
        <v>-3841</v>
      </c>
      <c r="J413" s="69">
        <f t="shared" ref="J413:K413" si="209">ROUND(0.2*J411,0)</f>
        <v>-1130</v>
      </c>
      <c r="K413" s="69">
        <f t="shared" si="209"/>
        <v>-333</v>
      </c>
      <c r="L413" s="69">
        <f t="shared" ref="L413" si="210">ROUND(0.2*L411,0)</f>
        <v>0</v>
      </c>
      <c r="M413" s="15"/>
    </row>
    <row r="414" spans="1:14" x14ac:dyDescent="0.25">
      <c r="B414" s="39" t="s">
        <v>43</v>
      </c>
      <c r="D414" s="7">
        <f t="shared" ref="D414:I414" si="211">SUM(D411:D413)</f>
        <v>-73740</v>
      </c>
      <c r="E414" s="7">
        <f t="shared" si="211"/>
        <v>-356432</v>
      </c>
      <c r="F414" s="7">
        <f t="shared" si="211"/>
        <v>-352275.6</v>
      </c>
      <c r="G414" s="7">
        <f t="shared" si="211"/>
        <v>-304882</v>
      </c>
      <c r="H414" s="7">
        <f t="shared" si="211"/>
        <v>-25960</v>
      </c>
      <c r="I414" s="7">
        <f t="shared" si="211"/>
        <v>-23046</v>
      </c>
      <c r="J414" s="7">
        <f t="shared" ref="J414:K414" si="212">SUM(J411:J413)</f>
        <v>-6779</v>
      </c>
      <c r="K414" s="7">
        <f t="shared" si="212"/>
        <v>-1999</v>
      </c>
      <c r="L414" s="7">
        <f t="shared" ref="L414" si="213">SUM(L411:L413)</f>
        <v>0</v>
      </c>
    </row>
    <row r="415" spans="1:14" x14ac:dyDescent="0.25">
      <c r="B415" s="6"/>
      <c r="D415" s="7"/>
      <c r="E415" s="7"/>
      <c r="F415" s="7"/>
      <c r="G415" s="7"/>
      <c r="H415" s="7"/>
      <c r="I415" s="7"/>
      <c r="J415" s="7"/>
      <c r="K415" s="7"/>
      <c r="L415" s="7"/>
    </row>
    <row r="416" spans="1:14" ht="18.75" x14ac:dyDescent="0.3">
      <c r="A416" s="9" t="s">
        <v>44</v>
      </c>
      <c r="D416" s="2">
        <f>D399</f>
        <v>2013</v>
      </c>
      <c r="E416" s="2">
        <f t="shared" ref="E416:J416" si="214">D416+1</f>
        <v>2014</v>
      </c>
      <c r="F416" s="2">
        <f t="shared" si="214"/>
        <v>2015</v>
      </c>
      <c r="G416" s="2">
        <f t="shared" si="214"/>
        <v>2016</v>
      </c>
      <c r="H416" s="2">
        <f t="shared" si="214"/>
        <v>2017</v>
      </c>
      <c r="I416" s="2">
        <f t="shared" si="214"/>
        <v>2018</v>
      </c>
      <c r="J416" s="2">
        <f t="shared" si="214"/>
        <v>2019</v>
      </c>
      <c r="K416" s="2">
        <f>J416+1</f>
        <v>2020</v>
      </c>
      <c r="L416" s="2">
        <f>K416+1</f>
        <v>2021</v>
      </c>
      <c r="N416" s="139"/>
    </row>
    <row r="417" spans="1:14" x14ac:dyDescent="0.25">
      <c r="B417" s="90" t="str">
        <f xml:space="preserve"> 'Facility Detail'!$B$756 &amp; " Surplus Applied to " &amp; ( 'Facility Detail'!$B$756 + 1 )</f>
        <v>2013 Surplus Applied to 2014</v>
      </c>
      <c r="C417" s="80"/>
      <c r="D417" s="3"/>
      <c r="E417" s="70">
        <f>D417</f>
        <v>0</v>
      </c>
      <c r="F417" s="143"/>
      <c r="G417" s="72"/>
      <c r="H417" s="72"/>
      <c r="I417" s="72"/>
      <c r="J417" s="72"/>
      <c r="K417" s="72"/>
      <c r="L417" s="72"/>
      <c r="N417" s="139"/>
    </row>
    <row r="418" spans="1:14" x14ac:dyDescent="0.25">
      <c r="B418" s="90" t="str">
        <f xml:space="preserve"> ( 'Facility Detail'!$B$756 + 1 ) &amp; " Surplus Applied to " &amp; ( 'Facility Detail'!$B$756 )</f>
        <v>2014 Surplus Applied to 2013</v>
      </c>
      <c r="C418" s="80"/>
      <c r="D418" s="144">
        <f>E418</f>
        <v>0</v>
      </c>
      <c r="E418" s="10"/>
      <c r="F418" s="84"/>
      <c r="G418" s="83"/>
      <c r="H418" s="83"/>
      <c r="I418" s="83"/>
      <c r="J418" s="83"/>
      <c r="K418" s="83"/>
      <c r="L418" s="83"/>
    </row>
    <row r="419" spans="1:14" x14ac:dyDescent="0.25">
      <c r="B419" s="90" t="str">
        <f xml:space="preserve"> ( 'Facility Detail'!$B$756 + 1 ) &amp; " Surplus Applied to " &amp; ( 'Facility Detail'!$B$756 + 2 )</f>
        <v>2014 Surplus Applied to 2015</v>
      </c>
      <c r="C419" s="80"/>
      <c r="D419" s="73"/>
      <c r="E419" s="10"/>
      <c r="F419" s="79">
        <f>E419</f>
        <v>0</v>
      </c>
      <c r="G419" s="83"/>
      <c r="H419" s="83"/>
      <c r="I419" s="83"/>
      <c r="J419" s="83"/>
      <c r="K419" s="83"/>
      <c r="L419" s="83"/>
    </row>
    <row r="420" spans="1:14" x14ac:dyDescent="0.25">
      <c r="B420" s="90" t="str">
        <f xml:space="preserve"> ( 'Facility Detail'!$B$756 + 2 ) &amp; " Surplus Applied to " &amp; ( 'Facility Detail'!$B$756 + 1 )</f>
        <v>2015 Surplus Applied to 2014</v>
      </c>
      <c r="C420" s="80"/>
      <c r="D420" s="73"/>
      <c r="E420" s="79">
        <f>F420</f>
        <v>0</v>
      </c>
      <c r="F420" s="10"/>
      <c r="G420" s="83"/>
      <c r="H420" s="83"/>
      <c r="I420" s="83"/>
      <c r="J420" s="83"/>
      <c r="K420" s="83"/>
      <c r="L420" s="83"/>
    </row>
    <row r="421" spans="1:14" x14ac:dyDescent="0.25">
      <c r="B421" s="90" t="str">
        <f xml:space="preserve"> ( 'Facility Detail'!$B$756 + 2 ) &amp; " Surplus Applied to " &amp; ( 'Facility Detail'!$B$756 + 3 )</f>
        <v>2015 Surplus Applied to 2016</v>
      </c>
      <c r="C421" s="36"/>
      <c r="D421" s="73"/>
      <c r="E421" s="84"/>
      <c r="F421" s="10"/>
      <c r="G421" s="154">
        <f>F421</f>
        <v>0</v>
      </c>
      <c r="H421" s="83">
        <f>G421</f>
        <v>0</v>
      </c>
      <c r="I421" s="83">
        <f>H421</f>
        <v>0</v>
      </c>
      <c r="J421" s="83">
        <f>I421</f>
        <v>0</v>
      </c>
      <c r="K421" s="83"/>
      <c r="L421" s="83"/>
    </row>
    <row r="422" spans="1:14" x14ac:dyDescent="0.25">
      <c r="B422" s="90" t="str">
        <f xml:space="preserve"> ( 'Facility Detail'!$B$756 +3 ) &amp; " Surplus Applied to " &amp; ( 'Facility Detail'!$B$756 + 2 )</f>
        <v>2016 Surplus Applied to 2015</v>
      </c>
      <c r="C422" s="36"/>
      <c r="D422" s="74"/>
      <c r="E422" s="85"/>
      <c r="F422" s="71">
        <f>G422</f>
        <v>0</v>
      </c>
      <c r="G422" s="10"/>
      <c r="H422" s="83"/>
      <c r="I422" s="83"/>
      <c r="J422" s="83"/>
      <c r="K422" s="83"/>
      <c r="L422" s="83"/>
    </row>
    <row r="423" spans="1:14" x14ac:dyDescent="0.25">
      <c r="B423" s="90" t="str">
        <f xml:space="preserve"> ( 'Facility Detail'!$B$756 +3 ) &amp; " Surplus Applied to " &amp; ( 'Facility Detail'!$B$756 + 4 )</f>
        <v>2016 Surplus Applied to 2017</v>
      </c>
      <c r="C423" s="36"/>
      <c r="D423" s="83"/>
      <c r="E423" s="83"/>
      <c r="F423" s="83"/>
      <c r="G423" s="10"/>
      <c r="H423" s="154">
        <f>G423</f>
        <v>0</v>
      </c>
      <c r="I423" s="83"/>
      <c r="J423" s="83"/>
      <c r="K423" s="83"/>
      <c r="L423" s="83"/>
    </row>
    <row r="424" spans="1:14" x14ac:dyDescent="0.25">
      <c r="B424" s="90" t="str">
        <f xml:space="preserve"> ( 'Facility Detail'!$B$756 +4 ) &amp; " Surplus Applied to " &amp; ( 'Facility Detail'!$B$756 + 3 )</f>
        <v>2017 Surplus Applied to 2016</v>
      </c>
      <c r="C424" s="36"/>
      <c r="D424" s="83"/>
      <c r="E424" s="83"/>
      <c r="F424" s="83"/>
      <c r="G424" s="154">
        <f>H424</f>
        <v>135199</v>
      </c>
      <c r="H424" s="10">
        <v>135199</v>
      </c>
      <c r="I424" s="83"/>
      <c r="J424" s="83"/>
      <c r="K424" s="83"/>
      <c r="L424" s="83"/>
    </row>
    <row r="425" spans="1:14" x14ac:dyDescent="0.25">
      <c r="B425" s="90" t="str">
        <f xml:space="preserve"> ( 'Facility Detail'!$B$756 +4 ) &amp; " Surplus Applied to " &amp; ( 'Facility Detail'!$B$756 + 5 )</f>
        <v>2017 Surplus Applied to 2018</v>
      </c>
      <c r="C425" s="36"/>
      <c r="D425" s="83"/>
      <c r="E425" s="83"/>
      <c r="F425" s="83"/>
      <c r="G425" s="83"/>
      <c r="H425" s="10"/>
      <c r="I425" s="154">
        <f>H425</f>
        <v>0</v>
      </c>
      <c r="J425" s="154">
        <f>I425</f>
        <v>0</v>
      </c>
      <c r="K425" s="154"/>
      <c r="L425" s="154"/>
    </row>
    <row r="426" spans="1:14" x14ac:dyDescent="0.25">
      <c r="B426" s="90" t="str">
        <f xml:space="preserve"> ( 'Facility Detail'!$B$756 +5 ) &amp; " Surplus Applied to " &amp; ( 'Facility Detail'!$B$756 + 4 )</f>
        <v>2018 Surplus Applied to 2017</v>
      </c>
      <c r="C426" s="36"/>
      <c r="D426" s="83"/>
      <c r="E426" s="83"/>
      <c r="F426" s="83"/>
      <c r="G426" s="83"/>
      <c r="H426" s="154">
        <f>I426</f>
        <v>6922</v>
      </c>
      <c r="I426" s="10">
        <v>6922</v>
      </c>
      <c r="J426" s="10"/>
      <c r="K426" s="10"/>
      <c r="L426" s="10"/>
    </row>
    <row r="427" spans="1:14" x14ac:dyDescent="0.25">
      <c r="B427" s="90" t="str">
        <f xml:space="preserve"> ( 'Facility Detail'!$B$756 + 5 ) &amp; " Surplus Applied to " &amp; ( 'Facility Detail'!$B$756 + 6 )</f>
        <v>2018 Surplus Applied to 2019</v>
      </c>
      <c r="C427" s="36"/>
      <c r="D427" s="83"/>
      <c r="E427" s="83"/>
      <c r="F427" s="83"/>
      <c r="G427" s="83"/>
      <c r="H427" s="83"/>
      <c r="I427" s="10"/>
      <c r="J427" s="10"/>
      <c r="K427" s="10"/>
      <c r="L427" s="10"/>
    </row>
    <row r="428" spans="1:14" x14ac:dyDescent="0.25">
      <c r="B428" s="39" t="s">
        <v>26</v>
      </c>
      <c r="D428" s="7">
        <f xml:space="preserve"> D418 - D417</f>
        <v>0</v>
      </c>
      <c r="E428" s="7">
        <f xml:space="preserve"> E417 + E420 - E419 - E418</f>
        <v>0</v>
      </c>
      <c r="F428" s="7">
        <f>F419+F422-F420-F421</f>
        <v>0</v>
      </c>
      <c r="G428" s="7">
        <f>G421+G424-G422-G423</f>
        <v>135199</v>
      </c>
      <c r="H428" s="7">
        <f>H423-H426-H424+H425</f>
        <v>-142121</v>
      </c>
      <c r="I428" s="7">
        <f>I425-I426-I427</f>
        <v>-6922</v>
      </c>
      <c r="J428" s="7">
        <f>J425-J426-J427</f>
        <v>0</v>
      </c>
      <c r="K428" s="7">
        <f>K425-K426-K427</f>
        <v>0</v>
      </c>
      <c r="L428" s="7">
        <f>L425-L426-L427</f>
        <v>0</v>
      </c>
    </row>
    <row r="429" spans="1:14" x14ac:dyDescent="0.25">
      <c r="B429" s="6"/>
      <c r="D429" s="7"/>
      <c r="E429" s="7"/>
      <c r="F429" s="7"/>
      <c r="G429" s="7"/>
      <c r="H429" s="7"/>
      <c r="I429" s="7"/>
      <c r="J429" s="7"/>
      <c r="K429" s="7"/>
      <c r="L429" s="7"/>
    </row>
    <row r="430" spans="1:14" x14ac:dyDescent="0.25">
      <c r="B430" s="97" t="s">
        <v>22</v>
      </c>
      <c r="C430" s="80"/>
      <c r="D430" s="111"/>
      <c r="E430" s="112"/>
      <c r="F430" s="113"/>
      <c r="G430" s="113"/>
      <c r="H430" s="113"/>
      <c r="I430" s="113"/>
      <c r="J430" s="113"/>
      <c r="K430" s="113"/>
      <c r="L430" s="113"/>
    </row>
    <row r="431" spans="1:14" x14ac:dyDescent="0.25">
      <c r="B431" s="6"/>
      <c r="D431" s="7"/>
      <c r="E431" s="7"/>
      <c r="F431" s="7"/>
      <c r="G431" s="7"/>
      <c r="H431" s="7"/>
      <c r="I431" s="7"/>
      <c r="J431" s="7"/>
      <c r="K431" s="7"/>
      <c r="L431" s="7"/>
    </row>
    <row r="432" spans="1:14" ht="15.75" x14ac:dyDescent="0.25">
      <c r="A432" s="93" t="s">
        <v>34</v>
      </c>
      <c r="C432" s="80"/>
      <c r="D432" s="52">
        <f t="shared" ref="D432:I432" si="215" xml:space="preserve"> D403 + D408 + D414 + D428 + D430</f>
        <v>282692</v>
      </c>
      <c r="E432" s="53">
        <f t="shared" si="215"/>
        <v>45917</v>
      </c>
      <c r="F432" s="54">
        <f xml:space="preserve"> F403 + F408 + F414 + F428 + F430</f>
        <v>0.40000000002328306</v>
      </c>
      <c r="G432" s="54">
        <f xml:space="preserve"> G403 + G408 + G414 + G428 + G430</f>
        <v>250042</v>
      </c>
      <c r="H432" s="54">
        <f xml:space="preserve"> H403 + H408 + H414 + H428 + H430</f>
        <v>192375</v>
      </c>
      <c r="I432" s="54">
        <f t="shared" si="215"/>
        <v>363962</v>
      </c>
      <c r="J432" s="54">
        <f t="shared" ref="J432:K432" si="216" xml:space="preserve"> J403 + J408 + J414 + J428 + J430</f>
        <v>355784</v>
      </c>
      <c r="K432" s="54">
        <f t="shared" si="216"/>
        <v>417288</v>
      </c>
      <c r="L432" s="54">
        <f t="shared" ref="L432" si="217" xml:space="preserve"> L403 + L408 + L414 + L428 + L430</f>
        <v>419287</v>
      </c>
    </row>
    <row r="433" spans="1:12" ht="50.25" customHeight="1" thickBot="1" x14ac:dyDescent="0.3">
      <c r="A433" s="196" t="s">
        <v>124</v>
      </c>
      <c r="B433" s="196"/>
      <c r="C433" s="196"/>
      <c r="D433" s="196"/>
      <c r="E433" s="196"/>
      <c r="F433" s="196"/>
    </row>
    <row r="434" spans="1:12" x14ac:dyDescent="0.25">
      <c r="A434" s="8"/>
      <c r="B434" s="8"/>
      <c r="C434" s="8"/>
      <c r="D434" s="8"/>
      <c r="E434" s="8"/>
      <c r="F434" s="8"/>
      <c r="G434" s="8"/>
      <c r="H434" s="8"/>
      <c r="I434" s="8"/>
      <c r="J434" s="8"/>
      <c r="K434" s="8"/>
      <c r="L434" s="8"/>
    </row>
    <row r="435" spans="1:12" ht="21" x14ac:dyDescent="0.35">
      <c r="A435" s="16" t="s">
        <v>4</v>
      </c>
      <c r="B435" s="16"/>
      <c r="C435" s="49" t="str">
        <f>B13</f>
        <v>EWEB (Stateline) Wind REC Purchase</v>
      </c>
      <c r="D435" s="50"/>
      <c r="E435" s="22"/>
      <c r="F435" s="22"/>
    </row>
    <row r="437" spans="1:12" ht="18.75" x14ac:dyDescent="0.3">
      <c r="A437" s="9" t="s">
        <v>28</v>
      </c>
      <c r="B437" s="9"/>
      <c r="D437" s="2">
        <v>2013</v>
      </c>
      <c r="E437" s="2">
        <f t="shared" ref="E437:J437" si="218">D437+1</f>
        <v>2014</v>
      </c>
      <c r="F437" s="2">
        <f t="shared" si="218"/>
        <v>2015</v>
      </c>
      <c r="G437" s="2">
        <f t="shared" si="218"/>
        <v>2016</v>
      </c>
      <c r="H437" s="2">
        <f t="shared" si="218"/>
        <v>2017</v>
      </c>
      <c r="I437" s="2">
        <f t="shared" si="218"/>
        <v>2018</v>
      </c>
      <c r="J437" s="2">
        <f t="shared" si="218"/>
        <v>2019</v>
      </c>
      <c r="K437" s="2">
        <f>J437+1</f>
        <v>2020</v>
      </c>
      <c r="L437" s="2">
        <f>K437+1</f>
        <v>2021</v>
      </c>
    </row>
    <row r="438" spans="1:12" x14ac:dyDescent="0.25">
      <c r="B438" s="90" t="str">
        <f>"Total MWh Produced / Purchased from " &amp; C435</f>
        <v>Total MWh Produced / Purchased from EWEB (Stateline) Wind REC Purchase</v>
      </c>
      <c r="C438" s="80"/>
      <c r="D438" s="3">
        <v>0</v>
      </c>
      <c r="E438" s="4">
        <v>0</v>
      </c>
      <c r="F438" s="5">
        <v>50000</v>
      </c>
      <c r="G438" s="5">
        <v>0</v>
      </c>
      <c r="H438" s="5">
        <v>0</v>
      </c>
      <c r="I438" s="5">
        <v>0</v>
      </c>
      <c r="J438" s="5">
        <v>0</v>
      </c>
      <c r="K438" s="5">
        <v>0</v>
      </c>
      <c r="L438" s="5">
        <v>0</v>
      </c>
    </row>
    <row r="439" spans="1:12" x14ac:dyDescent="0.25">
      <c r="B439" s="90" t="s">
        <v>33</v>
      </c>
      <c r="C439" s="80"/>
      <c r="D439" s="64">
        <v>1</v>
      </c>
      <c r="E439" s="65">
        <v>1</v>
      </c>
      <c r="F439" s="66">
        <v>1</v>
      </c>
      <c r="G439" s="66">
        <v>1</v>
      </c>
      <c r="H439" s="66">
        <v>1</v>
      </c>
      <c r="I439" s="66">
        <v>1</v>
      </c>
      <c r="J439" s="66">
        <v>1</v>
      </c>
      <c r="K439" s="66">
        <v>1</v>
      </c>
      <c r="L439" s="66">
        <v>1</v>
      </c>
    </row>
    <row r="440" spans="1:12" x14ac:dyDescent="0.25">
      <c r="B440" s="90" t="s">
        <v>27</v>
      </c>
      <c r="C440" s="80"/>
      <c r="D440" s="57">
        <v>1</v>
      </c>
      <c r="E440" s="58">
        <v>1</v>
      </c>
      <c r="F440" s="59">
        <v>1</v>
      </c>
      <c r="G440" s="59">
        <v>1</v>
      </c>
      <c r="H440" s="59">
        <v>1</v>
      </c>
      <c r="I440" s="59">
        <v>1</v>
      </c>
      <c r="J440" s="59">
        <v>1</v>
      </c>
      <c r="K440" s="59">
        <v>1</v>
      </c>
      <c r="L440" s="59">
        <v>1</v>
      </c>
    </row>
    <row r="441" spans="1:12" x14ac:dyDescent="0.25">
      <c r="B441" s="87" t="s">
        <v>29</v>
      </c>
      <c r="C441" s="88"/>
      <c r="D441" s="44">
        <f t="shared" ref="D441:I441" si="219" xml:space="preserve"> D438 * D439 * D440</f>
        <v>0</v>
      </c>
      <c r="E441" s="44">
        <f t="shared" si="219"/>
        <v>0</v>
      </c>
      <c r="F441" s="44">
        <f t="shared" si="219"/>
        <v>50000</v>
      </c>
      <c r="G441" s="44">
        <f t="shared" si="219"/>
        <v>0</v>
      </c>
      <c r="H441" s="44">
        <f t="shared" si="219"/>
        <v>0</v>
      </c>
      <c r="I441" s="44">
        <f t="shared" si="219"/>
        <v>0</v>
      </c>
      <c r="J441" s="44">
        <f t="shared" ref="J441:K441" si="220" xml:space="preserve"> J438 * J439 * J440</f>
        <v>0</v>
      </c>
      <c r="K441" s="44">
        <f t="shared" si="220"/>
        <v>0</v>
      </c>
      <c r="L441" s="44">
        <f t="shared" ref="L441" si="221" xml:space="preserve"> L438 * L439 * L440</f>
        <v>0</v>
      </c>
    </row>
    <row r="442" spans="1:12" x14ac:dyDescent="0.25">
      <c r="B442" s="22"/>
      <c r="C442" s="36"/>
      <c r="D442" s="43"/>
      <c r="E442" s="43"/>
      <c r="F442" s="43"/>
      <c r="G442" s="43"/>
      <c r="H442" s="43"/>
      <c r="I442" s="43"/>
      <c r="J442" s="43"/>
      <c r="K442" s="43"/>
      <c r="L442" s="43"/>
    </row>
    <row r="443" spans="1:12" ht="18.75" x14ac:dyDescent="0.3">
      <c r="A443" s="51" t="s">
        <v>31</v>
      </c>
      <c r="C443" s="36"/>
      <c r="D443" s="2">
        <f>D437</f>
        <v>2013</v>
      </c>
      <c r="E443" s="2">
        <f t="shared" ref="E443:J443" si="222">D443+1</f>
        <v>2014</v>
      </c>
      <c r="F443" s="2">
        <f t="shared" si="222"/>
        <v>2015</v>
      </c>
      <c r="G443" s="2">
        <f t="shared" si="222"/>
        <v>2016</v>
      </c>
      <c r="H443" s="2">
        <f t="shared" si="222"/>
        <v>2017</v>
      </c>
      <c r="I443" s="2">
        <f t="shared" si="222"/>
        <v>2018</v>
      </c>
      <c r="J443" s="2">
        <f t="shared" si="222"/>
        <v>2019</v>
      </c>
      <c r="K443" s="2">
        <f>J443+1</f>
        <v>2020</v>
      </c>
      <c r="L443" s="2">
        <f>K443+1</f>
        <v>2021</v>
      </c>
    </row>
    <row r="444" spans="1:12" x14ac:dyDescent="0.25">
      <c r="B444" s="90" t="s">
        <v>20</v>
      </c>
      <c r="C444" s="80"/>
      <c r="D444" s="60">
        <f>IF( $E13 = "Eligible", D441 * 'Facility Detail'!$B$753, 0 )</f>
        <v>0</v>
      </c>
      <c r="E444" s="60">
        <f>IF( $E13 = "Eligible", E441 * 'Facility Detail'!$B$753, 0 )</f>
        <v>0</v>
      </c>
      <c r="F444" s="60">
        <f>IF( $E13 = "Eligible", F441 * 'Facility Detail'!$B$753, 0 )</f>
        <v>0</v>
      </c>
      <c r="G444" s="60">
        <f>IF( $E13 = "Eligible", G441 * 'Facility Detail'!$B$753, 0 )</f>
        <v>0</v>
      </c>
      <c r="H444" s="60">
        <f>IF( $E13 = "Eligible", H441 * 'Facility Detail'!$B$753, 0 )</f>
        <v>0</v>
      </c>
      <c r="I444" s="60">
        <f>IF( $E13 = "Eligible", I441 * 'Facility Detail'!$B$753, 0 )</f>
        <v>0</v>
      </c>
      <c r="J444" s="60">
        <f>IF( $E13 = "Eligible", J441 * 'Facility Detail'!$B$753, 0 )</f>
        <v>0</v>
      </c>
      <c r="K444" s="60">
        <f>IF( $E13 = "Eligible", K441 * 'Facility Detail'!$B$753, 0 )</f>
        <v>0</v>
      </c>
      <c r="L444" s="60">
        <f>IF( $E13 = "Eligible", L441 * 'Facility Detail'!$B$753, 0 )</f>
        <v>0</v>
      </c>
    </row>
    <row r="445" spans="1:12" x14ac:dyDescent="0.25">
      <c r="B445" s="90" t="s">
        <v>6</v>
      </c>
      <c r="C445" s="80"/>
      <c r="D445" s="61">
        <f t="shared" ref="D445:J445" si="223">IF( $F13 = "Eligible", D441, 0 )</f>
        <v>0</v>
      </c>
      <c r="E445" s="62">
        <f t="shared" si="223"/>
        <v>0</v>
      </c>
      <c r="F445" s="63">
        <f t="shared" si="223"/>
        <v>0</v>
      </c>
      <c r="G445" s="63">
        <f t="shared" si="223"/>
        <v>0</v>
      </c>
      <c r="H445" s="63">
        <f t="shared" si="223"/>
        <v>0</v>
      </c>
      <c r="I445" s="63">
        <f t="shared" si="223"/>
        <v>0</v>
      </c>
      <c r="J445" s="63">
        <f t="shared" si="223"/>
        <v>0</v>
      </c>
      <c r="K445" s="63">
        <f t="shared" ref="K445" si="224">IF( $F13 = "Eligible", K441, 0 )</f>
        <v>0</v>
      </c>
      <c r="L445" s="63">
        <f t="shared" ref="L445" si="225">IF( $F13 = "Eligible", L441, 0 )</f>
        <v>0</v>
      </c>
    </row>
    <row r="446" spans="1:12" x14ac:dyDescent="0.25">
      <c r="B446" s="89" t="s">
        <v>38</v>
      </c>
      <c r="C446" s="88"/>
      <c r="D446" s="46">
        <f t="shared" ref="D446:I446" si="226">SUM(D444:D445)</f>
        <v>0</v>
      </c>
      <c r="E446" s="47">
        <f t="shared" si="226"/>
        <v>0</v>
      </c>
      <c r="F446" s="47">
        <f t="shared" si="226"/>
        <v>0</v>
      </c>
      <c r="G446" s="47">
        <f t="shared" si="226"/>
        <v>0</v>
      </c>
      <c r="H446" s="47">
        <f t="shared" si="226"/>
        <v>0</v>
      </c>
      <c r="I446" s="47">
        <f t="shared" si="226"/>
        <v>0</v>
      </c>
      <c r="J446" s="47">
        <f t="shared" ref="J446:K446" si="227">SUM(J444:J445)</f>
        <v>0</v>
      </c>
      <c r="K446" s="47">
        <f t="shared" si="227"/>
        <v>0</v>
      </c>
      <c r="L446" s="47">
        <f t="shared" ref="L446" si="228">SUM(L444:L445)</f>
        <v>0</v>
      </c>
    </row>
    <row r="447" spans="1:12" x14ac:dyDescent="0.25">
      <c r="B447" s="36"/>
      <c r="C447" s="36"/>
      <c r="D447" s="45"/>
      <c r="E447" s="37"/>
      <c r="F447" s="37"/>
      <c r="G447" s="37"/>
      <c r="H447" s="37"/>
      <c r="I447" s="37"/>
      <c r="J447" s="37"/>
      <c r="K447" s="37"/>
      <c r="L447" s="37"/>
    </row>
    <row r="448" spans="1:12" ht="18.75" x14ac:dyDescent="0.3">
      <c r="A448" s="48" t="s">
        <v>36</v>
      </c>
      <c r="C448" s="36"/>
      <c r="D448" s="2">
        <f>D437</f>
        <v>2013</v>
      </c>
      <c r="E448" s="2">
        <f t="shared" ref="E448:J448" si="229">D448+1</f>
        <v>2014</v>
      </c>
      <c r="F448" s="2">
        <f t="shared" si="229"/>
        <v>2015</v>
      </c>
      <c r="G448" s="2">
        <f t="shared" si="229"/>
        <v>2016</v>
      </c>
      <c r="H448" s="2">
        <f t="shared" si="229"/>
        <v>2017</v>
      </c>
      <c r="I448" s="2">
        <f t="shared" si="229"/>
        <v>2018</v>
      </c>
      <c r="J448" s="2">
        <f t="shared" si="229"/>
        <v>2019</v>
      </c>
      <c r="K448" s="2">
        <f>J448+1</f>
        <v>2020</v>
      </c>
      <c r="L448" s="2">
        <f>K448+1</f>
        <v>2021</v>
      </c>
    </row>
    <row r="449" spans="1:12" x14ac:dyDescent="0.25">
      <c r="B449" s="90" t="s">
        <v>40</v>
      </c>
      <c r="C449" s="80"/>
      <c r="D449" s="98">
        <v>0</v>
      </c>
      <c r="E449" s="99">
        <v>0</v>
      </c>
      <c r="F449" s="100">
        <v>0</v>
      </c>
      <c r="G449" s="100">
        <v>0</v>
      </c>
      <c r="H449" s="100"/>
      <c r="I449" s="100"/>
      <c r="J449" s="100"/>
      <c r="K449" s="100"/>
      <c r="L449" s="100"/>
    </row>
    <row r="450" spans="1:12" x14ac:dyDescent="0.25">
      <c r="B450" s="91" t="s">
        <v>30</v>
      </c>
      <c r="C450" s="92"/>
      <c r="D450" s="101">
        <v>0</v>
      </c>
      <c r="E450" s="102">
        <v>0</v>
      </c>
      <c r="F450" s="103">
        <v>0</v>
      </c>
      <c r="G450" s="103">
        <v>0</v>
      </c>
      <c r="H450" s="103">
        <v>0</v>
      </c>
      <c r="I450" s="103"/>
      <c r="J450" s="103"/>
      <c r="K450" s="103"/>
      <c r="L450" s="103"/>
    </row>
    <row r="451" spans="1:12" x14ac:dyDescent="0.25">
      <c r="B451" s="104" t="s">
        <v>42</v>
      </c>
      <c r="C451" s="96"/>
      <c r="D451" s="67"/>
      <c r="E451" s="68"/>
      <c r="F451" s="69"/>
      <c r="G451" s="69"/>
      <c r="H451" s="69"/>
      <c r="I451" s="69"/>
      <c r="J451" s="69"/>
      <c r="K451" s="69"/>
      <c r="L451" s="69"/>
    </row>
    <row r="452" spans="1:12" x14ac:dyDescent="0.25">
      <c r="B452" s="39" t="s">
        <v>43</v>
      </c>
      <c r="D452" s="7">
        <f t="shared" ref="D452:I452" si="230">SUM(D449:D451)</f>
        <v>0</v>
      </c>
      <c r="E452" s="7">
        <f t="shared" si="230"/>
        <v>0</v>
      </c>
      <c r="F452" s="7">
        <f t="shared" si="230"/>
        <v>0</v>
      </c>
      <c r="G452" s="7">
        <f t="shared" si="230"/>
        <v>0</v>
      </c>
      <c r="H452" s="7">
        <f t="shared" si="230"/>
        <v>0</v>
      </c>
      <c r="I452" s="7">
        <f t="shared" si="230"/>
        <v>0</v>
      </c>
      <c r="J452" s="7">
        <f t="shared" ref="J452:K452" si="231">SUM(J449:J451)</f>
        <v>0</v>
      </c>
      <c r="K452" s="7">
        <f t="shared" si="231"/>
        <v>0</v>
      </c>
      <c r="L452" s="7">
        <f t="shared" ref="L452" si="232">SUM(L449:L451)</f>
        <v>0</v>
      </c>
    </row>
    <row r="453" spans="1:12" x14ac:dyDescent="0.25">
      <c r="B453" s="6"/>
      <c r="D453" s="7"/>
      <c r="E453" s="7"/>
      <c r="F453" s="7"/>
      <c r="G453" s="7"/>
      <c r="H453" s="7"/>
      <c r="I453" s="7"/>
      <c r="J453" s="7"/>
      <c r="K453" s="7"/>
      <c r="L453" s="7"/>
    </row>
    <row r="454" spans="1:12" ht="18.75" x14ac:dyDescent="0.3">
      <c r="A454" s="9" t="s">
        <v>44</v>
      </c>
      <c r="D454" s="2">
        <f>D437</f>
        <v>2013</v>
      </c>
      <c r="E454" s="2">
        <f t="shared" ref="E454:J454" si="233">D454+1</f>
        <v>2014</v>
      </c>
      <c r="F454" s="2">
        <f t="shared" si="233"/>
        <v>2015</v>
      </c>
      <c r="G454" s="2">
        <f t="shared" si="233"/>
        <v>2016</v>
      </c>
      <c r="H454" s="2">
        <f t="shared" si="233"/>
        <v>2017</v>
      </c>
      <c r="I454" s="2">
        <f t="shared" si="233"/>
        <v>2018</v>
      </c>
      <c r="J454" s="2">
        <f t="shared" si="233"/>
        <v>2019</v>
      </c>
      <c r="K454" s="2">
        <f t="shared" ref="K454" si="234">J454+1</f>
        <v>2020</v>
      </c>
      <c r="L454" s="2">
        <f t="shared" ref="L454" si="235">K454+1</f>
        <v>2021</v>
      </c>
    </row>
    <row r="455" spans="1:12" x14ac:dyDescent="0.25">
      <c r="B455" s="90" t="str">
        <f xml:space="preserve"> 'Facility Detail'!$B$756 &amp; " Surplus Applied to " &amp; ( 'Facility Detail'!$B$756 + 1 )</f>
        <v>2013 Surplus Applied to 2014</v>
      </c>
      <c r="C455" s="80"/>
      <c r="D455" s="3"/>
      <c r="E455" s="70">
        <f>D455</f>
        <v>0</v>
      </c>
      <c r="F455" s="143"/>
      <c r="G455" s="72"/>
      <c r="H455" s="72"/>
      <c r="I455" s="72"/>
      <c r="J455" s="72"/>
      <c r="K455" s="72"/>
      <c r="L455" s="72"/>
    </row>
    <row r="456" spans="1:12" x14ac:dyDescent="0.25">
      <c r="B456" s="90" t="str">
        <f xml:space="preserve"> ( 'Facility Detail'!$B$756 + 1 ) &amp; " Surplus Applied to " &amp; ( 'Facility Detail'!$B$756 )</f>
        <v>2014 Surplus Applied to 2013</v>
      </c>
      <c r="C456" s="80"/>
      <c r="D456" s="144">
        <f>E456</f>
        <v>0</v>
      </c>
      <c r="E456" s="10"/>
      <c r="F456" s="84"/>
      <c r="G456" s="83"/>
      <c r="H456" s="83"/>
      <c r="I456" s="83"/>
      <c r="J456" s="83"/>
      <c r="K456" s="83"/>
      <c r="L456" s="83"/>
    </row>
    <row r="457" spans="1:12" x14ac:dyDescent="0.25">
      <c r="B457" s="90" t="str">
        <f xml:space="preserve"> ( 'Facility Detail'!$B$756 + 1 ) &amp; " Surplus Applied to " &amp; ( 'Facility Detail'!$B$756 + 2 )</f>
        <v>2014 Surplus Applied to 2015</v>
      </c>
      <c r="C457" s="80"/>
      <c r="D457" s="73"/>
      <c r="E457" s="10"/>
      <c r="F457" s="79">
        <f>E457</f>
        <v>0</v>
      </c>
      <c r="G457" s="83"/>
      <c r="H457" s="83"/>
      <c r="I457" s="83"/>
      <c r="J457" s="83"/>
      <c r="K457" s="83"/>
      <c r="L457" s="83"/>
    </row>
    <row r="458" spans="1:12" x14ac:dyDescent="0.25">
      <c r="B458" s="90" t="str">
        <f xml:space="preserve"> ( 'Facility Detail'!$B$756 + 2 ) &amp; " Surplus Applied to " &amp; ( 'Facility Detail'!$B$756 + 1 )</f>
        <v>2015 Surplus Applied to 2014</v>
      </c>
      <c r="C458" s="80"/>
      <c r="D458" s="73"/>
      <c r="E458" s="79">
        <f>F458</f>
        <v>0</v>
      </c>
      <c r="F458" s="10"/>
      <c r="G458" s="83"/>
      <c r="H458" s="83"/>
      <c r="I458" s="83"/>
      <c r="J458" s="83"/>
      <c r="K458" s="83"/>
      <c r="L458" s="83"/>
    </row>
    <row r="459" spans="1:12" x14ac:dyDescent="0.25">
      <c r="B459" s="90" t="str">
        <f xml:space="preserve"> ( 'Facility Detail'!$B$756 + 2 ) &amp; " Surplus Applied to " &amp; ( 'Facility Detail'!$B$756 + 3 )</f>
        <v>2015 Surplus Applied to 2016</v>
      </c>
      <c r="C459" s="36"/>
      <c r="D459" s="73"/>
      <c r="E459" s="84"/>
      <c r="F459" s="10">
        <v>49617</v>
      </c>
      <c r="G459" s="145">
        <f>F459</f>
        <v>49617</v>
      </c>
      <c r="H459" s="83"/>
      <c r="I459" s="83"/>
      <c r="J459" s="83"/>
      <c r="K459" s="83"/>
      <c r="L459" s="83"/>
    </row>
    <row r="460" spans="1:12" x14ac:dyDescent="0.25">
      <c r="B460" s="90" t="str">
        <f xml:space="preserve"> ( 'Facility Detail'!$B$756 +3 ) &amp; " Surplus Applied to " &amp; ( 'Facility Detail'!$B$756 + 2 )</f>
        <v>2016 Surplus Applied to 2015</v>
      </c>
      <c r="C460" s="36"/>
      <c r="D460" s="74"/>
      <c r="E460" s="85"/>
      <c r="F460" s="71">
        <f>G460</f>
        <v>0</v>
      </c>
      <c r="G460" s="146"/>
      <c r="H460" s="83"/>
      <c r="I460" s="83"/>
      <c r="J460" s="83"/>
      <c r="K460" s="83"/>
      <c r="L460" s="83"/>
    </row>
    <row r="461" spans="1:12" x14ac:dyDescent="0.25">
      <c r="B461" s="90" t="str">
        <f xml:space="preserve"> ( 'Facility Detail'!$B$756 +3 ) &amp; " Surplus Applied to " &amp; ( 'Facility Detail'!$B$756 + 4 )</f>
        <v>2016 Surplus Applied to 2017</v>
      </c>
      <c r="C461" s="36"/>
      <c r="D461" s="149"/>
      <c r="E461" s="149"/>
      <c r="F461" s="149"/>
      <c r="G461" s="150">
        <v>49617</v>
      </c>
      <c r="H461" s="83"/>
      <c r="I461" s="83"/>
      <c r="J461" s="83"/>
      <c r="K461" s="83"/>
      <c r="L461" s="83"/>
    </row>
    <row r="462" spans="1:12" x14ac:dyDescent="0.25">
      <c r="B462" s="39" t="s">
        <v>26</v>
      </c>
      <c r="D462" s="7">
        <f xml:space="preserve"> D456 - D455</f>
        <v>0</v>
      </c>
      <c r="E462" s="7">
        <f xml:space="preserve"> E455 + E458 - E457 - E456</f>
        <v>0</v>
      </c>
      <c r="F462" s="7">
        <f>F457+F460-F458-F459</f>
        <v>-49617</v>
      </c>
      <c r="G462" s="7">
        <f>G459-G460</f>
        <v>49617</v>
      </c>
      <c r="H462" s="7">
        <f>H459+H460</f>
        <v>0</v>
      </c>
      <c r="I462" s="7">
        <f>I459+I460</f>
        <v>0</v>
      </c>
      <c r="J462" s="7">
        <f>J459+J460</f>
        <v>0</v>
      </c>
      <c r="K462" s="7">
        <f>K459+K460</f>
        <v>0</v>
      </c>
      <c r="L462" s="7">
        <f>L459+L460</f>
        <v>0</v>
      </c>
    </row>
    <row r="463" spans="1:12" x14ac:dyDescent="0.25">
      <c r="B463" s="6"/>
      <c r="D463" s="7"/>
      <c r="E463" s="7"/>
      <c r="F463" s="7"/>
      <c r="G463" s="7"/>
      <c r="H463" s="7"/>
      <c r="I463" s="7"/>
      <c r="J463" s="7"/>
      <c r="K463" s="7"/>
      <c r="L463" s="7"/>
    </row>
    <row r="464" spans="1:12" x14ac:dyDescent="0.25">
      <c r="B464" s="97" t="s">
        <v>22</v>
      </c>
      <c r="C464" s="80"/>
      <c r="D464" s="111"/>
      <c r="E464" s="112"/>
      <c r="F464" s="113"/>
      <c r="G464" s="113"/>
      <c r="H464" s="113"/>
      <c r="I464" s="113"/>
      <c r="J464" s="113"/>
      <c r="K464" s="113"/>
      <c r="L464" s="113"/>
    </row>
    <row r="465" spans="1:12" x14ac:dyDescent="0.25">
      <c r="B465" s="6"/>
      <c r="D465" s="7"/>
      <c r="E465" s="7"/>
      <c r="F465" s="7"/>
      <c r="G465" s="7"/>
      <c r="H465" s="7"/>
      <c r="I465" s="7"/>
      <c r="J465" s="7"/>
      <c r="K465" s="7"/>
      <c r="L465" s="7"/>
    </row>
    <row r="466" spans="1:12" ht="15.75" x14ac:dyDescent="0.25">
      <c r="A466" s="93" t="s">
        <v>34</v>
      </c>
      <c r="C466" s="80"/>
      <c r="D466" s="52">
        <f t="shared" ref="D466:I466" si="236" xml:space="preserve"> D441 + D446 + D452 + D462 + D464</f>
        <v>0</v>
      </c>
      <c r="E466" s="53">
        <f t="shared" si="236"/>
        <v>0</v>
      </c>
      <c r="F466" s="54">
        <f t="shared" si="236"/>
        <v>383</v>
      </c>
      <c r="G466" s="54">
        <f t="shared" si="236"/>
        <v>49617</v>
      </c>
      <c r="H466" s="54">
        <f t="shared" si="236"/>
        <v>0</v>
      </c>
      <c r="I466" s="54">
        <f t="shared" si="236"/>
        <v>0</v>
      </c>
      <c r="J466" s="54">
        <f t="shared" ref="J466:K466" si="237" xml:space="preserve"> J441 + J446 + J452 + J462 + J464</f>
        <v>0</v>
      </c>
      <c r="K466" s="54">
        <f t="shared" si="237"/>
        <v>0</v>
      </c>
      <c r="L466" s="54">
        <f t="shared" ref="L466" si="238" xml:space="preserve"> L441 + L446 + L452 + L462 + L464</f>
        <v>0</v>
      </c>
    </row>
    <row r="467" spans="1:12" x14ac:dyDescent="0.25">
      <c r="B467" s="6"/>
      <c r="D467" s="7"/>
      <c r="E467" s="7"/>
      <c r="F467" s="7"/>
      <c r="G467" s="34"/>
      <c r="H467" s="34"/>
      <c r="I467" s="34"/>
      <c r="J467" s="34"/>
      <c r="K467" s="34"/>
      <c r="L467" s="34"/>
    </row>
    <row r="468" spans="1:12" x14ac:dyDescent="0.25">
      <c r="B468" s="6"/>
      <c r="D468" s="7"/>
      <c r="E468" s="7"/>
      <c r="F468" s="7"/>
      <c r="G468" s="34"/>
      <c r="H468" s="34"/>
      <c r="I468" s="34"/>
      <c r="J468" s="34"/>
      <c r="K468" s="34"/>
      <c r="L468" s="34"/>
    </row>
    <row r="469" spans="1:12" ht="15.75" thickBot="1" x14ac:dyDescent="0.3">
      <c r="A469" s="195"/>
      <c r="B469" s="195"/>
      <c r="C469" s="195"/>
      <c r="D469" s="195"/>
      <c r="E469" s="195"/>
      <c r="F469" s="195"/>
    </row>
    <row r="470" spans="1:12" x14ac:dyDescent="0.25">
      <c r="A470" s="8"/>
      <c r="B470" s="8"/>
      <c r="C470" s="8"/>
      <c r="D470" s="8"/>
      <c r="E470" s="8"/>
      <c r="F470" s="8"/>
      <c r="G470" s="8"/>
      <c r="H470" s="8"/>
      <c r="I470" s="8"/>
      <c r="J470" s="8"/>
      <c r="K470" s="8"/>
      <c r="L470" s="8"/>
    </row>
    <row r="471" spans="1:12" ht="21" x14ac:dyDescent="0.35">
      <c r="A471" s="16" t="s">
        <v>4</v>
      </c>
      <c r="B471" s="16"/>
      <c r="C471" s="49" t="str">
        <f>B14</f>
        <v>Nine Mile #1</v>
      </c>
      <c r="D471" s="50"/>
      <c r="E471" s="22"/>
      <c r="F471" s="22"/>
    </row>
    <row r="473" spans="1:12" ht="18.75" x14ac:dyDescent="0.3">
      <c r="A473" s="9" t="s">
        <v>86</v>
      </c>
      <c r="B473" s="9"/>
      <c r="D473" s="2">
        <v>2013</v>
      </c>
      <c r="E473" s="2">
        <f t="shared" ref="E473:J473" si="239">D473+1</f>
        <v>2014</v>
      </c>
      <c r="F473" s="2">
        <f t="shared" si="239"/>
        <v>2015</v>
      </c>
      <c r="G473" s="2">
        <f t="shared" si="239"/>
        <v>2016</v>
      </c>
      <c r="H473" s="2">
        <f t="shared" si="239"/>
        <v>2017</v>
      </c>
      <c r="I473" s="2">
        <f t="shared" si="239"/>
        <v>2018</v>
      </c>
      <c r="J473" s="2">
        <f t="shared" si="239"/>
        <v>2019</v>
      </c>
      <c r="K473" s="2">
        <f>J473+1</f>
        <v>2020</v>
      </c>
      <c r="L473" s="2">
        <f>K473+1</f>
        <v>2021</v>
      </c>
    </row>
    <row r="474" spans="1:12" x14ac:dyDescent="0.25">
      <c r="B474" s="90" t="str">
        <f>"Total MWh Produced / Purchased from " &amp; C471</f>
        <v>Total MWh Produced / Purchased from Nine Mile #1</v>
      </c>
      <c r="C474" s="80"/>
      <c r="D474" s="3">
        <v>0</v>
      </c>
      <c r="E474" s="4">
        <v>0</v>
      </c>
      <c r="F474" s="5">
        <v>0</v>
      </c>
      <c r="G474" s="5">
        <v>215</v>
      </c>
      <c r="H474" s="5">
        <v>8804</v>
      </c>
      <c r="I474" s="5">
        <v>8804</v>
      </c>
      <c r="J474" s="5">
        <v>6608</v>
      </c>
      <c r="K474" s="5">
        <v>4825</v>
      </c>
      <c r="L474" s="5">
        <v>4825</v>
      </c>
    </row>
    <row r="475" spans="1:12" x14ac:dyDescent="0.25">
      <c r="B475" s="90" t="s">
        <v>33</v>
      </c>
      <c r="C475" s="80"/>
      <c r="D475" s="64">
        <v>1</v>
      </c>
      <c r="E475" s="65">
        <v>1</v>
      </c>
      <c r="F475" s="66">
        <v>1</v>
      </c>
      <c r="G475" s="66">
        <v>1</v>
      </c>
      <c r="H475" s="66">
        <v>1</v>
      </c>
      <c r="I475" s="66">
        <v>1</v>
      </c>
      <c r="J475" s="66">
        <v>1</v>
      </c>
      <c r="K475" s="66">
        <v>1</v>
      </c>
      <c r="L475" s="66">
        <v>1</v>
      </c>
    </row>
    <row r="476" spans="1:12" x14ac:dyDescent="0.25">
      <c r="B476" s="90" t="s">
        <v>27</v>
      </c>
      <c r="C476" s="80"/>
      <c r="D476" s="57">
        <v>1</v>
      </c>
      <c r="E476" s="58">
        <v>1</v>
      </c>
      <c r="F476" s="59">
        <v>1</v>
      </c>
      <c r="G476" s="59">
        <v>1</v>
      </c>
      <c r="H476" s="59">
        <v>1</v>
      </c>
      <c r="I476" s="59">
        <v>1</v>
      </c>
      <c r="J476" s="59">
        <v>1</v>
      </c>
      <c r="K476" s="59">
        <v>1</v>
      </c>
      <c r="L476" s="59">
        <v>1</v>
      </c>
    </row>
    <row r="477" spans="1:12" x14ac:dyDescent="0.25">
      <c r="B477" s="87" t="s">
        <v>29</v>
      </c>
      <c r="C477" s="88"/>
      <c r="D477" s="44">
        <f t="shared" ref="D477:I477" si="240" xml:space="preserve"> D474 * D475 * D476</f>
        <v>0</v>
      </c>
      <c r="E477" s="44">
        <f t="shared" si="240"/>
        <v>0</v>
      </c>
      <c r="F477" s="44">
        <f t="shared" si="240"/>
        <v>0</v>
      </c>
      <c r="G477" s="44">
        <f t="shared" si="240"/>
        <v>215</v>
      </c>
      <c r="H477" s="44">
        <f t="shared" si="240"/>
        <v>8804</v>
      </c>
      <c r="I477" s="44">
        <f t="shared" si="240"/>
        <v>8804</v>
      </c>
      <c r="J477" s="44">
        <f t="shared" ref="J477:K477" si="241" xml:space="preserve"> J474 * J475 * J476</f>
        <v>6608</v>
      </c>
      <c r="K477" s="44">
        <f t="shared" si="241"/>
        <v>4825</v>
      </c>
      <c r="L477" s="44">
        <f t="shared" ref="L477" si="242" xml:space="preserve"> L474 * L475 * L476</f>
        <v>4825</v>
      </c>
    </row>
    <row r="478" spans="1:12" x14ac:dyDescent="0.25">
      <c r="B478" s="22"/>
      <c r="C478" s="36"/>
      <c r="D478" s="43"/>
      <c r="E478" s="43"/>
      <c r="F478" s="43"/>
      <c r="G478" s="43"/>
      <c r="H478" s="43"/>
      <c r="I478" s="43"/>
      <c r="J478" s="43"/>
      <c r="K478" s="43"/>
      <c r="L478" s="43"/>
    </row>
    <row r="479" spans="1:12" ht="18.75" x14ac:dyDescent="0.3">
      <c r="A479" s="51" t="s">
        <v>31</v>
      </c>
      <c r="C479" s="36"/>
      <c r="D479" s="2">
        <f>D473</f>
        <v>2013</v>
      </c>
      <c r="E479" s="2">
        <f t="shared" ref="E479:J479" si="243">D479+1</f>
        <v>2014</v>
      </c>
      <c r="F479" s="2">
        <f t="shared" si="243"/>
        <v>2015</v>
      </c>
      <c r="G479" s="2">
        <f t="shared" si="243"/>
        <v>2016</v>
      </c>
      <c r="H479" s="2">
        <f t="shared" si="243"/>
        <v>2017</v>
      </c>
      <c r="I479" s="2">
        <f t="shared" si="243"/>
        <v>2018</v>
      </c>
      <c r="J479" s="2">
        <f t="shared" si="243"/>
        <v>2019</v>
      </c>
      <c r="K479" s="2">
        <f>J479+1</f>
        <v>2020</v>
      </c>
      <c r="L479" s="2">
        <f>K479+1</f>
        <v>2021</v>
      </c>
    </row>
    <row r="480" spans="1:12" x14ac:dyDescent="0.25">
      <c r="B480" s="90" t="s">
        <v>20</v>
      </c>
      <c r="C480" s="80"/>
      <c r="D480" s="60">
        <f>IF( $E14 = "Eligible", D477 * 'Facility Detail'!$B$753, 0 )</f>
        <v>0</v>
      </c>
      <c r="E480" s="60">
        <f>IF( $E14 = "Eligible", E477 * 'Facility Detail'!$B$753, 0 )</f>
        <v>0</v>
      </c>
      <c r="F480" s="60">
        <f>IF( $E14 = "Eligible", F477 * 'Facility Detail'!$B$753, 0 )</f>
        <v>0</v>
      </c>
      <c r="G480" s="60">
        <f>IF( $E14 = "Eligible", G477 * 'Facility Detail'!$B$753, 0 )</f>
        <v>0</v>
      </c>
      <c r="H480" s="60">
        <f>IF( $E14 = "Eligible", H477 * 'Facility Detail'!$B$753, 0 )</f>
        <v>0</v>
      </c>
      <c r="I480" s="60">
        <f>IF( $E14 = "Eligible", I477 * 'Facility Detail'!$B$753, 0 )</f>
        <v>0</v>
      </c>
      <c r="J480" s="60">
        <f>IF( $E14 = "Eligible", J477 * 'Facility Detail'!$B$753, 0 )</f>
        <v>0</v>
      </c>
      <c r="K480" s="60">
        <f>IF( $E14 = "Eligible", K477 * 'Facility Detail'!$B$753, 0 )</f>
        <v>0</v>
      </c>
      <c r="L480" s="60">
        <f>IF( $E14 = "Eligible", L477 * 'Facility Detail'!$B$753, 0 )</f>
        <v>0</v>
      </c>
    </row>
    <row r="481" spans="1:12" x14ac:dyDescent="0.25">
      <c r="B481" s="90" t="s">
        <v>6</v>
      </c>
      <c r="C481" s="80"/>
      <c r="D481" s="61">
        <f t="shared" ref="D481:J481" si="244">IF( $F14 = "Eligible", D477, 0 )</f>
        <v>0</v>
      </c>
      <c r="E481" s="62">
        <f t="shared" si="244"/>
        <v>0</v>
      </c>
      <c r="F481" s="63">
        <f t="shared" si="244"/>
        <v>0</v>
      </c>
      <c r="G481" s="63">
        <f t="shared" si="244"/>
        <v>0</v>
      </c>
      <c r="H481" s="63">
        <f t="shared" si="244"/>
        <v>0</v>
      </c>
      <c r="I481" s="63">
        <f t="shared" si="244"/>
        <v>0</v>
      </c>
      <c r="J481" s="63">
        <f t="shared" si="244"/>
        <v>0</v>
      </c>
      <c r="K481" s="63">
        <f t="shared" ref="K481" si="245">IF( $F14 = "Eligible", K477, 0 )</f>
        <v>0</v>
      </c>
      <c r="L481" s="63">
        <f t="shared" ref="L481" si="246">IF( $F14 = "Eligible", L477, 0 )</f>
        <v>0</v>
      </c>
    </row>
    <row r="482" spans="1:12" x14ac:dyDescent="0.25">
      <c r="B482" s="89" t="s">
        <v>38</v>
      </c>
      <c r="C482" s="88"/>
      <c r="D482" s="46">
        <f t="shared" ref="D482:I482" si="247">SUM(D480:D481)</f>
        <v>0</v>
      </c>
      <c r="E482" s="47">
        <f t="shared" si="247"/>
        <v>0</v>
      </c>
      <c r="F482" s="47">
        <f t="shared" si="247"/>
        <v>0</v>
      </c>
      <c r="G482" s="47">
        <f t="shared" si="247"/>
        <v>0</v>
      </c>
      <c r="H482" s="47">
        <f t="shared" si="247"/>
        <v>0</v>
      </c>
      <c r="I482" s="47">
        <f t="shared" si="247"/>
        <v>0</v>
      </c>
      <c r="J482" s="47">
        <f t="shared" ref="J482:K482" si="248">SUM(J480:J481)</f>
        <v>0</v>
      </c>
      <c r="K482" s="47">
        <f t="shared" si="248"/>
        <v>0</v>
      </c>
      <c r="L482" s="47">
        <f t="shared" ref="L482" si="249">SUM(L480:L481)</f>
        <v>0</v>
      </c>
    </row>
    <row r="483" spans="1:12" x14ac:dyDescent="0.25">
      <c r="B483" s="36"/>
      <c r="C483" s="36"/>
      <c r="D483" s="45"/>
      <c r="E483" s="37"/>
      <c r="F483" s="37"/>
      <c r="G483" s="37"/>
      <c r="H483" s="37"/>
      <c r="I483" s="37"/>
      <c r="J483" s="37"/>
      <c r="K483" s="37"/>
      <c r="L483" s="37"/>
    </row>
    <row r="484" spans="1:12" ht="18.75" x14ac:dyDescent="0.3">
      <c r="A484" s="48" t="s">
        <v>36</v>
      </c>
      <c r="C484" s="36"/>
      <c r="D484" s="2">
        <f>D473</f>
        <v>2013</v>
      </c>
      <c r="E484" s="2">
        <f t="shared" ref="E484:J484" si="250">D484+1</f>
        <v>2014</v>
      </c>
      <c r="F484" s="2">
        <f t="shared" si="250"/>
        <v>2015</v>
      </c>
      <c r="G484" s="2">
        <f t="shared" si="250"/>
        <v>2016</v>
      </c>
      <c r="H484" s="2">
        <f t="shared" si="250"/>
        <v>2017</v>
      </c>
      <c r="I484" s="2">
        <f t="shared" si="250"/>
        <v>2018</v>
      </c>
      <c r="J484" s="2">
        <f t="shared" si="250"/>
        <v>2019</v>
      </c>
      <c r="K484" s="2">
        <f>J484+1</f>
        <v>2020</v>
      </c>
      <c r="L484" s="2">
        <f>K484+1</f>
        <v>2021</v>
      </c>
    </row>
    <row r="485" spans="1:12" x14ac:dyDescent="0.25">
      <c r="B485" s="90" t="s">
        <v>40</v>
      </c>
      <c r="C485" s="80"/>
      <c r="D485" s="98">
        <v>0</v>
      </c>
      <c r="E485" s="99">
        <v>0</v>
      </c>
      <c r="F485" s="100">
        <v>0</v>
      </c>
      <c r="G485" s="100">
        <v>0</v>
      </c>
      <c r="H485" s="100">
        <v>0</v>
      </c>
      <c r="I485" s="100">
        <v>0</v>
      </c>
      <c r="J485" s="100">
        <v>0</v>
      </c>
      <c r="K485" s="100">
        <v>0</v>
      </c>
      <c r="L485" s="100">
        <v>0</v>
      </c>
    </row>
    <row r="486" spans="1:12" x14ac:dyDescent="0.25">
      <c r="B486" s="91" t="s">
        <v>30</v>
      </c>
      <c r="C486" s="92"/>
      <c r="D486" s="101">
        <v>0</v>
      </c>
      <c r="E486" s="102">
        <v>0</v>
      </c>
      <c r="F486" s="103">
        <v>0</v>
      </c>
      <c r="G486" s="103">
        <v>0</v>
      </c>
      <c r="H486" s="103">
        <v>0</v>
      </c>
      <c r="I486" s="103">
        <v>0</v>
      </c>
      <c r="J486" s="103">
        <v>0</v>
      </c>
      <c r="K486" s="103">
        <v>0</v>
      </c>
      <c r="L486" s="103">
        <v>0</v>
      </c>
    </row>
    <row r="487" spans="1:12" x14ac:dyDescent="0.25">
      <c r="B487" s="104" t="s">
        <v>42</v>
      </c>
      <c r="C487" s="96"/>
      <c r="D487" s="67"/>
      <c r="E487" s="68"/>
      <c r="F487" s="69"/>
      <c r="G487" s="69">
        <v>0</v>
      </c>
      <c r="H487" s="69">
        <v>0</v>
      </c>
      <c r="I487" s="69">
        <v>0</v>
      </c>
      <c r="J487" s="69">
        <v>0</v>
      </c>
      <c r="K487" s="69">
        <v>0</v>
      </c>
      <c r="L487" s="69">
        <v>0</v>
      </c>
    </row>
    <row r="488" spans="1:12" x14ac:dyDescent="0.25">
      <c r="B488" s="39" t="s">
        <v>43</v>
      </c>
      <c r="D488" s="7">
        <f t="shared" ref="D488:I488" si="251">SUM(D485:D487)</f>
        <v>0</v>
      </c>
      <c r="E488" s="7">
        <f t="shared" si="251"/>
        <v>0</v>
      </c>
      <c r="F488" s="7">
        <f t="shared" si="251"/>
        <v>0</v>
      </c>
      <c r="G488" s="7">
        <f t="shared" si="251"/>
        <v>0</v>
      </c>
      <c r="H488" s="7">
        <f t="shared" si="251"/>
        <v>0</v>
      </c>
      <c r="I488" s="7">
        <f t="shared" si="251"/>
        <v>0</v>
      </c>
      <c r="J488" s="7">
        <f t="shared" ref="J488:K488" si="252">SUM(J485:J487)</f>
        <v>0</v>
      </c>
      <c r="K488" s="7">
        <f t="shared" si="252"/>
        <v>0</v>
      </c>
      <c r="L488" s="7">
        <f t="shared" ref="L488" si="253">SUM(L485:L487)</f>
        <v>0</v>
      </c>
    </row>
    <row r="489" spans="1:12" x14ac:dyDescent="0.25">
      <c r="B489" s="6"/>
      <c r="D489" s="7"/>
      <c r="E489" s="7"/>
      <c r="F489" s="7"/>
      <c r="G489" s="7"/>
      <c r="H489" s="7"/>
      <c r="I489" s="7"/>
      <c r="J489" s="7"/>
      <c r="K489" s="7"/>
      <c r="L489" s="7"/>
    </row>
    <row r="490" spans="1:12" ht="18.75" x14ac:dyDescent="0.3">
      <c r="A490" s="9" t="s">
        <v>44</v>
      </c>
      <c r="D490" s="2">
        <f>D473</f>
        <v>2013</v>
      </c>
      <c r="E490" s="2">
        <f t="shared" ref="E490:J490" si="254">D490+1</f>
        <v>2014</v>
      </c>
      <c r="F490" s="2">
        <f t="shared" si="254"/>
        <v>2015</v>
      </c>
      <c r="G490" s="2">
        <f t="shared" si="254"/>
        <v>2016</v>
      </c>
      <c r="H490" s="2">
        <f t="shared" si="254"/>
        <v>2017</v>
      </c>
      <c r="I490" s="2">
        <f t="shared" si="254"/>
        <v>2018</v>
      </c>
      <c r="J490" s="2">
        <f t="shared" si="254"/>
        <v>2019</v>
      </c>
      <c r="K490" s="2">
        <f>J490+1</f>
        <v>2020</v>
      </c>
      <c r="L490" s="2">
        <f>K490+1</f>
        <v>2021</v>
      </c>
    </row>
    <row r="491" spans="1:12" x14ac:dyDescent="0.25">
      <c r="B491" s="90" t="str">
        <f xml:space="preserve"> 'Facility Detail'!$B$756 &amp; " Surplus Applied to " &amp; ( 'Facility Detail'!$B$756 + 1 )</f>
        <v>2013 Surplus Applied to 2014</v>
      </c>
      <c r="C491" s="80"/>
      <c r="D491" s="3"/>
      <c r="E491" s="70">
        <f>D491</f>
        <v>0</v>
      </c>
      <c r="F491" s="143"/>
      <c r="G491" s="72"/>
      <c r="H491" s="72"/>
      <c r="I491" s="72"/>
      <c r="J491" s="72"/>
      <c r="K491" s="72"/>
      <c r="L491" s="72"/>
    </row>
    <row r="492" spans="1:12" x14ac:dyDescent="0.25">
      <c r="B492" s="90" t="str">
        <f xml:space="preserve"> ( 'Facility Detail'!$B$756 + 1 ) &amp; " Surplus Applied to " &amp; ( 'Facility Detail'!$B$756 )</f>
        <v>2014 Surplus Applied to 2013</v>
      </c>
      <c r="C492" s="80"/>
      <c r="D492" s="144">
        <f>E492</f>
        <v>0</v>
      </c>
      <c r="E492" s="10"/>
      <c r="F492" s="84"/>
      <c r="G492" s="83"/>
      <c r="H492" s="83"/>
      <c r="I492" s="83"/>
      <c r="J492" s="83"/>
      <c r="K492" s="83"/>
      <c r="L492" s="83"/>
    </row>
    <row r="493" spans="1:12" x14ac:dyDescent="0.25">
      <c r="B493" s="90" t="str">
        <f xml:space="preserve"> ( 'Facility Detail'!$B$756 + 1 ) &amp; " Surplus Applied to " &amp; ( 'Facility Detail'!$B$756 + 2 )</f>
        <v>2014 Surplus Applied to 2015</v>
      </c>
      <c r="C493" s="80"/>
      <c r="D493" s="73"/>
      <c r="E493" s="10"/>
      <c r="F493" s="79">
        <f>E493</f>
        <v>0</v>
      </c>
      <c r="G493" s="83"/>
      <c r="H493" s="83"/>
      <c r="I493" s="83"/>
      <c r="J493" s="83"/>
      <c r="K493" s="83"/>
      <c r="L493" s="83"/>
    </row>
    <row r="494" spans="1:12" x14ac:dyDescent="0.25">
      <c r="B494" s="90" t="str">
        <f xml:space="preserve"> ( 'Facility Detail'!$B$756 + 2 ) &amp; " Surplus Applied to " &amp; ( 'Facility Detail'!$B$756 + 1 )</f>
        <v>2015 Surplus Applied to 2014</v>
      </c>
      <c r="C494" s="80"/>
      <c r="D494" s="73"/>
      <c r="E494" s="79">
        <f>F494</f>
        <v>0</v>
      </c>
      <c r="F494" s="10"/>
      <c r="G494" s="83"/>
      <c r="H494" s="83"/>
      <c r="I494" s="83"/>
      <c r="J494" s="83"/>
      <c r="K494" s="83"/>
      <c r="L494" s="83"/>
    </row>
    <row r="495" spans="1:12" x14ac:dyDescent="0.25">
      <c r="B495" s="90" t="str">
        <f xml:space="preserve"> ( 'Facility Detail'!$B$756 + 2 ) &amp; " Surplus Applied to " &amp; ( 'Facility Detail'!$B$756 + 3 )</f>
        <v>2015 Surplus Applied to 2016</v>
      </c>
      <c r="C495" s="36"/>
      <c r="D495" s="73"/>
      <c r="E495" s="84"/>
      <c r="F495" s="10"/>
      <c r="G495" s="145">
        <f>F495</f>
        <v>0</v>
      </c>
      <c r="H495" s="145">
        <f>G495</f>
        <v>0</v>
      </c>
      <c r="I495" s="145">
        <f>H495</f>
        <v>0</v>
      </c>
      <c r="J495" s="145">
        <f>I495</f>
        <v>0</v>
      </c>
      <c r="K495" s="145"/>
      <c r="L495" s="145"/>
    </row>
    <row r="496" spans="1:12" x14ac:dyDescent="0.25">
      <c r="B496" s="90" t="str">
        <f xml:space="preserve"> ( 'Facility Detail'!$B$756 +3 ) &amp; " Surplus Applied to " &amp; ( 'Facility Detail'!$B$756 + 2 )</f>
        <v>2016 Surplus Applied to 2015</v>
      </c>
      <c r="C496" s="36"/>
      <c r="D496" s="74"/>
      <c r="E496" s="85"/>
      <c r="F496" s="71">
        <f>G496</f>
        <v>0</v>
      </c>
      <c r="G496" s="146"/>
      <c r="H496" s="146"/>
      <c r="I496" s="146"/>
      <c r="J496" s="146"/>
      <c r="K496" s="146"/>
      <c r="L496" s="146"/>
    </row>
    <row r="497" spans="1:13" x14ac:dyDescent="0.25">
      <c r="B497" s="90" t="str">
        <f xml:space="preserve"> ( 'Facility Detail'!$B$756 +3 ) &amp; " Surplus Applied to " &amp; ( 'Facility Detail'!$B$756 + 4 )</f>
        <v>2016 Surplus Applied to 2017</v>
      </c>
      <c r="C497" s="36"/>
      <c r="D497" s="149"/>
      <c r="E497" s="149"/>
      <c r="F497" s="23"/>
      <c r="G497" s="150"/>
      <c r="H497" s="150"/>
      <c r="I497" s="150"/>
      <c r="J497" s="150"/>
      <c r="K497" s="150"/>
      <c r="L497" s="150"/>
    </row>
    <row r="498" spans="1:13" x14ac:dyDescent="0.25">
      <c r="B498" s="39" t="s">
        <v>26</v>
      </c>
      <c r="D498" s="7">
        <f xml:space="preserve"> D492 - D491</f>
        <v>0</v>
      </c>
      <c r="E498" s="7">
        <f xml:space="preserve"> E491 + E494 - E493 - E492</f>
        <v>0</v>
      </c>
      <c r="F498" s="7">
        <f>F493+F496-F494-F495</f>
        <v>0</v>
      </c>
      <c r="G498" s="7">
        <f t="shared" ref="G498:L498" si="255">G495-G496</f>
        <v>0</v>
      </c>
      <c r="H498" s="7">
        <f t="shared" si="255"/>
        <v>0</v>
      </c>
      <c r="I498" s="7">
        <f t="shared" si="255"/>
        <v>0</v>
      </c>
      <c r="J498" s="7">
        <f t="shared" si="255"/>
        <v>0</v>
      </c>
      <c r="K498" s="7">
        <f t="shared" si="255"/>
        <v>0</v>
      </c>
      <c r="L498" s="7">
        <f t="shared" si="255"/>
        <v>0</v>
      </c>
    </row>
    <row r="499" spans="1:13" x14ac:dyDescent="0.25">
      <c r="B499" s="6"/>
      <c r="D499" s="7"/>
      <c r="E499" s="7"/>
      <c r="F499" s="7"/>
      <c r="G499" s="7"/>
      <c r="H499" s="7"/>
      <c r="I499" s="7"/>
      <c r="J499" s="7"/>
      <c r="K499" s="7"/>
      <c r="L499" s="7"/>
    </row>
    <row r="500" spans="1:13" x14ac:dyDescent="0.25">
      <c r="B500" s="97" t="s">
        <v>22</v>
      </c>
      <c r="C500" s="80"/>
      <c r="D500" s="111"/>
      <c r="E500" s="112"/>
      <c r="F500" s="113"/>
      <c r="G500" s="113"/>
      <c r="H500" s="113"/>
      <c r="I500" s="113"/>
      <c r="J500" s="113"/>
      <c r="K500" s="113"/>
      <c r="L500" s="113"/>
    </row>
    <row r="501" spans="1:13" x14ac:dyDescent="0.25">
      <c r="B501" s="6"/>
      <c r="D501" s="7"/>
      <c r="E501" s="7"/>
      <c r="F501" s="7"/>
      <c r="G501" s="7"/>
      <c r="H501" s="7"/>
      <c r="I501" s="7"/>
      <c r="J501" s="7"/>
      <c r="K501" s="7"/>
      <c r="L501" s="7"/>
    </row>
    <row r="502" spans="1:13" ht="15.75" x14ac:dyDescent="0.25">
      <c r="A502" s="93" t="s">
        <v>34</v>
      </c>
      <c r="C502" s="80"/>
      <c r="D502" s="52">
        <f t="shared" ref="D502:I502" si="256" xml:space="preserve"> D477 + D482 + D488 + D498 + D500</f>
        <v>0</v>
      </c>
      <c r="E502" s="53">
        <f t="shared" si="256"/>
        <v>0</v>
      </c>
      <c r="F502" s="54">
        <f t="shared" si="256"/>
        <v>0</v>
      </c>
      <c r="G502" s="54">
        <f t="shared" si="256"/>
        <v>215</v>
      </c>
      <c r="H502" s="54">
        <f t="shared" si="256"/>
        <v>8804</v>
      </c>
      <c r="I502" s="54">
        <f t="shared" si="256"/>
        <v>8804</v>
      </c>
      <c r="J502" s="54">
        <f t="shared" ref="J502:K502" si="257" xml:space="preserve"> J477 + J482 + J488 + J498 + J500</f>
        <v>6608</v>
      </c>
      <c r="K502" s="54">
        <f t="shared" si="257"/>
        <v>4825</v>
      </c>
      <c r="L502" s="54">
        <f t="shared" ref="L502" si="258" xml:space="preserve"> L477 + L482 + L488 + L498 + L500</f>
        <v>4825</v>
      </c>
    </row>
    <row r="503" spans="1:13" x14ac:dyDescent="0.25">
      <c r="B503" s="6"/>
      <c r="D503" s="7"/>
      <c r="E503" s="7"/>
      <c r="F503" s="7"/>
      <c r="G503" s="34"/>
      <c r="H503" s="34"/>
      <c r="I503" s="34"/>
      <c r="J503" s="34"/>
      <c r="K503" s="34"/>
      <c r="L503" s="34"/>
    </row>
    <row r="504" spans="1:13" x14ac:dyDescent="0.25">
      <c r="B504" s="6"/>
      <c r="D504" s="7"/>
      <c r="E504" s="7"/>
      <c r="F504" s="7"/>
      <c r="G504" s="34"/>
      <c r="H504" s="34"/>
      <c r="I504" s="34"/>
      <c r="J504" s="34"/>
      <c r="K504" s="34"/>
      <c r="L504" s="34"/>
    </row>
    <row r="505" spans="1:13" ht="15.75" customHeight="1" thickBot="1" x14ac:dyDescent="0.3">
      <c r="A505" s="195" t="s">
        <v>103</v>
      </c>
      <c r="B505" s="195"/>
      <c r="C505" s="195"/>
      <c r="D505" s="195"/>
      <c r="E505" s="195"/>
      <c r="F505" s="195"/>
      <c r="G505" s="195"/>
      <c r="H505" s="195"/>
      <c r="I505" s="195"/>
      <c r="J505" s="152"/>
      <c r="K505" s="178"/>
      <c r="L505" s="179"/>
      <c r="M505" s="152"/>
    </row>
    <row r="506" spans="1:13" x14ac:dyDescent="0.25">
      <c r="A506" s="8"/>
      <c r="B506" s="8"/>
      <c r="C506" s="8"/>
      <c r="D506" s="8"/>
      <c r="E506" s="8"/>
      <c r="F506" s="8"/>
      <c r="G506" s="8"/>
      <c r="H506" s="8"/>
      <c r="I506" s="8"/>
      <c r="J506" s="8"/>
      <c r="K506" s="8"/>
      <c r="L506" s="8"/>
    </row>
    <row r="507" spans="1:13" ht="21" x14ac:dyDescent="0.35">
      <c r="A507" s="16" t="s">
        <v>4</v>
      </c>
      <c r="B507" s="16"/>
      <c r="C507" s="49" t="str">
        <f>B15</f>
        <v>Nine Mile #2</v>
      </c>
      <c r="D507" s="50"/>
      <c r="E507" s="22"/>
      <c r="F507" s="22"/>
    </row>
    <row r="509" spans="1:13" ht="18.75" x14ac:dyDescent="0.3">
      <c r="A509" s="9" t="s">
        <v>86</v>
      </c>
      <c r="B509" s="9"/>
      <c r="D509" s="2">
        <v>2013</v>
      </c>
      <c r="E509" s="2">
        <f t="shared" ref="E509:J509" si="259">D509+1</f>
        <v>2014</v>
      </c>
      <c r="F509" s="2">
        <f t="shared" si="259"/>
        <v>2015</v>
      </c>
      <c r="G509" s="2">
        <f t="shared" si="259"/>
        <v>2016</v>
      </c>
      <c r="H509" s="2">
        <f t="shared" si="259"/>
        <v>2017</v>
      </c>
      <c r="I509" s="2">
        <f t="shared" si="259"/>
        <v>2018</v>
      </c>
      <c r="J509" s="2">
        <f t="shared" si="259"/>
        <v>2019</v>
      </c>
      <c r="K509" s="2">
        <f>J509+1</f>
        <v>2020</v>
      </c>
      <c r="L509" s="2">
        <f>K509+1</f>
        <v>2021</v>
      </c>
    </row>
    <row r="510" spans="1:13" x14ac:dyDescent="0.25">
      <c r="B510" s="90" t="str">
        <f>"Total MWh Produced / Purchased from " &amp; C507</f>
        <v>Total MWh Produced / Purchased from Nine Mile #2</v>
      </c>
      <c r="C510" s="80"/>
      <c r="D510" s="3">
        <v>0</v>
      </c>
      <c r="E510" s="4">
        <v>0</v>
      </c>
      <c r="F510" s="5">
        <v>0</v>
      </c>
      <c r="G510" s="5">
        <v>0</v>
      </c>
      <c r="H510" s="5">
        <v>13146</v>
      </c>
      <c r="I510" s="5">
        <v>13146</v>
      </c>
      <c r="J510" s="5">
        <v>1830</v>
      </c>
      <c r="K510" s="5">
        <v>2473</v>
      </c>
      <c r="L510" s="5">
        <v>2473</v>
      </c>
    </row>
    <row r="511" spans="1:13" x14ac:dyDescent="0.25">
      <c r="B511" s="90" t="s">
        <v>33</v>
      </c>
      <c r="C511" s="80"/>
      <c r="D511" s="64">
        <v>1</v>
      </c>
      <c r="E511" s="65">
        <v>1</v>
      </c>
      <c r="F511" s="66">
        <v>1</v>
      </c>
      <c r="G511" s="66">
        <v>1</v>
      </c>
      <c r="H511" s="66">
        <v>1</v>
      </c>
      <c r="I511" s="66">
        <v>1</v>
      </c>
      <c r="J511" s="66">
        <v>1</v>
      </c>
      <c r="K511" s="66">
        <v>1</v>
      </c>
      <c r="L511" s="66">
        <v>1</v>
      </c>
    </row>
    <row r="512" spans="1:13" x14ac:dyDescent="0.25">
      <c r="B512" s="90" t="s">
        <v>27</v>
      </c>
      <c r="C512" s="80"/>
      <c r="D512" s="57">
        <v>1</v>
      </c>
      <c r="E512" s="58">
        <v>1</v>
      </c>
      <c r="F512" s="59">
        <v>1</v>
      </c>
      <c r="G512" s="59">
        <v>1</v>
      </c>
      <c r="H512" s="59">
        <v>1</v>
      </c>
      <c r="I512" s="59">
        <v>1</v>
      </c>
      <c r="J512" s="59">
        <v>1</v>
      </c>
      <c r="K512" s="59">
        <v>1</v>
      </c>
      <c r="L512" s="59">
        <v>1</v>
      </c>
    </row>
    <row r="513" spans="1:12" x14ac:dyDescent="0.25">
      <c r="B513" s="87" t="s">
        <v>29</v>
      </c>
      <c r="C513" s="88"/>
      <c r="D513" s="44">
        <f t="shared" ref="D513:I513" si="260" xml:space="preserve"> D510 * D511 * D512</f>
        <v>0</v>
      </c>
      <c r="E513" s="44">
        <f t="shared" si="260"/>
        <v>0</v>
      </c>
      <c r="F513" s="44">
        <f t="shared" si="260"/>
        <v>0</v>
      </c>
      <c r="G513" s="44">
        <f t="shared" si="260"/>
        <v>0</v>
      </c>
      <c r="H513" s="44">
        <f t="shared" si="260"/>
        <v>13146</v>
      </c>
      <c r="I513" s="44">
        <f t="shared" si="260"/>
        <v>13146</v>
      </c>
      <c r="J513" s="44">
        <f t="shared" ref="J513:K513" si="261" xml:space="preserve"> J510 * J511 * J512</f>
        <v>1830</v>
      </c>
      <c r="K513" s="44">
        <f t="shared" si="261"/>
        <v>2473</v>
      </c>
      <c r="L513" s="44">
        <f t="shared" ref="L513" si="262" xml:space="preserve"> L510 * L511 * L512</f>
        <v>2473</v>
      </c>
    </row>
    <row r="514" spans="1:12" x14ac:dyDescent="0.25">
      <c r="B514" s="22"/>
      <c r="C514" s="36"/>
      <c r="D514" s="43"/>
      <c r="E514" s="43"/>
      <c r="F514" s="43"/>
      <c r="G514" s="43"/>
      <c r="H514" s="43"/>
      <c r="I514" s="43"/>
      <c r="J514" s="43"/>
      <c r="K514" s="43"/>
      <c r="L514" s="43"/>
    </row>
    <row r="515" spans="1:12" ht="18.75" x14ac:dyDescent="0.3">
      <c r="A515" s="51" t="s">
        <v>31</v>
      </c>
      <c r="C515" s="36"/>
      <c r="D515" s="2">
        <f>D509</f>
        <v>2013</v>
      </c>
      <c r="E515" s="2">
        <f t="shared" ref="E515:J515" si="263">D515+1</f>
        <v>2014</v>
      </c>
      <c r="F515" s="2">
        <f t="shared" si="263"/>
        <v>2015</v>
      </c>
      <c r="G515" s="2">
        <f t="shared" si="263"/>
        <v>2016</v>
      </c>
      <c r="H515" s="2">
        <f t="shared" si="263"/>
        <v>2017</v>
      </c>
      <c r="I515" s="2">
        <f t="shared" si="263"/>
        <v>2018</v>
      </c>
      <c r="J515" s="2">
        <f t="shared" si="263"/>
        <v>2019</v>
      </c>
      <c r="K515" s="2">
        <f>J515+1</f>
        <v>2020</v>
      </c>
      <c r="L515" s="2">
        <f>K515+1</f>
        <v>2021</v>
      </c>
    </row>
    <row r="516" spans="1:12" x14ac:dyDescent="0.25">
      <c r="B516" s="90" t="s">
        <v>20</v>
      </c>
      <c r="C516" s="80"/>
      <c r="D516" s="60">
        <f>IF( $E15 = "Eligible", D513 * 'Facility Detail'!$B$753, 0 )</f>
        <v>0</v>
      </c>
      <c r="E516" s="60">
        <f>IF( $E15 = "Eligible", E513 * 'Facility Detail'!$B$753, 0 )</f>
        <v>0</v>
      </c>
      <c r="F516" s="60">
        <f>IF( $E15 = "Eligible", F513 * 'Facility Detail'!$B$753, 0 )</f>
        <v>0</v>
      </c>
      <c r="G516" s="60">
        <f>IF( $E15 = "Eligible", G513 * 'Facility Detail'!$B$753, 0 )</f>
        <v>0</v>
      </c>
      <c r="H516" s="60">
        <f>IF( $E15 = "Eligible", H513 * 'Facility Detail'!$B$753, 0 )</f>
        <v>0</v>
      </c>
      <c r="I516" s="60">
        <f>IF( $E15 = "Eligible", I513 * 'Facility Detail'!$B$753, 0 )</f>
        <v>0</v>
      </c>
      <c r="J516" s="60">
        <f>IF( $E15 = "Eligible", J513 * 'Facility Detail'!$B$753, 0 )</f>
        <v>0</v>
      </c>
      <c r="K516" s="60">
        <f>IF( $E15 = "Eligible", K513 * 'Facility Detail'!$B$753, 0 )</f>
        <v>0</v>
      </c>
      <c r="L516" s="60">
        <f>IF( $E15 = "Eligible", L513 * 'Facility Detail'!$B$753, 0 )</f>
        <v>0</v>
      </c>
    </row>
    <row r="517" spans="1:12" x14ac:dyDescent="0.25">
      <c r="B517" s="90" t="s">
        <v>6</v>
      </c>
      <c r="C517" s="80"/>
      <c r="D517" s="63">
        <f t="shared" ref="D517:F517" si="264">IF( $F15 = "Eligible", D513, 0 )</f>
        <v>0</v>
      </c>
      <c r="E517" s="63">
        <f t="shared" si="264"/>
        <v>0</v>
      </c>
      <c r="F517" s="63">
        <f t="shared" si="264"/>
        <v>0</v>
      </c>
      <c r="G517" s="63">
        <f>IF( $F15 = "Eligible", G513, 0 )</f>
        <v>0</v>
      </c>
      <c r="H517" s="63">
        <f t="shared" ref="H517:J517" si="265">IF( $F15 = "Eligible", H513, 0 )</f>
        <v>0</v>
      </c>
      <c r="I517" s="63">
        <f t="shared" si="265"/>
        <v>0</v>
      </c>
      <c r="J517" s="63">
        <f t="shared" si="265"/>
        <v>0</v>
      </c>
      <c r="K517" s="63">
        <f t="shared" ref="K517" si="266">IF( $F15 = "Eligible", K513, 0 )</f>
        <v>0</v>
      </c>
      <c r="L517" s="63">
        <f t="shared" ref="L517" si="267">IF( $F15 = "Eligible", L513, 0 )</f>
        <v>0</v>
      </c>
    </row>
    <row r="518" spans="1:12" x14ac:dyDescent="0.25">
      <c r="B518" s="89" t="s">
        <v>38</v>
      </c>
      <c r="C518" s="88"/>
      <c r="D518" s="46">
        <f t="shared" ref="D518:I518" si="268">SUM(D516:D517)</f>
        <v>0</v>
      </c>
      <c r="E518" s="47">
        <f t="shared" si="268"/>
        <v>0</v>
      </c>
      <c r="F518" s="47">
        <f t="shared" si="268"/>
        <v>0</v>
      </c>
      <c r="G518" s="47">
        <f t="shared" si="268"/>
        <v>0</v>
      </c>
      <c r="H518" s="47">
        <f t="shared" si="268"/>
        <v>0</v>
      </c>
      <c r="I518" s="47">
        <f t="shared" si="268"/>
        <v>0</v>
      </c>
      <c r="J518" s="47">
        <f t="shared" ref="J518:K518" si="269">SUM(J516:J517)</f>
        <v>0</v>
      </c>
      <c r="K518" s="47">
        <f t="shared" si="269"/>
        <v>0</v>
      </c>
      <c r="L518" s="47">
        <f t="shared" ref="L518" si="270">SUM(L516:L517)</f>
        <v>0</v>
      </c>
    </row>
    <row r="519" spans="1:12" x14ac:dyDescent="0.25">
      <c r="B519" s="36"/>
      <c r="C519" s="36"/>
      <c r="D519" s="45"/>
      <c r="E519" s="37"/>
      <c r="F519" s="37"/>
      <c r="G519" s="37"/>
      <c r="H519" s="37"/>
      <c r="I519" s="37"/>
      <c r="J519" s="37"/>
      <c r="K519" s="37"/>
      <c r="L519" s="37"/>
    </row>
    <row r="520" spans="1:12" ht="18.75" x14ac:dyDescent="0.3">
      <c r="A520" s="48" t="s">
        <v>36</v>
      </c>
      <c r="C520" s="36"/>
      <c r="D520" s="2">
        <f>D509</f>
        <v>2013</v>
      </c>
      <c r="E520" s="2">
        <f t="shared" ref="E520:J520" si="271">D520+1</f>
        <v>2014</v>
      </c>
      <c r="F520" s="2">
        <f t="shared" si="271"/>
        <v>2015</v>
      </c>
      <c r="G520" s="2">
        <f t="shared" si="271"/>
        <v>2016</v>
      </c>
      <c r="H520" s="2">
        <f t="shared" si="271"/>
        <v>2017</v>
      </c>
      <c r="I520" s="2">
        <f t="shared" si="271"/>
        <v>2018</v>
      </c>
      <c r="J520" s="2">
        <f t="shared" si="271"/>
        <v>2019</v>
      </c>
      <c r="K520" s="2">
        <f>J520+1</f>
        <v>2020</v>
      </c>
      <c r="L520" s="2">
        <f>K520+1</f>
        <v>2021</v>
      </c>
    </row>
    <row r="521" spans="1:12" x14ac:dyDescent="0.25">
      <c r="B521" s="90" t="s">
        <v>40</v>
      </c>
      <c r="C521" s="80"/>
      <c r="D521" s="98">
        <v>0</v>
      </c>
      <c r="E521" s="99">
        <v>0</v>
      </c>
      <c r="F521" s="100">
        <v>0</v>
      </c>
      <c r="G521" s="100">
        <v>0</v>
      </c>
      <c r="H521" s="100">
        <v>0</v>
      </c>
      <c r="I521" s="100">
        <v>0</v>
      </c>
      <c r="J521" s="100">
        <v>0</v>
      </c>
      <c r="K521" s="100">
        <v>0</v>
      </c>
      <c r="L521" s="100">
        <v>0</v>
      </c>
    </row>
    <row r="522" spans="1:12" x14ac:dyDescent="0.25">
      <c r="B522" s="91" t="s">
        <v>30</v>
      </c>
      <c r="C522" s="92"/>
      <c r="D522" s="101">
        <v>0</v>
      </c>
      <c r="E522" s="102">
        <v>0</v>
      </c>
      <c r="F522" s="103">
        <v>0</v>
      </c>
      <c r="G522" s="103">
        <v>0</v>
      </c>
      <c r="H522" s="103">
        <v>0</v>
      </c>
      <c r="I522" s="103">
        <v>0</v>
      </c>
      <c r="J522" s="103">
        <v>0</v>
      </c>
      <c r="K522" s="103">
        <v>0</v>
      </c>
      <c r="L522" s="103">
        <v>0</v>
      </c>
    </row>
    <row r="523" spans="1:12" x14ac:dyDescent="0.25">
      <c r="B523" s="104" t="s">
        <v>42</v>
      </c>
      <c r="C523" s="96"/>
      <c r="D523" s="67"/>
      <c r="E523" s="68"/>
      <c r="F523" s="69"/>
      <c r="G523" s="69">
        <v>0</v>
      </c>
      <c r="H523" s="69">
        <v>0</v>
      </c>
      <c r="I523" s="69">
        <v>0</v>
      </c>
      <c r="J523" s="69">
        <v>0</v>
      </c>
      <c r="K523" s="69">
        <v>0</v>
      </c>
      <c r="L523" s="69">
        <v>0</v>
      </c>
    </row>
    <row r="524" spans="1:12" x14ac:dyDescent="0.25">
      <c r="B524" s="39" t="s">
        <v>43</v>
      </c>
      <c r="D524" s="7">
        <f t="shared" ref="D524:I524" si="272">SUM(D521:D523)</f>
        <v>0</v>
      </c>
      <c r="E524" s="7">
        <f t="shared" si="272"/>
        <v>0</v>
      </c>
      <c r="F524" s="7">
        <f t="shared" si="272"/>
        <v>0</v>
      </c>
      <c r="G524" s="7">
        <f t="shared" si="272"/>
        <v>0</v>
      </c>
      <c r="H524" s="7">
        <f t="shared" si="272"/>
        <v>0</v>
      </c>
      <c r="I524" s="7">
        <f t="shared" si="272"/>
        <v>0</v>
      </c>
      <c r="J524" s="7">
        <f t="shared" ref="J524:K524" si="273">SUM(J521:J523)</f>
        <v>0</v>
      </c>
      <c r="K524" s="7">
        <f t="shared" si="273"/>
        <v>0</v>
      </c>
      <c r="L524" s="7">
        <f t="shared" ref="L524" si="274">SUM(L521:L523)</f>
        <v>0</v>
      </c>
    </row>
    <row r="525" spans="1:12" x14ac:dyDescent="0.25">
      <c r="B525" s="6"/>
      <c r="D525" s="7"/>
      <c r="E525" s="7"/>
      <c r="F525" s="7"/>
      <c r="G525" s="7"/>
      <c r="H525" s="7"/>
      <c r="I525" s="7"/>
      <c r="J525" s="7"/>
      <c r="K525" s="7"/>
      <c r="L525" s="7"/>
    </row>
    <row r="526" spans="1:12" ht="18.75" x14ac:dyDescent="0.3">
      <c r="A526" s="9" t="s">
        <v>44</v>
      </c>
      <c r="D526" s="2">
        <f>D509</f>
        <v>2013</v>
      </c>
      <c r="E526" s="2">
        <f t="shared" ref="E526:J526" si="275">D526+1</f>
        <v>2014</v>
      </c>
      <c r="F526" s="2">
        <f t="shared" si="275"/>
        <v>2015</v>
      </c>
      <c r="G526" s="2">
        <f t="shared" si="275"/>
        <v>2016</v>
      </c>
      <c r="H526" s="2">
        <f t="shared" si="275"/>
        <v>2017</v>
      </c>
      <c r="I526" s="2">
        <f t="shared" si="275"/>
        <v>2018</v>
      </c>
      <c r="J526" s="2">
        <f t="shared" si="275"/>
        <v>2019</v>
      </c>
      <c r="K526" s="2">
        <f>J526+1</f>
        <v>2020</v>
      </c>
      <c r="L526" s="2">
        <f>K526+1</f>
        <v>2021</v>
      </c>
    </row>
    <row r="527" spans="1:12" x14ac:dyDescent="0.25">
      <c r="B527" s="90" t="str">
        <f xml:space="preserve"> 'Facility Detail'!$B$756 &amp; " Surplus Applied to " &amp; ( 'Facility Detail'!$B$756 + 1 )</f>
        <v>2013 Surplus Applied to 2014</v>
      </c>
      <c r="C527" s="80"/>
      <c r="D527" s="3"/>
      <c r="E527" s="70">
        <f>D527</f>
        <v>0</v>
      </c>
      <c r="F527" s="143"/>
      <c r="G527" s="72"/>
      <c r="H527" s="72"/>
      <c r="I527" s="72"/>
      <c r="J527" s="72"/>
      <c r="K527" s="72"/>
      <c r="L527" s="72"/>
    </row>
    <row r="528" spans="1:12" x14ac:dyDescent="0.25">
      <c r="B528" s="90" t="str">
        <f xml:space="preserve"> ( 'Facility Detail'!$B$756 + 1 ) &amp; " Surplus Applied to " &amp; ( 'Facility Detail'!$B$756 )</f>
        <v>2014 Surplus Applied to 2013</v>
      </c>
      <c r="C528" s="80"/>
      <c r="D528" s="144">
        <f>E528</f>
        <v>0</v>
      </c>
      <c r="E528" s="10"/>
      <c r="F528" s="84"/>
      <c r="G528" s="83"/>
      <c r="H528" s="83"/>
      <c r="I528" s="83"/>
      <c r="J528" s="83"/>
      <c r="K528" s="83"/>
      <c r="L528" s="83"/>
    </row>
    <row r="529" spans="1:13" x14ac:dyDescent="0.25">
      <c r="B529" s="90" t="str">
        <f xml:space="preserve"> ( 'Facility Detail'!$B$756 + 1 ) &amp; " Surplus Applied to " &amp; ( 'Facility Detail'!$B$756 + 2 )</f>
        <v>2014 Surplus Applied to 2015</v>
      </c>
      <c r="C529" s="80"/>
      <c r="D529" s="73"/>
      <c r="E529" s="10"/>
      <c r="F529" s="79">
        <f>E529</f>
        <v>0</v>
      </c>
      <c r="G529" s="83"/>
      <c r="H529" s="83"/>
      <c r="I529" s="83"/>
      <c r="J529" s="83"/>
      <c r="K529" s="83"/>
      <c r="L529" s="83"/>
    </row>
    <row r="530" spans="1:13" x14ac:dyDescent="0.25">
      <c r="B530" s="90" t="str">
        <f xml:space="preserve"> ( 'Facility Detail'!$B$756 + 2 ) &amp; " Surplus Applied to " &amp; ( 'Facility Detail'!$B$756 + 1 )</f>
        <v>2015 Surplus Applied to 2014</v>
      </c>
      <c r="C530" s="80"/>
      <c r="D530" s="73"/>
      <c r="E530" s="79">
        <f>F530</f>
        <v>0</v>
      </c>
      <c r="F530" s="10"/>
      <c r="G530" s="83"/>
      <c r="H530" s="83"/>
      <c r="I530" s="83"/>
      <c r="J530" s="83"/>
      <c r="K530" s="83"/>
      <c r="L530" s="83"/>
    </row>
    <row r="531" spans="1:13" x14ac:dyDescent="0.25">
      <c r="B531" s="90" t="str">
        <f xml:space="preserve"> ( 'Facility Detail'!$B$756 + 2 ) &amp; " Surplus Applied to " &amp; ( 'Facility Detail'!$B$756 + 3 )</f>
        <v>2015 Surplus Applied to 2016</v>
      </c>
      <c r="C531" s="36"/>
      <c r="D531" s="73"/>
      <c r="E531" s="84"/>
      <c r="F531" s="10"/>
      <c r="G531" s="145">
        <f>F531</f>
        <v>0</v>
      </c>
      <c r="H531" s="145">
        <f>G531</f>
        <v>0</v>
      </c>
      <c r="I531" s="145">
        <f>H531</f>
        <v>0</v>
      </c>
      <c r="J531" s="145">
        <f>I531</f>
        <v>0</v>
      </c>
      <c r="K531" s="145"/>
      <c r="L531" s="145"/>
    </row>
    <row r="532" spans="1:13" x14ac:dyDescent="0.25">
      <c r="B532" s="90" t="str">
        <f xml:space="preserve"> ( 'Facility Detail'!$B$756 +3 ) &amp; " Surplus Applied to " &amp; ( 'Facility Detail'!$B$756 + 2 )</f>
        <v>2016 Surplus Applied to 2015</v>
      </c>
      <c r="C532" s="36"/>
      <c r="D532" s="74"/>
      <c r="E532" s="85"/>
      <c r="F532" s="71">
        <f>G532</f>
        <v>0</v>
      </c>
      <c r="G532" s="146"/>
      <c r="H532" s="146"/>
      <c r="I532" s="146"/>
      <c r="J532" s="146"/>
      <c r="K532" s="146"/>
      <c r="L532" s="146"/>
    </row>
    <row r="533" spans="1:13" x14ac:dyDescent="0.25">
      <c r="B533" s="90" t="str">
        <f xml:space="preserve"> ( 'Facility Detail'!$B$756 +3 ) &amp; " Surplus Applied to " &amp; ( 'Facility Detail'!$B$756 + 4 )</f>
        <v>2016 Surplus Applied to 2017</v>
      </c>
      <c r="C533" s="36"/>
      <c r="D533" s="149"/>
      <c r="E533" s="149"/>
      <c r="F533" s="23"/>
      <c r="G533" s="150"/>
      <c r="H533" s="150"/>
      <c r="I533" s="150"/>
      <c r="J533" s="150"/>
      <c r="K533" s="150"/>
      <c r="L533" s="150"/>
    </row>
    <row r="534" spans="1:13" x14ac:dyDescent="0.25">
      <c r="B534" s="39" t="s">
        <v>26</v>
      </c>
      <c r="D534" s="7">
        <f xml:space="preserve"> D528 - D527</f>
        <v>0</v>
      </c>
      <c r="E534" s="7">
        <f xml:space="preserve"> E527 + E530 - E529 - E528</f>
        <v>0</v>
      </c>
      <c r="F534" s="7">
        <f>F529+F532-F530-F531</f>
        <v>0</v>
      </c>
      <c r="G534" s="7">
        <f t="shared" ref="G534:L534" si="276">G531-G532</f>
        <v>0</v>
      </c>
      <c r="H534" s="7">
        <f t="shared" si="276"/>
        <v>0</v>
      </c>
      <c r="I534" s="7">
        <f t="shared" si="276"/>
        <v>0</v>
      </c>
      <c r="J534" s="7">
        <f t="shared" si="276"/>
        <v>0</v>
      </c>
      <c r="K534" s="7">
        <f t="shared" si="276"/>
        <v>0</v>
      </c>
      <c r="L534" s="7">
        <f t="shared" si="276"/>
        <v>0</v>
      </c>
    </row>
    <row r="535" spans="1:13" x14ac:dyDescent="0.25">
      <c r="B535" s="6"/>
      <c r="D535" s="7"/>
      <c r="E535" s="7"/>
      <c r="F535" s="7"/>
      <c r="G535" s="7"/>
      <c r="H535" s="7"/>
      <c r="I535" s="7"/>
      <c r="J535" s="7"/>
      <c r="K535" s="7"/>
      <c r="L535" s="7"/>
    </row>
    <row r="536" spans="1:13" x14ac:dyDescent="0.25">
      <c r="B536" s="97" t="s">
        <v>22</v>
      </c>
      <c r="C536" s="80"/>
      <c r="D536" s="111"/>
      <c r="E536" s="112"/>
      <c r="F536" s="113"/>
      <c r="G536" s="113"/>
      <c r="H536" s="113"/>
      <c r="I536" s="113"/>
      <c r="J536" s="113"/>
      <c r="K536" s="113"/>
      <c r="L536" s="113"/>
    </row>
    <row r="537" spans="1:13" x14ac:dyDescent="0.25">
      <c r="B537" s="6"/>
      <c r="D537" s="7"/>
      <c r="E537" s="7"/>
      <c r="F537" s="7"/>
      <c r="G537" s="7"/>
      <c r="H537" s="7"/>
      <c r="I537" s="7"/>
      <c r="J537" s="7"/>
      <c r="K537" s="7"/>
      <c r="L537" s="7"/>
    </row>
    <row r="538" spans="1:13" ht="15.75" x14ac:dyDescent="0.25">
      <c r="A538" s="93" t="s">
        <v>34</v>
      </c>
      <c r="C538" s="80"/>
      <c r="D538" s="52">
        <f t="shared" ref="D538:I538" si="277" xml:space="preserve"> D513 + D518 + D524 + D534 + D536</f>
        <v>0</v>
      </c>
      <c r="E538" s="53">
        <f t="shared" si="277"/>
        <v>0</v>
      </c>
      <c r="F538" s="54">
        <f t="shared" si="277"/>
        <v>0</v>
      </c>
      <c r="G538" s="54">
        <f t="shared" si="277"/>
        <v>0</v>
      </c>
      <c r="H538" s="54">
        <f t="shared" si="277"/>
        <v>13146</v>
      </c>
      <c r="I538" s="54">
        <f t="shared" si="277"/>
        <v>13146</v>
      </c>
      <c r="J538" s="54">
        <f t="shared" ref="J538:K538" si="278" xml:space="preserve"> J513 + J518 + J524 + J534 + J536</f>
        <v>1830</v>
      </c>
      <c r="K538" s="54">
        <f t="shared" si="278"/>
        <v>2473</v>
      </c>
      <c r="L538" s="54">
        <f t="shared" ref="L538" si="279" xml:space="preserve"> L513 + L518 + L524 + L534 + L536</f>
        <v>2473</v>
      </c>
    </row>
    <row r="539" spans="1:13" x14ac:dyDescent="0.25">
      <c r="B539" s="6"/>
      <c r="D539" s="7"/>
      <c r="E539" s="7"/>
      <c r="F539" s="7"/>
      <c r="G539" s="34"/>
      <c r="H539" s="34"/>
      <c r="I539" s="34"/>
      <c r="J539" s="34"/>
      <c r="K539" s="34"/>
      <c r="L539" s="34"/>
    </row>
    <row r="540" spans="1:13" ht="57" customHeight="1" x14ac:dyDescent="0.25">
      <c r="A540" s="197" t="s">
        <v>104</v>
      </c>
      <c r="B540" s="197"/>
      <c r="C540" s="197"/>
      <c r="D540" s="197"/>
      <c r="E540" s="197"/>
      <c r="F540" s="197"/>
      <c r="G540" s="197"/>
      <c r="H540" s="197"/>
      <c r="I540" s="197"/>
      <c r="J540" s="34"/>
      <c r="K540" s="34"/>
      <c r="L540" s="34"/>
    </row>
    <row r="541" spans="1:13" ht="15.75" customHeight="1" thickBot="1" x14ac:dyDescent="0.3">
      <c r="G541" s="152"/>
      <c r="H541" s="152"/>
      <c r="I541" s="152"/>
      <c r="J541" s="160"/>
      <c r="K541" s="178"/>
      <c r="L541" s="179"/>
      <c r="M541" s="152"/>
    </row>
    <row r="542" spans="1:13" x14ac:dyDescent="0.25">
      <c r="A542" s="8"/>
      <c r="B542" s="8"/>
      <c r="C542" s="8"/>
      <c r="D542" s="8"/>
      <c r="E542" s="8"/>
      <c r="F542" s="8"/>
      <c r="G542" s="8"/>
      <c r="H542" s="8"/>
      <c r="I542" s="8"/>
      <c r="J542" s="8"/>
      <c r="K542" s="8"/>
      <c r="L542" s="8"/>
    </row>
    <row r="543" spans="1:13" ht="21" x14ac:dyDescent="0.35">
      <c r="A543" s="16" t="s">
        <v>4</v>
      </c>
      <c r="B543" s="16"/>
      <c r="C543" s="49" t="str">
        <f>B16</f>
        <v>Kettle Falls</v>
      </c>
      <c r="D543" s="50"/>
      <c r="E543" s="22"/>
      <c r="F543" s="22"/>
    </row>
    <row r="545" spans="1:12" ht="18.75" x14ac:dyDescent="0.3">
      <c r="A545" s="9" t="s">
        <v>86</v>
      </c>
      <c r="B545" s="9"/>
      <c r="D545" s="2">
        <v>2013</v>
      </c>
      <c r="E545" s="2">
        <f t="shared" ref="E545:J545" si="280">D545+1</f>
        <v>2014</v>
      </c>
      <c r="F545" s="2">
        <f t="shared" si="280"/>
        <v>2015</v>
      </c>
      <c r="G545" s="2">
        <f t="shared" si="280"/>
        <v>2016</v>
      </c>
      <c r="H545" s="2">
        <f t="shared" si="280"/>
        <v>2017</v>
      </c>
      <c r="I545" s="2">
        <f t="shared" si="280"/>
        <v>2018</v>
      </c>
      <c r="J545" s="2">
        <f t="shared" si="280"/>
        <v>2019</v>
      </c>
      <c r="K545" s="2">
        <f>J545+1</f>
        <v>2020</v>
      </c>
      <c r="L545" s="2">
        <f>K545+1</f>
        <v>2021</v>
      </c>
    </row>
    <row r="546" spans="1:12" x14ac:dyDescent="0.25">
      <c r="B546" s="90" t="str">
        <f>"Total MWh Produced / Purchased from " &amp; C543</f>
        <v>Total MWh Produced / Purchased from Kettle Falls</v>
      </c>
      <c r="C546" s="80"/>
      <c r="D546" s="3">
        <v>0</v>
      </c>
      <c r="E546" s="4">
        <v>0</v>
      </c>
      <c r="F546" s="5">
        <v>0</v>
      </c>
      <c r="G546" s="5">
        <v>323869</v>
      </c>
      <c r="H546" s="5">
        <v>274839</v>
      </c>
      <c r="I546" s="5">
        <v>313230</v>
      </c>
      <c r="J546" s="5">
        <v>315991</v>
      </c>
      <c r="K546" s="5">
        <v>307449</v>
      </c>
      <c r="L546" s="5">
        <v>307449</v>
      </c>
    </row>
    <row r="547" spans="1:12" x14ac:dyDescent="0.25">
      <c r="B547" s="90" t="s">
        <v>33</v>
      </c>
      <c r="C547" s="80"/>
      <c r="D547" s="64">
        <v>1</v>
      </c>
      <c r="E547" s="65">
        <v>1</v>
      </c>
      <c r="F547" s="66">
        <v>1</v>
      </c>
      <c r="G547" s="66">
        <v>1</v>
      </c>
      <c r="H547" s="66">
        <v>1</v>
      </c>
      <c r="I547" s="66">
        <v>1</v>
      </c>
      <c r="J547" s="66">
        <v>1</v>
      </c>
      <c r="K547" s="66">
        <v>1</v>
      </c>
      <c r="L547" s="66">
        <v>1</v>
      </c>
    </row>
    <row r="548" spans="1:12" x14ac:dyDescent="0.25">
      <c r="B548" s="90" t="s">
        <v>27</v>
      </c>
      <c r="C548" s="80"/>
      <c r="D548" s="57">
        <v>1</v>
      </c>
      <c r="E548" s="58">
        <v>1</v>
      </c>
      <c r="F548" s="59">
        <v>1</v>
      </c>
      <c r="G548" s="59">
        <v>1</v>
      </c>
      <c r="H548" s="59">
        <v>1</v>
      </c>
      <c r="I548" s="59">
        <v>1</v>
      </c>
      <c r="J548" s="59">
        <v>1</v>
      </c>
      <c r="K548" s="59">
        <v>1</v>
      </c>
      <c r="L548" s="59">
        <v>1</v>
      </c>
    </row>
    <row r="549" spans="1:12" x14ac:dyDescent="0.25">
      <c r="B549" s="87" t="s">
        <v>29</v>
      </c>
      <c r="C549" s="88"/>
      <c r="D549" s="44">
        <f t="shared" ref="D549:I549" si="281" xml:space="preserve"> D546 * D547 * D548</f>
        <v>0</v>
      </c>
      <c r="E549" s="44">
        <f t="shared" si="281"/>
        <v>0</v>
      </c>
      <c r="F549" s="44">
        <f t="shared" si="281"/>
        <v>0</v>
      </c>
      <c r="G549" s="44">
        <f t="shared" si="281"/>
        <v>323869</v>
      </c>
      <c r="H549" s="44">
        <f t="shared" si="281"/>
        <v>274839</v>
      </c>
      <c r="I549" s="44">
        <f t="shared" si="281"/>
        <v>313230</v>
      </c>
      <c r="J549" s="44">
        <f t="shared" ref="J549:K549" si="282" xml:space="preserve"> J546 * J547 * J548</f>
        <v>315991</v>
      </c>
      <c r="K549" s="44">
        <f t="shared" si="282"/>
        <v>307449</v>
      </c>
      <c r="L549" s="44">
        <f t="shared" ref="L549" si="283" xml:space="preserve"> L546 * L547 * L548</f>
        <v>307449</v>
      </c>
    </row>
    <row r="550" spans="1:12" x14ac:dyDescent="0.25">
      <c r="B550" s="22"/>
      <c r="C550" s="36"/>
      <c r="D550" s="43"/>
      <c r="E550" s="43"/>
      <c r="F550" s="43"/>
      <c r="G550" s="43"/>
      <c r="H550" s="43"/>
      <c r="I550" s="43"/>
      <c r="J550" s="43"/>
      <c r="K550" s="43"/>
      <c r="L550" s="43"/>
    </row>
    <row r="551" spans="1:12" ht="18.75" x14ac:dyDescent="0.3">
      <c r="A551" s="51" t="s">
        <v>31</v>
      </c>
      <c r="C551" s="36"/>
      <c r="D551" s="2">
        <f>D545</f>
        <v>2013</v>
      </c>
      <c r="E551" s="2">
        <f t="shared" ref="E551:J551" si="284">D551+1</f>
        <v>2014</v>
      </c>
      <c r="F551" s="2">
        <f t="shared" si="284"/>
        <v>2015</v>
      </c>
      <c r="G551" s="2">
        <f t="shared" si="284"/>
        <v>2016</v>
      </c>
      <c r="H551" s="2">
        <f t="shared" si="284"/>
        <v>2017</v>
      </c>
      <c r="I551" s="2">
        <f t="shared" si="284"/>
        <v>2018</v>
      </c>
      <c r="J551" s="2">
        <f t="shared" si="284"/>
        <v>2019</v>
      </c>
      <c r="K551" s="2">
        <f>J551+1</f>
        <v>2020</v>
      </c>
      <c r="L551" s="2">
        <f>K551+1</f>
        <v>2021</v>
      </c>
    </row>
    <row r="552" spans="1:12" x14ac:dyDescent="0.25">
      <c r="B552" s="90" t="s">
        <v>20</v>
      </c>
      <c r="C552" s="80"/>
      <c r="D552" s="60">
        <f>IF( $E154 = "Eligible", D549 * 'Facility Detail'!$B$753, 0 )</f>
        <v>0</v>
      </c>
      <c r="E552" s="60">
        <f>IF( $E154 = "Eligible", E549 * 'Facility Detail'!$B$753, 0 )</f>
        <v>0</v>
      </c>
      <c r="F552" s="60">
        <f>IF( $E154 = "Eligible", F549 * 'Facility Detail'!$B$753, 0 )</f>
        <v>0</v>
      </c>
      <c r="G552" s="60">
        <f>IF( $E154 = "Eligible", G549 * 'Facility Detail'!$B$753, 0 )</f>
        <v>0</v>
      </c>
      <c r="H552" s="60">
        <f>IF( $E154 = "Eligible", H549 * 'Facility Detail'!$B$753, 0 )</f>
        <v>0</v>
      </c>
      <c r="I552" s="60">
        <f>IF( $E154 = "Eligible", I549 * 'Facility Detail'!$B$753, 0 )</f>
        <v>0</v>
      </c>
      <c r="J552" s="60">
        <f>IF( $E154 = "Eligible", J549 * 'Facility Detail'!$B$753, 0 )</f>
        <v>0</v>
      </c>
      <c r="K552" s="60">
        <f>IF( $E154 = "Eligible", K549 * 'Facility Detail'!$B$753, 0 )</f>
        <v>0</v>
      </c>
      <c r="L552" s="60">
        <f>IF( $E154 = "Eligible", L549 * 'Facility Detail'!$B$753, 0 )</f>
        <v>0</v>
      </c>
    </row>
    <row r="553" spans="1:12" x14ac:dyDescent="0.25">
      <c r="B553" s="90" t="s">
        <v>6</v>
      </c>
      <c r="C553" s="80"/>
      <c r="D553" s="61">
        <f t="shared" ref="D553:J553" si="285">IF( $F16 = "Eligible", D549, 0 )</f>
        <v>0</v>
      </c>
      <c r="E553" s="62">
        <f t="shared" si="285"/>
        <v>0</v>
      </c>
      <c r="F553" s="63">
        <f t="shared" si="285"/>
        <v>0</v>
      </c>
      <c r="G553" s="63">
        <f t="shared" si="285"/>
        <v>0</v>
      </c>
      <c r="H553" s="63">
        <f t="shared" si="285"/>
        <v>0</v>
      </c>
      <c r="I553" s="63">
        <f t="shared" si="285"/>
        <v>0</v>
      </c>
      <c r="J553" s="63">
        <f t="shared" si="285"/>
        <v>0</v>
      </c>
      <c r="K553" s="63">
        <f t="shared" ref="K553" si="286">IF( $F16 = "Eligible", K549, 0 )</f>
        <v>0</v>
      </c>
      <c r="L553" s="63">
        <f t="shared" ref="L553" si="287">IF( $F16 = "Eligible", L549, 0 )</f>
        <v>0</v>
      </c>
    </row>
    <row r="554" spans="1:12" x14ac:dyDescent="0.25">
      <c r="B554" s="89" t="s">
        <v>38</v>
      </c>
      <c r="C554" s="88"/>
      <c r="D554" s="46">
        <f t="shared" ref="D554:I554" si="288">SUM(D552:D553)</f>
        <v>0</v>
      </c>
      <c r="E554" s="47">
        <f t="shared" si="288"/>
        <v>0</v>
      </c>
      <c r="F554" s="47">
        <f t="shared" si="288"/>
        <v>0</v>
      </c>
      <c r="G554" s="47">
        <f t="shared" si="288"/>
        <v>0</v>
      </c>
      <c r="H554" s="47">
        <f t="shared" si="288"/>
        <v>0</v>
      </c>
      <c r="I554" s="47">
        <f t="shared" si="288"/>
        <v>0</v>
      </c>
      <c r="J554" s="47">
        <f t="shared" ref="J554:K554" si="289">SUM(J552:J553)</f>
        <v>0</v>
      </c>
      <c r="K554" s="47">
        <f t="shared" si="289"/>
        <v>0</v>
      </c>
      <c r="L554" s="47">
        <f t="shared" ref="L554" si="290">SUM(L552:L553)</f>
        <v>0</v>
      </c>
    </row>
    <row r="555" spans="1:12" x14ac:dyDescent="0.25">
      <c r="B555" s="36"/>
      <c r="C555" s="36"/>
      <c r="D555" s="45"/>
      <c r="E555" s="37"/>
      <c r="F555" s="37"/>
      <c r="G555" s="37"/>
      <c r="H555" s="37"/>
      <c r="I555" s="37"/>
      <c r="J555" s="37"/>
      <c r="K555" s="37"/>
      <c r="L555" s="37"/>
    </row>
    <row r="556" spans="1:12" ht="18.75" x14ac:dyDescent="0.3">
      <c r="A556" s="48" t="s">
        <v>36</v>
      </c>
      <c r="C556" s="36"/>
      <c r="D556" s="2">
        <f>D545</f>
        <v>2013</v>
      </c>
      <c r="E556" s="2">
        <f t="shared" ref="E556:J556" si="291">D556+1</f>
        <v>2014</v>
      </c>
      <c r="F556" s="2">
        <f t="shared" si="291"/>
        <v>2015</v>
      </c>
      <c r="G556" s="2">
        <f t="shared" si="291"/>
        <v>2016</v>
      </c>
      <c r="H556" s="2">
        <f t="shared" si="291"/>
        <v>2017</v>
      </c>
      <c r="I556" s="2">
        <f t="shared" si="291"/>
        <v>2018</v>
      </c>
      <c r="J556" s="2">
        <f t="shared" si="291"/>
        <v>2019</v>
      </c>
      <c r="K556" s="2">
        <f>J556+1</f>
        <v>2020</v>
      </c>
      <c r="L556" s="2">
        <f>K556+1</f>
        <v>2021</v>
      </c>
    </row>
    <row r="557" spans="1:12" x14ac:dyDescent="0.25">
      <c r="B557" s="90" t="s">
        <v>101</v>
      </c>
      <c r="C557" s="80"/>
      <c r="D557" s="98">
        <v>0</v>
      </c>
      <c r="E557" s="99">
        <v>0</v>
      </c>
      <c r="F557" s="100">
        <v>0</v>
      </c>
      <c r="G557" s="100">
        <v>-280023</v>
      </c>
      <c r="H557" s="100">
        <v>-169047</v>
      </c>
      <c r="I557" s="100">
        <v>-218596</v>
      </c>
      <c r="J557" s="100">
        <f>-25671-28847-12290</f>
        <v>-66808</v>
      </c>
      <c r="K557" s="100">
        <f>-5000-2522-14097</f>
        <v>-21619</v>
      </c>
      <c r="L557" s="100">
        <v>-14450</v>
      </c>
    </row>
    <row r="558" spans="1:12" x14ac:dyDescent="0.25">
      <c r="B558" s="91" t="s">
        <v>30</v>
      </c>
      <c r="C558" s="92"/>
      <c r="D558" s="101">
        <v>0</v>
      </c>
      <c r="E558" s="102">
        <v>0</v>
      </c>
      <c r="F558" s="103">
        <v>0</v>
      </c>
      <c r="G558" s="103">
        <v>0</v>
      </c>
      <c r="H558" s="103">
        <v>0</v>
      </c>
      <c r="I558" s="103">
        <v>0</v>
      </c>
      <c r="J558" s="103">
        <v>0</v>
      </c>
      <c r="K558" s="103">
        <v>0</v>
      </c>
      <c r="L558" s="103">
        <v>0</v>
      </c>
    </row>
    <row r="559" spans="1:12" x14ac:dyDescent="0.25">
      <c r="B559" s="104" t="s">
        <v>42</v>
      </c>
      <c r="C559" s="96"/>
      <c r="D559" s="67"/>
      <c r="E559" s="68"/>
      <c r="F559" s="69"/>
      <c r="G559" s="69"/>
      <c r="H559" s="69"/>
      <c r="I559" s="69"/>
      <c r="J559" s="69"/>
      <c r="K559" s="69"/>
      <c r="L559" s="69"/>
    </row>
    <row r="560" spans="1:12" x14ac:dyDescent="0.25">
      <c r="B560" s="39" t="s">
        <v>43</v>
      </c>
      <c r="D560" s="7">
        <f t="shared" ref="D560:I560" si="292">SUM(D557:D559)</f>
        <v>0</v>
      </c>
      <c r="E560" s="7">
        <f t="shared" si="292"/>
        <v>0</v>
      </c>
      <c r="F560" s="7">
        <f t="shared" si="292"/>
        <v>0</v>
      </c>
      <c r="G560" s="7">
        <f t="shared" si="292"/>
        <v>-280023</v>
      </c>
      <c r="H560" s="7">
        <f t="shared" si="292"/>
        <v>-169047</v>
      </c>
      <c r="I560" s="7">
        <f t="shared" si="292"/>
        <v>-218596</v>
      </c>
      <c r="J560" s="7">
        <f t="shared" ref="J560:K560" si="293">SUM(J557:J559)</f>
        <v>-66808</v>
      </c>
      <c r="K560" s="7">
        <f t="shared" si="293"/>
        <v>-21619</v>
      </c>
      <c r="L560" s="7">
        <f t="shared" ref="L560" si="294">SUM(L557:L559)</f>
        <v>-14450</v>
      </c>
    </row>
    <row r="561" spans="1:12" x14ac:dyDescent="0.25">
      <c r="B561" s="6"/>
      <c r="D561" s="7"/>
      <c r="E561" s="7"/>
      <c r="F561" s="7"/>
      <c r="G561" s="7"/>
      <c r="H561" s="7"/>
      <c r="I561" s="7"/>
      <c r="J561" s="7"/>
      <c r="K561" s="7"/>
      <c r="L561" s="7"/>
    </row>
    <row r="562" spans="1:12" ht="18.75" x14ac:dyDescent="0.3">
      <c r="A562" s="9" t="s">
        <v>44</v>
      </c>
      <c r="D562" s="2">
        <f>D545</f>
        <v>2013</v>
      </c>
      <c r="E562" s="2">
        <f t="shared" ref="E562:J562" si="295">D562+1</f>
        <v>2014</v>
      </c>
      <c r="F562" s="2">
        <f t="shared" si="295"/>
        <v>2015</v>
      </c>
      <c r="G562" s="2">
        <f t="shared" si="295"/>
        <v>2016</v>
      </c>
      <c r="H562" s="2">
        <f t="shared" si="295"/>
        <v>2017</v>
      </c>
      <c r="I562" s="2">
        <f t="shared" si="295"/>
        <v>2018</v>
      </c>
      <c r="J562" s="2">
        <f t="shared" si="295"/>
        <v>2019</v>
      </c>
      <c r="K562" s="2">
        <f>J562+1</f>
        <v>2020</v>
      </c>
      <c r="L562" s="2">
        <f>K562+1</f>
        <v>2021</v>
      </c>
    </row>
    <row r="563" spans="1:12" x14ac:dyDescent="0.25">
      <c r="B563" s="90" t="str">
        <f xml:space="preserve"> 'Facility Detail'!$B$756 &amp; " Surplus Applied to " &amp; ( 'Facility Detail'!$B$756 + 1 )</f>
        <v>2013 Surplus Applied to 2014</v>
      </c>
      <c r="C563" s="80"/>
      <c r="D563" s="3"/>
      <c r="E563" s="70">
        <f>D563</f>
        <v>0</v>
      </c>
      <c r="F563" s="143"/>
      <c r="G563" s="72"/>
      <c r="H563" s="72"/>
      <c r="I563" s="72"/>
      <c r="J563" s="72"/>
      <c r="K563" s="72"/>
      <c r="L563" s="72"/>
    </row>
    <row r="564" spans="1:12" x14ac:dyDescent="0.25">
      <c r="B564" s="90" t="str">
        <f xml:space="preserve"> ( 'Facility Detail'!$B$756 + 1 ) &amp; " Surplus Applied to " &amp; ( 'Facility Detail'!$B$756 )</f>
        <v>2014 Surplus Applied to 2013</v>
      </c>
      <c r="C564" s="80"/>
      <c r="D564" s="144">
        <f>E564</f>
        <v>0</v>
      </c>
      <c r="E564" s="10"/>
      <c r="F564" s="84"/>
      <c r="G564" s="83"/>
      <c r="H564" s="83"/>
      <c r="I564" s="83"/>
      <c r="J564" s="83"/>
      <c r="K564" s="83"/>
      <c r="L564" s="83"/>
    </row>
    <row r="565" spans="1:12" x14ac:dyDescent="0.25">
      <c r="B565" s="90" t="str">
        <f xml:space="preserve"> ( 'Facility Detail'!$B$756 + 1 ) &amp; " Surplus Applied to " &amp; ( 'Facility Detail'!$B$756 + 2 )</f>
        <v>2014 Surplus Applied to 2015</v>
      </c>
      <c r="C565" s="80"/>
      <c r="D565" s="73"/>
      <c r="E565" s="10"/>
      <c r="F565" s="79">
        <f>E565</f>
        <v>0</v>
      </c>
      <c r="G565" s="83"/>
      <c r="H565" s="83"/>
      <c r="I565" s="83"/>
      <c r="J565" s="83"/>
      <c r="K565" s="83"/>
      <c r="L565" s="83"/>
    </row>
    <row r="566" spans="1:12" x14ac:dyDescent="0.25">
      <c r="B566" s="90" t="str">
        <f xml:space="preserve"> ( 'Facility Detail'!$B$756 + 2 ) &amp; " Surplus Applied to " &amp; ( 'Facility Detail'!$B$756 + 1 )</f>
        <v>2015 Surplus Applied to 2014</v>
      </c>
      <c r="C566" s="80"/>
      <c r="D566" s="73"/>
      <c r="E566" s="79">
        <f>F566</f>
        <v>0</v>
      </c>
      <c r="F566" s="10"/>
      <c r="G566" s="83"/>
      <c r="H566" s="83"/>
      <c r="I566" s="83"/>
      <c r="J566" s="83"/>
      <c r="K566" s="83"/>
      <c r="L566" s="83"/>
    </row>
    <row r="567" spans="1:12" x14ac:dyDescent="0.25">
      <c r="B567" s="90" t="str">
        <f xml:space="preserve"> ( 'Facility Detail'!$B$756 + 2 ) &amp; " Surplus Applied to " &amp; ( 'Facility Detail'!$B$756 + 3 )</f>
        <v>2015 Surplus Applied to 2016</v>
      </c>
      <c r="C567" s="36"/>
      <c r="D567" s="73"/>
      <c r="E567" s="84"/>
      <c r="F567" s="10"/>
      <c r="G567" s="145">
        <f>F567</f>
        <v>0</v>
      </c>
      <c r="H567" s="83"/>
      <c r="I567" s="83">
        <f>H567</f>
        <v>0</v>
      </c>
      <c r="J567" s="83">
        <f>I567</f>
        <v>0</v>
      </c>
      <c r="K567" s="83"/>
      <c r="L567" s="83"/>
    </row>
    <row r="568" spans="1:12" x14ac:dyDescent="0.25">
      <c r="B568" s="90" t="str">
        <f xml:space="preserve"> ( 'Facility Detail'!$B$756 +3 ) &amp; " Surplus Applied to " &amp; ( 'Facility Detail'!$B$756 + 2 )</f>
        <v>2016 Surplus Applied to 2015</v>
      </c>
      <c r="C568" s="36"/>
      <c r="D568" s="74"/>
      <c r="E568" s="85"/>
      <c r="F568" s="71">
        <f>G568</f>
        <v>0</v>
      </c>
      <c r="G568" s="10"/>
      <c r="H568" s="83"/>
      <c r="I568" s="83"/>
      <c r="J568" s="83"/>
      <c r="K568" s="83"/>
      <c r="L568" s="83"/>
    </row>
    <row r="569" spans="1:12" x14ac:dyDescent="0.25">
      <c r="B569" s="90" t="str">
        <f xml:space="preserve"> ( 'Facility Detail'!$B$756 +3 ) &amp; " Surplus Applied to " &amp; ( 'Facility Detail'!$B$756 + 4 )</f>
        <v>2016 Surplus Applied to 2017</v>
      </c>
      <c r="C569" s="36"/>
      <c r="D569" s="149"/>
      <c r="E569" s="149"/>
      <c r="F569" s="83"/>
      <c r="G569" s="10"/>
      <c r="H569" s="154">
        <f>G569</f>
        <v>0</v>
      </c>
      <c r="I569" s="83"/>
      <c r="J569" s="83"/>
      <c r="K569" s="83"/>
      <c r="L569" s="83"/>
    </row>
    <row r="570" spans="1:12" x14ac:dyDescent="0.25">
      <c r="B570" s="90" t="str">
        <f xml:space="preserve"> ( 'Facility Detail'!$B$756 + 4 ) &amp; " Surplus Applied to " &amp; ( 'Facility Detail'!$B$756 + 3 )</f>
        <v>2017 Surplus Applied to 2016</v>
      </c>
      <c r="C570" s="36"/>
      <c r="D570" s="149"/>
      <c r="E570" s="149"/>
      <c r="F570" s="83"/>
      <c r="G570" s="154">
        <f>H570</f>
        <v>0</v>
      </c>
      <c r="H570" s="10"/>
      <c r="I570" s="83"/>
      <c r="J570" s="83"/>
      <c r="K570" s="83"/>
      <c r="L570" s="83"/>
    </row>
    <row r="571" spans="1:12" x14ac:dyDescent="0.25">
      <c r="B571" s="90" t="str">
        <f xml:space="preserve"> ( 'Facility Detail'!$B$756 + 4 ) &amp; " Surplus Applied to " &amp; ( 'Facility Detail'!$B$756 + 5 )</f>
        <v>2017 Surplus Applied to 2018</v>
      </c>
      <c r="C571" s="36"/>
      <c r="D571" s="149"/>
      <c r="E571" s="149"/>
      <c r="F571" s="83"/>
      <c r="G571" s="83"/>
      <c r="H571" s="10"/>
      <c r="I571" s="154">
        <f>H571</f>
        <v>0</v>
      </c>
      <c r="J571" s="154">
        <f>I571</f>
        <v>0</v>
      </c>
      <c r="K571" s="154"/>
      <c r="L571" s="154"/>
    </row>
    <row r="572" spans="1:12" x14ac:dyDescent="0.25">
      <c r="B572" s="90" t="str">
        <f xml:space="preserve"> ( 'Facility Detail'!$B$756 + 5 ) &amp; " Surplus Applied to " &amp; ( 'Facility Detail'!$B$756 + 4 )</f>
        <v>2018 Surplus Applied to 2017</v>
      </c>
      <c r="C572" s="36"/>
      <c r="D572" s="149"/>
      <c r="E572" s="149"/>
      <c r="F572" s="83"/>
      <c r="G572" s="83"/>
      <c r="H572" s="154">
        <f>I572</f>
        <v>0</v>
      </c>
      <c r="I572" s="10"/>
      <c r="J572" s="10"/>
      <c r="K572" s="10"/>
      <c r="L572" s="10"/>
    </row>
    <row r="573" spans="1:12" x14ac:dyDescent="0.25">
      <c r="B573" s="90" t="str">
        <f xml:space="preserve"> ( 'Facility Detail'!$B$756 + 5 ) &amp; " Surplus Applied to " &amp; ( 'Facility Detail'!$B$756 + 6 )</f>
        <v>2018 Surplus Applied to 2019</v>
      </c>
      <c r="C573" s="36"/>
      <c r="D573" s="149"/>
      <c r="E573" s="149"/>
      <c r="F573" s="83"/>
      <c r="G573" s="83"/>
      <c r="H573" s="83"/>
      <c r="I573" s="10"/>
      <c r="J573" s="10"/>
      <c r="K573" s="10"/>
      <c r="L573" s="10"/>
    </row>
    <row r="574" spans="1:12" x14ac:dyDescent="0.25">
      <c r="B574" s="39" t="s">
        <v>26</v>
      </c>
      <c r="D574" s="7">
        <f xml:space="preserve"> D564 - D563</f>
        <v>0</v>
      </c>
      <c r="E574" s="7">
        <f xml:space="preserve"> E563 + E566 - E565 - E564</f>
        <v>0</v>
      </c>
      <c r="F574" s="7">
        <f>F565+F568-F566-F567</f>
        <v>0</v>
      </c>
      <c r="G574" s="7">
        <f t="shared" ref="G574:L574" si="296">G567-G568</f>
        <v>0</v>
      </c>
      <c r="H574" s="7">
        <f t="shared" si="296"/>
        <v>0</v>
      </c>
      <c r="I574" s="7">
        <f t="shared" si="296"/>
        <v>0</v>
      </c>
      <c r="J574" s="7">
        <f t="shared" si="296"/>
        <v>0</v>
      </c>
      <c r="K574" s="7">
        <f t="shared" si="296"/>
        <v>0</v>
      </c>
      <c r="L574" s="7">
        <f t="shared" si="296"/>
        <v>0</v>
      </c>
    </row>
    <row r="575" spans="1:12" x14ac:dyDescent="0.25">
      <c r="B575" s="6"/>
      <c r="D575" s="7"/>
      <c r="E575" s="7"/>
      <c r="F575" s="7"/>
      <c r="G575" s="7"/>
      <c r="H575" s="7"/>
      <c r="I575" s="7"/>
      <c r="J575" s="7"/>
      <c r="K575" s="7"/>
      <c r="L575" s="7"/>
    </row>
    <row r="576" spans="1:12" x14ac:dyDescent="0.25">
      <c r="B576" s="97" t="s">
        <v>22</v>
      </c>
      <c r="C576" s="80"/>
      <c r="D576" s="111"/>
      <c r="E576" s="112"/>
      <c r="F576" s="113"/>
      <c r="G576" s="113"/>
      <c r="H576" s="113"/>
      <c r="I576" s="113"/>
      <c r="J576" s="113"/>
      <c r="K576" s="113"/>
      <c r="L576" s="113"/>
    </row>
    <row r="577" spans="1:13" x14ac:dyDescent="0.25">
      <c r="B577" s="6"/>
      <c r="D577" s="7"/>
      <c r="E577" s="7"/>
      <c r="F577" s="7"/>
      <c r="G577" s="7"/>
      <c r="H577" s="7"/>
      <c r="I577" s="7"/>
      <c r="J577" s="7"/>
      <c r="K577" s="7"/>
      <c r="L577" s="7"/>
    </row>
    <row r="578" spans="1:13" ht="15.75" x14ac:dyDescent="0.25">
      <c r="A578" s="93" t="s">
        <v>34</v>
      </c>
      <c r="C578" s="80"/>
      <c r="D578" s="52">
        <f t="shared" ref="D578:I578" si="297" xml:space="preserve"> D549 + D554 + D560 + D574 + D576</f>
        <v>0</v>
      </c>
      <c r="E578" s="53">
        <f t="shared" si="297"/>
        <v>0</v>
      </c>
      <c r="F578" s="54">
        <f t="shared" si="297"/>
        <v>0</v>
      </c>
      <c r="G578" s="54">
        <f t="shared" si="297"/>
        <v>43846</v>
      </c>
      <c r="H578" s="54">
        <f t="shared" si="297"/>
        <v>105792</v>
      </c>
      <c r="I578" s="54">
        <f t="shared" si="297"/>
        <v>94634</v>
      </c>
      <c r="J578" s="54">
        <f t="shared" ref="J578:K578" si="298" xml:space="preserve"> J549 + J554 + J560 + J574 + J576</f>
        <v>249183</v>
      </c>
      <c r="K578" s="54">
        <f t="shared" si="298"/>
        <v>285830</v>
      </c>
      <c r="L578" s="54">
        <f t="shared" ref="L578" si="299" xml:space="preserve"> L549 + L554 + L560 + L574 + L576</f>
        <v>292999</v>
      </c>
    </row>
    <row r="579" spans="1:13" x14ac:dyDescent="0.25">
      <c r="B579" s="6"/>
      <c r="D579" s="7"/>
      <c r="E579" s="7"/>
      <c r="F579" s="7"/>
      <c r="G579" s="34"/>
      <c r="H579" s="34"/>
      <c r="I579" s="34"/>
      <c r="J579" s="34"/>
      <c r="K579" s="34"/>
      <c r="L579" s="34"/>
    </row>
    <row r="580" spans="1:13" x14ac:dyDescent="0.25">
      <c r="A580" s="1" t="s">
        <v>99</v>
      </c>
      <c r="B580" s="6"/>
      <c r="D580" s="7"/>
      <c r="E580" s="7"/>
      <c r="F580" s="7"/>
      <c r="G580" s="34"/>
      <c r="H580" s="34"/>
      <c r="I580" s="34"/>
      <c r="J580" s="34"/>
      <c r="K580" s="34"/>
      <c r="L580" s="34"/>
    </row>
    <row r="581" spans="1:13" ht="39.75" customHeight="1" thickBot="1" x14ac:dyDescent="0.3">
      <c r="A581" s="195" t="s">
        <v>125</v>
      </c>
      <c r="B581" s="195"/>
      <c r="C581" s="195"/>
      <c r="D581" s="195"/>
      <c r="E581" s="195"/>
      <c r="F581" s="195"/>
      <c r="G581" s="152"/>
      <c r="H581" s="152"/>
      <c r="I581" s="152"/>
      <c r="J581" s="160"/>
      <c r="K581" s="178"/>
      <c r="L581" s="179"/>
      <c r="M581" s="152"/>
    </row>
    <row r="582" spans="1:13" x14ac:dyDescent="0.25">
      <c r="A582" s="8"/>
      <c r="B582" s="8"/>
      <c r="C582" s="8"/>
      <c r="D582" s="8"/>
      <c r="E582" s="8"/>
      <c r="F582" s="8"/>
      <c r="G582" s="8"/>
      <c r="H582" s="8"/>
      <c r="I582" s="8"/>
      <c r="J582" s="8"/>
      <c r="K582" s="8"/>
      <c r="L582" s="8"/>
    </row>
    <row r="583" spans="1:13" ht="21" x14ac:dyDescent="0.35">
      <c r="A583" s="16" t="s">
        <v>4</v>
      </c>
      <c r="B583" s="16"/>
      <c r="C583" s="49" t="str">
        <f>B17</f>
        <v>Boulder Community Solar</v>
      </c>
      <c r="D583" s="50"/>
      <c r="E583" s="22"/>
      <c r="F583" s="22"/>
    </row>
    <row r="585" spans="1:13" ht="18.75" x14ac:dyDescent="0.3">
      <c r="A585" s="9" t="s">
        <v>86</v>
      </c>
      <c r="B585" s="9"/>
      <c r="D585" s="2">
        <v>2013</v>
      </c>
      <c r="E585" s="2">
        <f t="shared" ref="E585:J585" si="300">D585+1</f>
        <v>2014</v>
      </c>
      <c r="F585" s="2">
        <f t="shared" si="300"/>
        <v>2015</v>
      </c>
      <c r="G585" s="2">
        <f t="shared" si="300"/>
        <v>2016</v>
      </c>
      <c r="H585" s="2">
        <f t="shared" si="300"/>
        <v>2017</v>
      </c>
      <c r="I585" s="2">
        <f t="shared" si="300"/>
        <v>2018</v>
      </c>
      <c r="J585" s="2">
        <f t="shared" si="300"/>
        <v>2019</v>
      </c>
      <c r="K585" s="2">
        <f>J585+1</f>
        <v>2020</v>
      </c>
      <c r="L585" s="2">
        <f>K585+1</f>
        <v>2021</v>
      </c>
    </row>
    <row r="586" spans="1:13" x14ac:dyDescent="0.25">
      <c r="B586" s="90" t="str">
        <f>"Total MWh Produced / Purchased from " &amp; C583</f>
        <v>Total MWh Produced / Purchased from Boulder Community Solar</v>
      </c>
      <c r="C586" s="80"/>
      <c r="D586" s="3">
        <v>0</v>
      </c>
      <c r="E586" s="4">
        <v>0</v>
      </c>
      <c r="F586" s="5">
        <v>128</v>
      </c>
      <c r="G586" s="5">
        <v>554</v>
      </c>
      <c r="H586" s="5">
        <v>523</v>
      </c>
      <c r="I586" s="5">
        <v>504</v>
      </c>
      <c r="J586" s="5">
        <v>556</v>
      </c>
      <c r="K586" s="5">
        <v>485</v>
      </c>
      <c r="L586" s="5">
        <v>485</v>
      </c>
    </row>
    <row r="587" spans="1:13" x14ac:dyDescent="0.25">
      <c r="B587" s="90" t="s">
        <v>33</v>
      </c>
      <c r="C587" s="80"/>
      <c r="D587" s="64">
        <v>1</v>
      </c>
      <c r="E587" s="65">
        <v>1</v>
      </c>
      <c r="F587" s="66">
        <v>1</v>
      </c>
      <c r="G587" s="66">
        <v>1</v>
      </c>
      <c r="H587" s="66">
        <v>1</v>
      </c>
      <c r="I587" s="66">
        <v>1</v>
      </c>
      <c r="J587" s="66">
        <v>1</v>
      </c>
      <c r="K587" s="66">
        <v>1</v>
      </c>
      <c r="L587" s="66">
        <v>1</v>
      </c>
    </row>
    <row r="588" spans="1:13" x14ac:dyDescent="0.25">
      <c r="B588" s="90" t="s">
        <v>27</v>
      </c>
      <c r="C588" s="80"/>
      <c r="D588" s="57">
        <v>1</v>
      </c>
      <c r="E588" s="58">
        <v>1</v>
      </c>
      <c r="F588" s="59">
        <v>1</v>
      </c>
      <c r="G588" s="59">
        <v>1</v>
      </c>
      <c r="H588" s="59">
        <v>1</v>
      </c>
      <c r="I588" s="59">
        <v>1</v>
      </c>
      <c r="J588" s="59">
        <v>1</v>
      </c>
      <c r="K588" s="59">
        <v>1</v>
      </c>
      <c r="L588" s="59">
        <v>1</v>
      </c>
    </row>
    <row r="589" spans="1:13" x14ac:dyDescent="0.25">
      <c r="B589" s="87" t="s">
        <v>29</v>
      </c>
      <c r="C589" s="88"/>
      <c r="D589" s="44">
        <f t="shared" ref="D589:K589" si="301" xml:space="preserve"> D586 * D587 * D588</f>
        <v>0</v>
      </c>
      <c r="E589" s="44">
        <f t="shared" si="301"/>
        <v>0</v>
      </c>
      <c r="F589" s="44">
        <f t="shared" si="301"/>
        <v>128</v>
      </c>
      <c r="G589" s="44">
        <f t="shared" si="301"/>
        <v>554</v>
      </c>
      <c r="H589" s="44">
        <f t="shared" si="301"/>
        <v>523</v>
      </c>
      <c r="I589" s="44">
        <f t="shared" si="301"/>
        <v>504</v>
      </c>
      <c r="J589" s="44">
        <f t="shared" si="301"/>
        <v>556</v>
      </c>
      <c r="K589" s="44">
        <f t="shared" si="301"/>
        <v>485</v>
      </c>
      <c r="L589" s="44">
        <f t="shared" ref="L589" si="302" xml:space="preserve"> L586 * L587 * L588</f>
        <v>485</v>
      </c>
    </row>
    <row r="590" spans="1:13" x14ac:dyDescent="0.25">
      <c r="B590" s="22"/>
      <c r="C590" s="36"/>
      <c r="D590" s="43"/>
      <c r="E590" s="43"/>
      <c r="F590" s="43"/>
      <c r="G590" s="43"/>
      <c r="H590" s="43"/>
      <c r="I590" s="43"/>
      <c r="J590" s="43"/>
      <c r="K590" s="43"/>
      <c r="L590" s="43"/>
    </row>
    <row r="591" spans="1:13" ht="18.75" x14ac:dyDescent="0.3">
      <c r="A591" s="51" t="s">
        <v>31</v>
      </c>
      <c r="C591" s="36"/>
      <c r="D591" s="2">
        <f>D585</f>
        <v>2013</v>
      </c>
      <c r="E591" s="2">
        <f t="shared" ref="E591:J591" si="303">D591+1</f>
        <v>2014</v>
      </c>
      <c r="F591" s="2">
        <f t="shared" si="303"/>
        <v>2015</v>
      </c>
      <c r="G591" s="2">
        <f t="shared" si="303"/>
        <v>2016</v>
      </c>
      <c r="H591" s="2">
        <f t="shared" si="303"/>
        <v>2017</v>
      </c>
      <c r="I591" s="2">
        <f t="shared" si="303"/>
        <v>2018</v>
      </c>
      <c r="J591" s="2">
        <f t="shared" si="303"/>
        <v>2019</v>
      </c>
      <c r="K591" s="2">
        <f>J591+1</f>
        <v>2020</v>
      </c>
      <c r="L591" s="2">
        <f>K591+1</f>
        <v>2021</v>
      </c>
    </row>
    <row r="592" spans="1:13" x14ac:dyDescent="0.25">
      <c r="B592" s="90" t="s">
        <v>20</v>
      </c>
      <c r="C592" s="80"/>
      <c r="D592" s="60">
        <f>IF( $E194 = "Eligible", D589 * 'Facility Detail'!$B$753, 0 )</f>
        <v>0</v>
      </c>
      <c r="E592" s="60">
        <f>IF( $E194 = "Eligible", E589 * 'Facility Detail'!$B$753, 0 )</f>
        <v>0</v>
      </c>
      <c r="F592" s="60">
        <f>IF( $E194 = "Eligible", F589 * 'Facility Detail'!$B$753, 0 )</f>
        <v>0</v>
      </c>
      <c r="G592" s="60">
        <f>IF( $E194 = "Eligible", G589 * 'Facility Detail'!$B$753, 0 )</f>
        <v>0</v>
      </c>
      <c r="H592" s="60">
        <f>IF( $E194 = "Eligible", H589 * 'Facility Detail'!$B$753, 0 )</f>
        <v>0</v>
      </c>
      <c r="I592" s="60">
        <f>IF( $E194 = "Eligible", I589 * 'Facility Detail'!$B$753, 0 )</f>
        <v>0</v>
      </c>
      <c r="J592" s="60">
        <f>IF( $E194 = "Eligible", J589 * 'Facility Detail'!$B$753, 0 )</f>
        <v>0</v>
      </c>
      <c r="K592" s="60">
        <f>IF( $E194 = "Eligible", K589 * 'Facility Detail'!$B$753, 0 )</f>
        <v>0</v>
      </c>
      <c r="L592" s="60">
        <f>IF( $E194 = "Eligible", L589 * 'Facility Detail'!$B$753, 0 )</f>
        <v>0</v>
      </c>
    </row>
    <row r="593" spans="1:12" x14ac:dyDescent="0.25">
      <c r="B593" s="90" t="s">
        <v>6</v>
      </c>
      <c r="C593" s="80"/>
      <c r="D593" s="61">
        <f t="shared" ref="D593:I593" si="304">IF( $F17 = "Eligible", D589, 0 )</f>
        <v>0</v>
      </c>
      <c r="E593" s="62">
        <f t="shared" si="304"/>
        <v>0</v>
      </c>
      <c r="F593" s="63">
        <f t="shared" si="304"/>
        <v>128</v>
      </c>
      <c r="G593" s="63">
        <f t="shared" si="304"/>
        <v>554</v>
      </c>
      <c r="H593" s="63">
        <f t="shared" si="304"/>
        <v>523</v>
      </c>
      <c r="I593" s="63">
        <f t="shared" si="304"/>
        <v>504</v>
      </c>
      <c r="J593" s="63">
        <f>IF( $F17 = "Eligible", J589, 0 )</f>
        <v>556</v>
      </c>
      <c r="K593" s="63">
        <f>IF( $F17 = "Eligible", K589, 0 )</f>
        <v>485</v>
      </c>
      <c r="L593" s="63">
        <f>IF( $F17 = "Eligible", L589, 0 )</f>
        <v>485</v>
      </c>
    </row>
    <row r="594" spans="1:12" x14ac:dyDescent="0.25">
      <c r="B594" s="89" t="s">
        <v>38</v>
      </c>
      <c r="C594" s="88"/>
      <c r="D594" s="46">
        <f t="shared" ref="D594:I594" si="305">SUM(D592:D593)</f>
        <v>0</v>
      </c>
      <c r="E594" s="47">
        <f t="shared" si="305"/>
        <v>0</v>
      </c>
      <c r="F594" s="47">
        <f t="shared" si="305"/>
        <v>128</v>
      </c>
      <c r="G594" s="47">
        <f t="shared" si="305"/>
        <v>554</v>
      </c>
      <c r="H594" s="47">
        <f t="shared" si="305"/>
        <v>523</v>
      </c>
      <c r="I594" s="47">
        <f t="shared" si="305"/>
        <v>504</v>
      </c>
      <c r="J594" s="47">
        <f t="shared" ref="J594:K594" si="306">SUM(J592:J593)</f>
        <v>556</v>
      </c>
      <c r="K594" s="47">
        <f t="shared" si="306"/>
        <v>485</v>
      </c>
      <c r="L594" s="47">
        <f t="shared" ref="L594" si="307">SUM(L592:L593)</f>
        <v>485</v>
      </c>
    </row>
    <row r="595" spans="1:12" x14ac:dyDescent="0.25">
      <c r="B595" s="36"/>
      <c r="C595" s="36"/>
      <c r="D595" s="45"/>
      <c r="E595" s="37"/>
      <c r="F595" s="37"/>
      <c r="G595" s="37"/>
      <c r="H595" s="37"/>
      <c r="I595" s="37"/>
      <c r="J595" s="37"/>
      <c r="K595" s="37"/>
      <c r="L595" s="37"/>
    </row>
    <row r="596" spans="1:12" ht="18.75" x14ac:dyDescent="0.3">
      <c r="A596" s="48" t="s">
        <v>36</v>
      </c>
      <c r="C596" s="36"/>
      <c r="D596" s="2">
        <f>D585</f>
        <v>2013</v>
      </c>
      <c r="E596" s="2">
        <f t="shared" ref="E596:J596" si="308">D596+1</f>
        <v>2014</v>
      </c>
      <c r="F596" s="2">
        <f t="shared" si="308"/>
        <v>2015</v>
      </c>
      <c r="G596" s="2">
        <f t="shared" si="308"/>
        <v>2016</v>
      </c>
      <c r="H596" s="2">
        <f t="shared" si="308"/>
        <v>2017</v>
      </c>
      <c r="I596" s="2">
        <f t="shared" si="308"/>
        <v>2018</v>
      </c>
      <c r="J596" s="2">
        <f t="shared" si="308"/>
        <v>2019</v>
      </c>
      <c r="K596" s="2">
        <f>J596+1</f>
        <v>2020</v>
      </c>
      <c r="L596" s="2">
        <f>K596+1</f>
        <v>2021</v>
      </c>
    </row>
    <row r="597" spans="1:12" x14ac:dyDescent="0.25">
      <c r="B597" s="90" t="s">
        <v>101</v>
      </c>
      <c r="C597" s="80"/>
      <c r="D597" s="98">
        <v>0</v>
      </c>
      <c r="E597" s="99">
        <v>0</v>
      </c>
      <c r="F597" s="100">
        <v>-128</v>
      </c>
      <c r="G597" s="100">
        <v>-554</v>
      </c>
      <c r="H597" s="100">
        <v>-523</v>
      </c>
      <c r="I597" s="100">
        <v>-504</v>
      </c>
      <c r="J597" s="100">
        <v>-556</v>
      </c>
      <c r="K597" s="100">
        <v>-243</v>
      </c>
      <c r="L597" s="100">
        <v>0</v>
      </c>
    </row>
    <row r="598" spans="1:12" x14ac:dyDescent="0.25">
      <c r="B598" s="91" t="s">
        <v>30</v>
      </c>
      <c r="C598" s="92"/>
      <c r="D598" s="101">
        <v>0</v>
      </c>
      <c r="E598" s="102">
        <v>0</v>
      </c>
      <c r="F598" s="103">
        <v>0</v>
      </c>
      <c r="G598" s="103">
        <v>0</v>
      </c>
      <c r="H598" s="103">
        <v>0</v>
      </c>
      <c r="I598" s="103">
        <v>0</v>
      </c>
      <c r="J598" s="103">
        <v>0</v>
      </c>
      <c r="K598" s="103">
        <v>0</v>
      </c>
      <c r="L598" s="103">
        <v>0</v>
      </c>
    </row>
    <row r="599" spans="1:12" x14ac:dyDescent="0.25">
      <c r="B599" s="104" t="s">
        <v>42</v>
      </c>
      <c r="C599" s="96"/>
      <c r="D599" s="67"/>
      <c r="E599" s="68"/>
      <c r="F599" s="69">
        <v>-128</v>
      </c>
      <c r="G599" s="69">
        <v>-554</v>
      </c>
      <c r="H599" s="69">
        <v>-523</v>
      </c>
      <c r="I599" s="69">
        <v>-504</v>
      </c>
      <c r="J599" s="69">
        <v>-556</v>
      </c>
      <c r="K599" s="69">
        <v>-243</v>
      </c>
      <c r="L599" s="69">
        <v>0</v>
      </c>
    </row>
    <row r="600" spans="1:12" x14ac:dyDescent="0.25">
      <c r="B600" s="39" t="s">
        <v>43</v>
      </c>
      <c r="D600" s="7">
        <f t="shared" ref="D600:J600" si="309">SUM(D597:D599)</f>
        <v>0</v>
      </c>
      <c r="E600" s="7">
        <f t="shared" si="309"/>
        <v>0</v>
      </c>
      <c r="F600" s="7">
        <f t="shared" si="309"/>
        <v>-256</v>
      </c>
      <c r="G600" s="7">
        <f t="shared" si="309"/>
        <v>-1108</v>
      </c>
      <c r="H600" s="7">
        <f t="shared" si="309"/>
        <v>-1046</v>
      </c>
      <c r="I600" s="7">
        <f t="shared" si="309"/>
        <v>-1008</v>
      </c>
      <c r="J600" s="7">
        <f t="shared" si="309"/>
        <v>-1112</v>
      </c>
      <c r="K600" s="7">
        <f t="shared" ref="K600" si="310">SUM(K597:K599)</f>
        <v>-486</v>
      </c>
      <c r="L600" s="7">
        <f t="shared" ref="L600" si="311">SUM(L597:L599)</f>
        <v>0</v>
      </c>
    </row>
    <row r="601" spans="1:12" x14ac:dyDescent="0.25">
      <c r="B601" s="6"/>
      <c r="D601" s="7"/>
      <c r="E601" s="7"/>
      <c r="F601" s="7"/>
      <c r="G601" s="7"/>
      <c r="H601" s="7"/>
      <c r="I601" s="7"/>
      <c r="J601" s="7"/>
      <c r="K601" s="7"/>
      <c r="L601" s="7"/>
    </row>
    <row r="602" spans="1:12" ht="18.75" x14ac:dyDescent="0.3">
      <c r="A602" s="9" t="s">
        <v>44</v>
      </c>
      <c r="D602" s="2">
        <f>D585</f>
        <v>2013</v>
      </c>
      <c r="E602" s="2">
        <f t="shared" ref="E602:J602" si="312">D602+1</f>
        <v>2014</v>
      </c>
      <c r="F602" s="2">
        <f t="shared" si="312"/>
        <v>2015</v>
      </c>
      <c r="G602" s="2">
        <f t="shared" si="312"/>
        <v>2016</v>
      </c>
      <c r="H602" s="2">
        <f t="shared" si="312"/>
        <v>2017</v>
      </c>
      <c r="I602" s="2">
        <f t="shared" si="312"/>
        <v>2018</v>
      </c>
      <c r="J602" s="2">
        <f t="shared" si="312"/>
        <v>2019</v>
      </c>
      <c r="K602" s="2"/>
      <c r="L602" s="2"/>
    </row>
    <row r="603" spans="1:12" x14ac:dyDescent="0.25">
      <c r="B603" s="90" t="str">
        <f xml:space="preserve"> 'Facility Detail'!$B$756 &amp; " Surplus Applied to " &amp; ( 'Facility Detail'!$B$756 + 1 )</f>
        <v>2013 Surplus Applied to 2014</v>
      </c>
      <c r="C603" s="80"/>
      <c r="D603" s="3"/>
      <c r="E603" s="70">
        <f>D603</f>
        <v>0</v>
      </c>
      <c r="F603" s="143"/>
      <c r="G603" s="72"/>
      <c r="H603" s="72"/>
      <c r="I603" s="72"/>
      <c r="J603" s="72"/>
      <c r="K603" s="72"/>
      <c r="L603" s="72"/>
    </row>
    <row r="604" spans="1:12" x14ac:dyDescent="0.25">
      <c r="B604" s="90" t="str">
        <f xml:space="preserve"> ( 'Facility Detail'!$B$756 + 1 ) &amp; " Surplus Applied to " &amp; ( 'Facility Detail'!$B$756 )</f>
        <v>2014 Surplus Applied to 2013</v>
      </c>
      <c r="C604" s="80"/>
      <c r="D604" s="144">
        <f>E604</f>
        <v>0</v>
      </c>
      <c r="E604" s="10"/>
      <c r="F604" s="84"/>
      <c r="G604" s="83"/>
      <c r="H604" s="83"/>
      <c r="I604" s="83"/>
      <c r="J604" s="83"/>
      <c r="K604" s="83"/>
      <c r="L604" s="83"/>
    </row>
    <row r="605" spans="1:12" x14ac:dyDescent="0.25">
      <c r="B605" s="90" t="str">
        <f xml:space="preserve"> ( 'Facility Detail'!$B$756 + 1 ) &amp; " Surplus Applied to " &amp; ( 'Facility Detail'!$B$756 + 2 )</f>
        <v>2014 Surplus Applied to 2015</v>
      </c>
      <c r="C605" s="80"/>
      <c r="D605" s="73"/>
      <c r="E605" s="10"/>
      <c r="F605" s="79">
        <f>E605</f>
        <v>0</v>
      </c>
      <c r="G605" s="83"/>
      <c r="H605" s="83"/>
      <c r="I605" s="83"/>
      <c r="J605" s="83"/>
      <c r="K605" s="83"/>
      <c r="L605" s="83"/>
    </row>
    <row r="606" spans="1:12" x14ac:dyDescent="0.25">
      <c r="B606" s="90" t="str">
        <f xml:space="preserve"> ( 'Facility Detail'!$B$756 + 2 ) &amp; " Surplus Applied to " &amp; ( 'Facility Detail'!$B$756 + 1 )</f>
        <v>2015 Surplus Applied to 2014</v>
      </c>
      <c r="C606" s="80"/>
      <c r="D606" s="73"/>
      <c r="E606" s="79">
        <f>F606</f>
        <v>0</v>
      </c>
      <c r="F606" s="10"/>
      <c r="G606" s="83"/>
      <c r="H606" s="83"/>
      <c r="I606" s="83"/>
      <c r="J606" s="83"/>
      <c r="K606" s="83"/>
      <c r="L606" s="83"/>
    </row>
    <row r="607" spans="1:12" x14ac:dyDescent="0.25">
      <c r="B607" s="90" t="str">
        <f xml:space="preserve"> ( 'Facility Detail'!$B$756 + 2 ) &amp; " Surplus Applied to " &amp; ( 'Facility Detail'!$B$756 + 3 )</f>
        <v>2015 Surplus Applied to 2016</v>
      </c>
      <c r="C607" s="36"/>
      <c r="D607" s="73"/>
      <c r="E607" s="84"/>
      <c r="F607" s="10"/>
      <c r="G607" s="145">
        <f>F607</f>
        <v>0</v>
      </c>
      <c r="H607" s="83"/>
      <c r="I607" s="83">
        <f>H607</f>
        <v>0</v>
      </c>
      <c r="J607" s="83">
        <f>I607</f>
        <v>0</v>
      </c>
      <c r="K607" s="83"/>
      <c r="L607" s="83"/>
    </row>
    <row r="608" spans="1:12" x14ac:dyDescent="0.25">
      <c r="B608" s="90" t="str">
        <f xml:space="preserve"> ( 'Facility Detail'!$B$756 +3 ) &amp; " Surplus Applied to " &amp; ( 'Facility Detail'!$B$756 + 2 )</f>
        <v>2016 Surplus Applied to 2015</v>
      </c>
      <c r="C608" s="36"/>
      <c r="D608" s="74"/>
      <c r="E608" s="85"/>
      <c r="F608" s="71">
        <f>G608</f>
        <v>0</v>
      </c>
      <c r="G608" s="10"/>
      <c r="H608" s="83"/>
      <c r="I608" s="83"/>
      <c r="J608" s="83"/>
      <c r="K608" s="83"/>
      <c r="L608" s="83"/>
    </row>
    <row r="609" spans="1:13" x14ac:dyDescent="0.25">
      <c r="B609" s="90" t="str">
        <f xml:space="preserve"> ( 'Facility Detail'!$B$756 +3 ) &amp; " Surplus Applied to " &amp; ( 'Facility Detail'!$B$756 + 4 )</f>
        <v>2016 Surplus Applied to 2017</v>
      </c>
      <c r="C609" s="36"/>
      <c r="D609" s="149"/>
      <c r="E609" s="149"/>
      <c r="F609" s="83"/>
      <c r="G609" s="10"/>
      <c r="H609" s="154">
        <f>G609</f>
        <v>0</v>
      </c>
      <c r="I609" s="83"/>
      <c r="J609" s="83"/>
      <c r="K609" s="83"/>
      <c r="L609" s="83"/>
    </row>
    <row r="610" spans="1:13" x14ac:dyDescent="0.25">
      <c r="B610" s="90" t="str">
        <f xml:space="preserve"> ( 'Facility Detail'!$B$756 + 4 ) &amp; " Surplus Applied to " &amp; ( 'Facility Detail'!$B$756 + 3 )</f>
        <v>2017 Surplus Applied to 2016</v>
      </c>
      <c r="C610" s="36"/>
      <c r="D610" s="149"/>
      <c r="E610" s="149"/>
      <c r="F610" s="83"/>
      <c r="G610" s="154">
        <f>H610</f>
        <v>0</v>
      </c>
      <c r="H610" s="10"/>
      <c r="I610" s="83"/>
      <c r="J610" s="83"/>
      <c r="K610" s="83"/>
      <c r="L610" s="83"/>
    </row>
    <row r="611" spans="1:13" x14ac:dyDescent="0.25">
      <c r="B611" s="90" t="str">
        <f xml:space="preserve"> ( 'Facility Detail'!$B$756 + 4 ) &amp; " Surplus Applied to " &amp; ( 'Facility Detail'!$B$756 + 5 )</f>
        <v>2017 Surplus Applied to 2018</v>
      </c>
      <c r="C611" s="36"/>
      <c r="D611" s="149"/>
      <c r="E611" s="149"/>
      <c r="F611" s="83"/>
      <c r="G611" s="83"/>
      <c r="H611" s="10"/>
      <c r="I611" s="154">
        <f>H611</f>
        <v>0</v>
      </c>
      <c r="J611" s="154">
        <f>I611</f>
        <v>0</v>
      </c>
      <c r="K611" s="154"/>
      <c r="L611" s="154"/>
    </row>
    <row r="612" spans="1:13" x14ac:dyDescent="0.25">
      <c r="B612" s="90" t="str">
        <f xml:space="preserve"> ( 'Facility Detail'!$B$756 + 5 ) &amp; " Surplus Applied to " &amp; ( 'Facility Detail'!$B$756 + 4 )</f>
        <v>2018 Surplus Applied to 2017</v>
      </c>
      <c r="C612" s="36"/>
      <c r="D612" s="149"/>
      <c r="E612" s="149"/>
      <c r="F612" s="83"/>
      <c r="G612" s="83"/>
      <c r="H612" s="154">
        <f>I612</f>
        <v>0</v>
      </c>
      <c r="I612" s="10"/>
      <c r="J612" s="10"/>
      <c r="K612" s="10"/>
      <c r="L612" s="10"/>
    </row>
    <row r="613" spans="1:13" x14ac:dyDescent="0.25">
      <c r="B613" s="90" t="str">
        <f xml:space="preserve"> ( 'Facility Detail'!$B$756 + 5 ) &amp; " Surplus Applied to " &amp; ( 'Facility Detail'!$B$756 + 6 )</f>
        <v>2018 Surplus Applied to 2019</v>
      </c>
      <c r="C613" s="36"/>
      <c r="D613" s="149"/>
      <c r="E613" s="149"/>
      <c r="F613" s="83"/>
      <c r="G613" s="83"/>
      <c r="H613" s="83"/>
      <c r="I613" s="10"/>
      <c r="J613" s="10"/>
      <c r="K613" s="10"/>
      <c r="L613" s="10"/>
    </row>
    <row r="614" spans="1:13" x14ac:dyDescent="0.25">
      <c r="B614" s="39" t="s">
        <v>26</v>
      </c>
      <c r="D614" s="7">
        <f xml:space="preserve"> D604 - D603</f>
        <v>0</v>
      </c>
      <c r="E614" s="7">
        <f xml:space="preserve"> E603 + E606 - E605 - E604</f>
        <v>0</v>
      </c>
      <c r="F614" s="7">
        <f>F605+F608-F606-F607</f>
        <v>0</v>
      </c>
      <c r="G614" s="7">
        <f t="shared" ref="G614:L614" si="313">G607-G608</f>
        <v>0</v>
      </c>
      <c r="H614" s="7">
        <f t="shared" si="313"/>
        <v>0</v>
      </c>
      <c r="I614" s="7">
        <f t="shared" si="313"/>
        <v>0</v>
      </c>
      <c r="J614" s="7">
        <f t="shared" si="313"/>
        <v>0</v>
      </c>
      <c r="K614" s="7">
        <f t="shared" si="313"/>
        <v>0</v>
      </c>
      <c r="L614" s="7">
        <f t="shared" si="313"/>
        <v>0</v>
      </c>
    </row>
    <row r="615" spans="1:13" x14ac:dyDescent="0.25">
      <c r="B615" s="6"/>
      <c r="D615" s="7"/>
      <c r="E615" s="7"/>
      <c r="F615" s="7"/>
      <c r="G615" s="7"/>
      <c r="H615" s="7"/>
      <c r="I615" s="7"/>
      <c r="J615" s="7"/>
      <c r="K615" s="7"/>
      <c r="L615" s="7"/>
    </row>
    <row r="616" spans="1:13" x14ac:dyDescent="0.25">
      <c r="B616" s="97" t="s">
        <v>22</v>
      </c>
      <c r="C616" s="80"/>
      <c r="D616" s="111"/>
      <c r="E616" s="112"/>
      <c r="F616" s="113"/>
      <c r="G616" s="113"/>
      <c r="H616" s="113"/>
      <c r="I616" s="113"/>
      <c r="J616" s="113"/>
      <c r="K616" s="113"/>
      <c r="L616" s="113"/>
    </row>
    <row r="617" spans="1:13" x14ac:dyDescent="0.25">
      <c r="B617" s="6"/>
      <c r="D617" s="7"/>
      <c r="E617" s="7"/>
      <c r="F617" s="7"/>
      <c r="G617" s="7"/>
      <c r="H617" s="7"/>
      <c r="I617" s="7"/>
      <c r="J617" s="7"/>
      <c r="K617" s="7"/>
      <c r="L617" s="7"/>
    </row>
    <row r="618" spans="1:13" ht="15.75" x14ac:dyDescent="0.25">
      <c r="A618" s="93" t="s">
        <v>34</v>
      </c>
      <c r="C618" s="80"/>
      <c r="D618" s="52">
        <f t="shared" ref="D618:L618" si="314" xml:space="preserve"> D589 + D594 + D600 + D614 + D616</f>
        <v>0</v>
      </c>
      <c r="E618" s="53">
        <f t="shared" si="314"/>
        <v>0</v>
      </c>
      <c r="F618" s="54">
        <f t="shared" si="314"/>
        <v>0</v>
      </c>
      <c r="G618" s="54">
        <f t="shared" si="314"/>
        <v>0</v>
      </c>
      <c r="H618" s="54">
        <f t="shared" si="314"/>
        <v>0</v>
      </c>
      <c r="I618" s="54">
        <f t="shared" si="314"/>
        <v>0</v>
      </c>
      <c r="J618" s="54">
        <f t="shared" si="314"/>
        <v>0</v>
      </c>
      <c r="K618" s="54">
        <f t="shared" si="314"/>
        <v>484</v>
      </c>
      <c r="L618" s="54">
        <f t="shared" si="314"/>
        <v>970</v>
      </c>
    </row>
    <row r="619" spans="1:13" x14ac:dyDescent="0.25">
      <c r="B619" s="6"/>
      <c r="D619" s="7"/>
      <c r="E619" s="7"/>
      <c r="F619" s="7"/>
      <c r="G619" s="34"/>
      <c r="H619" s="34"/>
      <c r="I619" s="34"/>
      <c r="J619" s="34"/>
      <c r="K619" s="34"/>
      <c r="L619" s="34"/>
    </row>
    <row r="620" spans="1:13" ht="39.75" customHeight="1" x14ac:dyDescent="0.25">
      <c r="A620" s="189" t="s">
        <v>120</v>
      </c>
      <c r="B620" s="189"/>
      <c r="C620" s="189"/>
      <c r="D620" s="189"/>
      <c r="E620" s="189"/>
      <c r="F620" s="189"/>
      <c r="G620" s="34"/>
      <c r="H620" s="34"/>
      <c r="I620" s="34"/>
      <c r="J620" s="34"/>
      <c r="K620" s="34"/>
      <c r="L620" s="34"/>
    </row>
    <row r="621" spans="1:13" ht="15.75" customHeight="1" thickBot="1" x14ac:dyDescent="0.3">
      <c r="A621" s="195" t="s">
        <v>122</v>
      </c>
      <c r="B621" s="195"/>
      <c r="C621" s="195"/>
      <c r="D621" s="195"/>
      <c r="E621" s="195"/>
      <c r="F621" s="195"/>
      <c r="G621" s="161"/>
      <c r="H621" s="161"/>
      <c r="I621" s="161"/>
      <c r="J621" s="161"/>
      <c r="K621" s="178"/>
      <c r="L621" s="179"/>
      <c r="M621" s="161"/>
    </row>
    <row r="622" spans="1:13" x14ac:dyDescent="0.25">
      <c r="A622" s="8"/>
      <c r="B622" s="8"/>
      <c r="C622" s="8"/>
      <c r="D622" s="8"/>
      <c r="E622" s="8"/>
      <c r="F622" s="8"/>
      <c r="G622" s="8"/>
      <c r="H622" s="8"/>
      <c r="I622" s="8"/>
      <c r="J622" s="8"/>
      <c r="K622" s="8"/>
      <c r="L622" s="8"/>
    </row>
    <row r="623" spans="1:13" ht="21" x14ac:dyDescent="0.35">
      <c r="A623" s="16" t="s">
        <v>4</v>
      </c>
      <c r="B623" s="16"/>
      <c r="C623" s="49" t="str">
        <f>B18</f>
        <v>Rathdrum Solar</v>
      </c>
      <c r="D623" s="50"/>
      <c r="E623" s="22"/>
      <c r="F623" s="22"/>
    </row>
    <row r="625" spans="1:12" ht="18.75" x14ac:dyDescent="0.3">
      <c r="A625" s="9" t="s">
        <v>86</v>
      </c>
      <c r="B625" s="9"/>
      <c r="D625" s="2">
        <v>2013</v>
      </c>
      <c r="E625" s="2">
        <f t="shared" ref="E625" si="315">D625+1</f>
        <v>2014</v>
      </c>
      <c r="F625" s="2">
        <f t="shared" ref="F625" si="316">E625+1</f>
        <v>2015</v>
      </c>
      <c r="G625" s="2">
        <f t="shared" ref="G625" si="317">F625+1</f>
        <v>2016</v>
      </c>
      <c r="H625" s="2">
        <f t="shared" ref="H625" si="318">G625+1</f>
        <v>2017</v>
      </c>
      <c r="I625" s="2">
        <f t="shared" ref="I625" si="319">H625+1</f>
        <v>2018</v>
      </c>
      <c r="J625" s="2">
        <f t="shared" ref="J625" si="320">I625+1</f>
        <v>2019</v>
      </c>
      <c r="K625" s="2">
        <f>J625+1</f>
        <v>2020</v>
      </c>
      <c r="L625" s="2">
        <f>K625+1</f>
        <v>2021</v>
      </c>
    </row>
    <row r="626" spans="1:12" x14ac:dyDescent="0.25">
      <c r="B626" s="90" t="str">
        <f>"Total MWh Produced / Purchased from " &amp; C623</f>
        <v>Total MWh Produced / Purchased from Rathdrum Solar</v>
      </c>
      <c r="C626" s="80"/>
      <c r="D626" s="3">
        <v>0</v>
      </c>
      <c r="E626" s="4">
        <v>0</v>
      </c>
      <c r="F626" s="5">
        <v>25</v>
      </c>
      <c r="G626" s="5">
        <v>21</v>
      </c>
      <c r="H626" s="5">
        <v>18</v>
      </c>
      <c r="I626" s="5">
        <v>19</v>
      </c>
      <c r="J626" s="5">
        <v>20</v>
      </c>
      <c r="K626" s="5">
        <v>20</v>
      </c>
      <c r="L626" s="5">
        <v>20</v>
      </c>
    </row>
    <row r="627" spans="1:12" x14ac:dyDescent="0.25">
      <c r="B627" s="90" t="s">
        <v>33</v>
      </c>
      <c r="C627" s="80"/>
      <c r="D627" s="64">
        <v>1</v>
      </c>
      <c r="E627" s="65">
        <v>1</v>
      </c>
      <c r="F627" s="66">
        <v>1</v>
      </c>
      <c r="G627" s="66">
        <v>1</v>
      </c>
      <c r="H627" s="66">
        <v>1</v>
      </c>
      <c r="I627" s="66">
        <v>1</v>
      </c>
      <c r="J627" s="66">
        <v>1</v>
      </c>
      <c r="K627" s="66">
        <v>1</v>
      </c>
      <c r="L627" s="66">
        <v>1</v>
      </c>
    </row>
    <row r="628" spans="1:12" x14ac:dyDescent="0.25">
      <c r="B628" s="90" t="s">
        <v>27</v>
      </c>
      <c r="C628" s="80"/>
      <c r="D628" s="57">
        <v>1</v>
      </c>
      <c r="E628" s="58">
        <v>1</v>
      </c>
      <c r="F628" s="59">
        <v>1</v>
      </c>
      <c r="G628" s="59">
        <v>1</v>
      </c>
      <c r="H628" s="59">
        <v>1</v>
      </c>
      <c r="I628" s="59">
        <v>1</v>
      </c>
      <c r="J628" s="59">
        <v>1</v>
      </c>
      <c r="K628" s="59">
        <v>1</v>
      </c>
      <c r="L628" s="59">
        <v>1</v>
      </c>
    </row>
    <row r="629" spans="1:12" x14ac:dyDescent="0.25">
      <c r="B629" s="87" t="s">
        <v>29</v>
      </c>
      <c r="C629" s="88"/>
      <c r="D629" s="44">
        <f t="shared" ref="D629:J629" si="321" xml:space="preserve"> D626 * D627 * D628</f>
        <v>0</v>
      </c>
      <c r="E629" s="44">
        <f t="shared" si="321"/>
        <v>0</v>
      </c>
      <c r="F629" s="44">
        <f t="shared" si="321"/>
        <v>25</v>
      </c>
      <c r="G629" s="44">
        <f t="shared" si="321"/>
        <v>21</v>
      </c>
      <c r="H629" s="44">
        <f t="shared" si="321"/>
        <v>18</v>
      </c>
      <c r="I629" s="44">
        <f t="shared" si="321"/>
        <v>19</v>
      </c>
      <c r="J629" s="44">
        <f t="shared" si="321"/>
        <v>20</v>
      </c>
      <c r="K629" s="44">
        <f t="shared" ref="K629" si="322" xml:space="preserve"> K626 * K627 * K628</f>
        <v>20</v>
      </c>
      <c r="L629" s="44">
        <f t="shared" ref="L629" si="323" xml:space="preserve"> L626 * L627 * L628</f>
        <v>20</v>
      </c>
    </row>
    <row r="630" spans="1:12" x14ac:dyDescent="0.25">
      <c r="B630" s="22"/>
      <c r="C630" s="36"/>
      <c r="D630" s="43"/>
      <c r="E630" s="43"/>
      <c r="F630" s="43"/>
      <c r="G630" s="43"/>
      <c r="H630" s="43"/>
      <c r="I630" s="43"/>
      <c r="J630" s="43"/>
      <c r="K630" s="43"/>
      <c r="L630" s="43"/>
    </row>
    <row r="631" spans="1:12" ht="18.75" x14ac:dyDescent="0.3">
      <c r="A631" s="51" t="s">
        <v>31</v>
      </c>
      <c r="C631" s="36"/>
      <c r="D631" s="2">
        <f>D625</f>
        <v>2013</v>
      </c>
      <c r="E631" s="2">
        <f t="shared" ref="E631" si="324">D631+1</f>
        <v>2014</v>
      </c>
      <c r="F631" s="2">
        <f t="shared" ref="F631" si="325">E631+1</f>
        <v>2015</v>
      </c>
      <c r="G631" s="2">
        <f t="shared" ref="G631" si="326">F631+1</f>
        <v>2016</v>
      </c>
      <c r="H631" s="2">
        <f t="shared" ref="H631" si="327">G631+1</f>
        <v>2017</v>
      </c>
      <c r="I631" s="2">
        <f t="shared" ref="I631" si="328">H631+1</f>
        <v>2018</v>
      </c>
      <c r="J631" s="2">
        <f t="shared" ref="J631" si="329">I631+1</f>
        <v>2019</v>
      </c>
      <c r="K631" s="2">
        <f>J631+1</f>
        <v>2020</v>
      </c>
      <c r="L631" s="2">
        <f>K631+1</f>
        <v>2021</v>
      </c>
    </row>
    <row r="632" spans="1:12" x14ac:dyDescent="0.25">
      <c r="B632" s="90" t="s">
        <v>20</v>
      </c>
      <c r="C632" s="80"/>
      <c r="D632" s="60">
        <f>IF( $E234 = "Eligible", D629 * 'Facility Detail'!$B$753, 0 )</f>
        <v>0</v>
      </c>
      <c r="E632" s="60">
        <f>IF( $E234 = "Eligible", E629 * 'Facility Detail'!$B$753, 0 )</f>
        <v>0</v>
      </c>
      <c r="F632" s="60">
        <f>IF( $E234 = "Eligible", F629 * 'Facility Detail'!$B$753, 0 )</f>
        <v>0</v>
      </c>
      <c r="G632" s="60">
        <f>IF( $E234 = "Eligible", G629 * 'Facility Detail'!$B$753, 0 )</f>
        <v>0</v>
      </c>
      <c r="H632" s="60">
        <f>IF( $E234 = "Eligible", H629 * 'Facility Detail'!$B$753, 0 )</f>
        <v>0</v>
      </c>
      <c r="I632" s="60">
        <f>IF( $E234 = "Eligible", I629 * 'Facility Detail'!$B$753, 0 )</f>
        <v>0</v>
      </c>
      <c r="J632" s="60">
        <f>IF( $E234 = "Eligible", J629 * 'Facility Detail'!$B$753, 0 )</f>
        <v>0</v>
      </c>
      <c r="K632" s="60">
        <f>IF( $E234 = "Eligible", K629 * 'Facility Detail'!$B$753, 0 )</f>
        <v>0</v>
      </c>
      <c r="L632" s="60">
        <f>IF( $E234 = "Eligible", L629 * 'Facility Detail'!$B$753, 0 )</f>
        <v>0</v>
      </c>
    </row>
    <row r="633" spans="1:12" x14ac:dyDescent="0.25">
      <c r="B633" s="90" t="s">
        <v>6</v>
      </c>
      <c r="C633" s="80"/>
      <c r="D633" s="61">
        <f t="shared" ref="D633:J633" si="330">IF( $F18 = "Eligible", D629, 0 )</f>
        <v>0</v>
      </c>
      <c r="E633" s="62">
        <f t="shared" si="330"/>
        <v>0</v>
      </c>
      <c r="F633" s="63">
        <f t="shared" si="330"/>
        <v>25</v>
      </c>
      <c r="G633" s="63">
        <f t="shared" si="330"/>
        <v>21</v>
      </c>
      <c r="H633" s="63">
        <f t="shared" si="330"/>
        <v>18</v>
      </c>
      <c r="I633" s="63">
        <f t="shared" si="330"/>
        <v>19</v>
      </c>
      <c r="J633" s="63">
        <f t="shared" si="330"/>
        <v>20</v>
      </c>
      <c r="K633" s="63">
        <f t="shared" ref="K633" si="331">IF( $F18 = "Eligible", K629, 0 )</f>
        <v>20</v>
      </c>
      <c r="L633" s="63">
        <f t="shared" ref="L633" si="332">IF( $F18 = "Eligible", L629, 0 )</f>
        <v>20</v>
      </c>
    </row>
    <row r="634" spans="1:12" x14ac:dyDescent="0.25">
      <c r="B634" s="89" t="s">
        <v>38</v>
      </c>
      <c r="C634" s="88"/>
      <c r="D634" s="46">
        <f t="shared" ref="D634:I634" si="333">SUM(D632:D633)</f>
        <v>0</v>
      </c>
      <c r="E634" s="47">
        <f t="shared" si="333"/>
        <v>0</v>
      </c>
      <c r="F634" s="47">
        <f t="shared" si="333"/>
        <v>25</v>
      </c>
      <c r="G634" s="47">
        <f t="shared" si="333"/>
        <v>21</v>
      </c>
      <c r="H634" s="47">
        <f t="shared" si="333"/>
        <v>18</v>
      </c>
      <c r="I634" s="47">
        <f t="shared" si="333"/>
        <v>19</v>
      </c>
      <c r="J634" s="47">
        <f t="shared" ref="J634:K634" si="334">SUM(J632:J633)</f>
        <v>20</v>
      </c>
      <c r="K634" s="47">
        <f t="shared" si="334"/>
        <v>20</v>
      </c>
      <c r="L634" s="47">
        <f t="shared" ref="L634" si="335">SUM(L632:L633)</f>
        <v>20</v>
      </c>
    </row>
    <row r="635" spans="1:12" x14ac:dyDescent="0.25">
      <c r="B635" s="36"/>
      <c r="C635" s="36"/>
      <c r="D635" s="45"/>
      <c r="E635" s="37"/>
      <c r="F635" s="37"/>
      <c r="G635" s="37"/>
      <c r="H635" s="37"/>
      <c r="I635" s="37"/>
      <c r="J635" s="37"/>
      <c r="K635" s="37"/>
      <c r="L635" s="37"/>
    </row>
    <row r="636" spans="1:12" ht="18.75" x14ac:dyDescent="0.3">
      <c r="A636" s="48" t="s">
        <v>36</v>
      </c>
      <c r="C636" s="36"/>
      <c r="D636" s="2">
        <f>D625</f>
        <v>2013</v>
      </c>
      <c r="E636" s="2">
        <f t="shared" ref="E636" si="336">D636+1</f>
        <v>2014</v>
      </c>
      <c r="F636" s="2">
        <f t="shared" ref="F636" si="337">E636+1</f>
        <v>2015</v>
      </c>
      <c r="G636" s="2">
        <f t="shared" ref="G636" si="338">F636+1</f>
        <v>2016</v>
      </c>
      <c r="H636" s="2">
        <f t="shared" ref="H636" si="339">G636+1</f>
        <v>2017</v>
      </c>
      <c r="I636" s="2">
        <f t="shared" ref="I636" si="340">H636+1</f>
        <v>2018</v>
      </c>
      <c r="J636" s="2">
        <f t="shared" ref="J636" si="341">I636+1</f>
        <v>2019</v>
      </c>
      <c r="K636" s="2">
        <f>J636+1</f>
        <v>2020</v>
      </c>
      <c r="L636" s="2">
        <f>K636+1</f>
        <v>2021</v>
      </c>
    </row>
    <row r="637" spans="1:12" x14ac:dyDescent="0.25">
      <c r="B637" s="90" t="s">
        <v>101</v>
      </c>
      <c r="C637" s="80"/>
      <c r="D637" s="98">
        <v>0</v>
      </c>
      <c r="E637" s="99">
        <v>0</v>
      </c>
      <c r="F637" s="100">
        <v>-25</v>
      </c>
      <c r="G637" s="100">
        <v>-21</v>
      </c>
      <c r="H637" s="100">
        <v>-18</v>
      </c>
      <c r="I637" s="100">
        <v>-19</v>
      </c>
      <c r="J637" s="100">
        <v>-20</v>
      </c>
      <c r="K637" s="100">
        <v>-20</v>
      </c>
      <c r="L637" s="100">
        <v>-20</v>
      </c>
    </row>
    <row r="638" spans="1:12" x14ac:dyDescent="0.25">
      <c r="B638" s="91" t="s">
        <v>30</v>
      </c>
      <c r="C638" s="92"/>
      <c r="D638" s="101">
        <v>0</v>
      </c>
      <c r="E638" s="102">
        <v>0</v>
      </c>
      <c r="F638" s="103">
        <v>0</v>
      </c>
      <c r="G638" s="103">
        <v>0</v>
      </c>
      <c r="H638" s="103">
        <v>0</v>
      </c>
      <c r="I638" s="103">
        <v>0</v>
      </c>
      <c r="J638" s="103">
        <v>0</v>
      </c>
      <c r="K638" s="103">
        <v>0</v>
      </c>
      <c r="L638" s="103">
        <v>0</v>
      </c>
    </row>
    <row r="639" spans="1:12" x14ac:dyDescent="0.25">
      <c r="B639" s="104" t="s">
        <v>42</v>
      </c>
      <c r="C639" s="96"/>
      <c r="D639" s="67"/>
      <c r="E639" s="68"/>
      <c r="F639" s="69">
        <v>-25</v>
      </c>
      <c r="G639" s="69">
        <v>-21</v>
      </c>
      <c r="H639" s="69">
        <v>-18</v>
      </c>
      <c r="I639" s="69">
        <v>-19</v>
      </c>
      <c r="J639" s="69">
        <v>-20</v>
      </c>
      <c r="K639" s="69">
        <v>-20</v>
      </c>
      <c r="L639" s="69">
        <v>-20</v>
      </c>
    </row>
    <row r="640" spans="1:12" x14ac:dyDescent="0.25">
      <c r="B640" s="39" t="s">
        <v>43</v>
      </c>
      <c r="D640" s="7">
        <f t="shared" ref="D640:J640" si="342">SUM(D637:D639)</f>
        <v>0</v>
      </c>
      <c r="E640" s="7">
        <f t="shared" si="342"/>
        <v>0</v>
      </c>
      <c r="F640" s="7">
        <f t="shared" si="342"/>
        <v>-50</v>
      </c>
      <c r="G640" s="7">
        <f t="shared" si="342"/>
        <v>-42</v>
      </c>
      <c r="H640" s="7">
        <f t="shared" si="342"/>
        <v>-36</v>
      </c>
      <c r="I640" s="7">
        <f t="shared" si="342"/>
        <v>-38</v>
      </c>
      <c r="J640" s="7">
        <f t="shared" si="342"/>
        <v>-40</v>
      </c>
      <c r="K640" s="7">
        <f t="shared" ref="K640" si="343">SUM(K637:K639)</f>
        <v>-40</v>
      </c>
      <c r="L640" s="7">
        <f t="shared" ref="L640" si="344">SUM(L637:L639)</f>
        <v>-40</v>
      </c>
    </row>
    <row r="641" spans="1:12" x14ac:dyDescent="0.25">
      <c r="B641" s="6"/>
      <c r="D641" s="7"/>
      <c r="E641" s="7"/>
      <c r="F641" s="7"/>
      <c r="G641" s="7"/>
      <c r="H641" s="7"/>
      <c r="I641" s="7"/>
      <c r="J641" s="7"/>
      <c r="K641" s="7"/>
      <c r="L641" s="7"/>
    </row>
    <row r="642" spans="1:12" ht="18.75" x14ac:dyDescent="0.3">
      <c r="A642" s="9" t="s">
        <v>44</v>
      </c>
      <c r="D642" s="2">
        <f>D625</f>
        <v>2013</v>
      </c>
      <c r="E642" s="2">
        <f t="shared" ref="E642" si="345">D642+1</f>
        <v>2014</v>
      </c>
      <c r="F642" s="2">
        <f t="shared" ref="F642" si="346">E642+1</f>
        <v>2015</v>
      </c>
      <c r="G642" s="2">
        <f t="shared" ref="G642" si="347">F642+1</f>
        <v>2016</v>
      </c>
      <c r="H642" s="2">
        <f t="shared" ref="H642" si="348">G642+1</f>
        <v>2017</v>
      </c>
      <c r="I642" s="2">
        <f t="shared" ref="I642" si="349">H642+1</f>
        <v>2018</v>
      </c>
      <c r="J642" s="2">
        <f t="shared" ref="J642" si="350">I642+1</f>
        <v>2019</v>
      </c>
      <c r="K642" s="2">
        <f>J642+1</f>
        <v>2020</v>
      </c>
      <c r="L642" s="2">
        <f>K642+1</f>
        <v>2021</v>
      </c>
    </row>
    <row r="643" spans="1:12" x14ac:dyDescent="0.25">
      <c r="B643" s="90" t="str">
        <f xml:space="preserve"> 'Facility Detail'!$B$756 &amp; " Surplus Applied to " &amp; ( 'Facility Detail'!$B$756 + 1 )</f>
        <v>2013 Surplus Applied to 2014</v>
      </c>
      <c r="C643" s="80"/>
      <c r="D643" s="3"/>
      <c r="E643" s="70">
        <f>D643</f>
        <v>0</v>
      </c>
      <c r="F643" s="143"/>
      <c r="G643" s="72"/>
      <c r="H643" s="72"/>
      <c r="I643" s="72"/>
      <c r="J643" s="72"/>
      <c r="K643" s="72"/>
      <c r="L643" s="72"/>
    </row>
    <row r="644" spans="1:12" x14ac:dyDescent="0.25">
      <c r="B644" s="90" t="str">
        <f xml:space="preserve"> ( 'Facility Detail'!$B$756 + 1 ) &amp; " Surplus Applied to " &amp; ( 'Facility Detail'!$B$756 )</f>
        <v>2014 Surplus Applied to 2013</v>
      </c>
      <c r="C644" s="80"/>
      <c r="D644" s="144">
        <f>E644</f>
        <v>0</v>
      </c>
      <c r="E644" s="10"/>
      <c r="F644" s="84"/>
      <c r="G644" s="83"/>
      <c r="H644" s="83"/>
      <c r="I644" s="83"/>
      <c r="J644" s="83"/>
      <c r="K644" s="83"/>
      <c r="L644" s="83"/>
    </row>
    <row r="645" spans="1:12" x14ac:dyDescent="0.25">
      <c r="B645" s="90" t="str">
        <f xml:space="preserve"> ( 'Facility Detail'!$B$756 + 1 ) &amp; " Surplus Applied to " &amp; ( 'Facility Detail'!$B$756 + 2 )</f>
        <v>2014 Surplus Applied to 2015</v>
      </c>
      <c r="C645" s="80"/>
      <c r="D645" s="73"/>
      <c r="E645" s="10"/>
      <c r="F645" s="79">
        <f>E645</f>
        <v>0</v>
      </c>
      <c r="G645" s="83"/>
      <c r="H645" s="83"/>
      <c r="I645" s="83"/>
      <c r="J645" s="83"/>
      <c r="K645" s="83"/>
      <c r="L645" s="83"/>
    </row>
    <row r="646" spans="1:12" x14ac:dyDescent="0.25">
      <c r="B646" s="90" t="str">
        <f xml:space="preserve"> ( 'Facility Detail'!$B$756 + 2 ) &amp; " Surplus Applied to " &amp; ( 'Facility Detail'!$B$756 + 1 )</f>
        <v>2015 Surplus Applied to 2014</v>
      </c>
      <c r="C646" s="80"/>
      <c r="D646" s="73"/>
      <c r="E646" s="79">
        <f>F646</f>
        <v>0</v>
      </c>
      <c r="F646" s="10"/>
      <c r="G646" s="83"/>
      <c r="H646" s="83"/>
      <c r="I646" s="83"/>
      <c r="J646" s="83"/>
      <c r="K646" s="83"/>
      <c r="L646" s="83"/>
    </row>
    <row r="647" spans="1:12" x14ac:dyDescent="0.25">
      <c r="B647" s="90" t="str">
        <f xml:space="preserve"> ( 'Facility Detail'!$B$756 + 2 ) &amp; " Surplus Applied to " &amp; ( 'Facility Detail'!$B$756 + 3 )</f>
        <v>2015 Surplus Applied to 2016</v>
      </c>
      <c r="C647" s="36"/>
      <c r="D647" s="73"/>
      <c r="E647" s="84"/>
      <c r="F647" s="10"/>
      <c r="G647" s="145">
        <f>F647</f>
        <v>0</v>
      </c>
      <c r="H647" s="83"/>
      <c r="I647" s="83">
        <f>H647</f>
        <v>0</v>
      </c>
      <c r="J647" s="83">
        <f>I647</f>
        <v>0</v>
      </c>
      <c r="K647" s="83"/>
      <c r="L647" s="83"/>
    </row>
    <row r="648" spans="1:12" x14ac:dyDescent="0.25">
      <c r="B648" s="90" t="str">
        <f xml:space="preserve"> ( 'Facility Detail'!$B$756 +3 ) &amp; " Surplus Applied to " &amp; ( 'Facility Detail'!$B$756 + 2 )</f>
        <v>2016 Surplus Applied to 2015</v>
      </c>
      <c r="C648" s="36"/>
      <c r="D648" s="74"/>
      <c r="E648" s="85"/>
      <c r="F648" s="71">
        <f>G648</f>
        <v>0</v>
      </c>
      <c r="G648" s="10"/>
      <c r="H648" s="83"/>
      <c r="I648" s="83"/>
      <c r="J648" s="83"/>
      <c r="K648" s="83"/>
      <c r="L648" s="83"/>
    </row>
    <row r="649" spans="1:12" x14ac:dyDescent="0.25">
      <c r="B649" s="90" t="str">
        <f xml:space="preserve"> ( 'Facility Detail'!$B$756 +3 ) &amp; " Surplus Applied to " &amp; ( 'Facility Detail'!$B$756 + 4 )</f>
        <v>2016 Surplus Applied to 2017</v>
      </c>
      <c r="C649" s="36"/>
      <c r="D649" s="149"/>
      <c r="E649" s="149"/>
      <c r="F649" s="83"/>
      <c r="G649" s="10"/>
      <c r="H649" s="154">
        <f>G649</f>
        <v>0</v>
      </c>
      <c r="I649" s="83"/>
      <c r="J649" s="83"/>
      <c r="K649" s="83"/>
      <c r="L649" s="83"/>
    </row>
    <row r="650" spans="1:12" x14ac:dyDescent="0.25">
      <c r="B650" s="90" t="str">
        <f xml:space="preserve"> ( 'Facility Detail'!$B$756 + 4 ) &amp; " Surplus Applied to " &amp; ( 'Facility Detail'!$B$756 + 3 )</f>
        <v>2017 Surplus Applied to 2016</v>
      </c>
      <c r="C650" s="36"/>
      <c r="D650" s="149"/>
      <c r="E650" s="149"/>
      <c r="F650" s="83"/>
      <c r="G650" s="154">
        <f>H650</f>
        <v>0</v>
      </c>
      <c r="H650" s="10"/>
      <c r="I650" s="83"/>
      <c r="J650" s="83"/>
      <c r="K650" s="83"/>
      <c r="L650" s="83"/>
    </row>
    <row r="651" spans="1:12" x14ac:dyDescent="0.25">
      <c r="B651" s="90" t="str">
        <f xml:space="preserve"> ( 'Facility Detail'!$B$756 + 4 ) &amp; " Surplus Applied to " &amp; ( 'Facility Detail'!$B$756 + 5 )</f>
        <v>2017 Surplus Applied to 2018</v>
      </c>
      <c r="C651" s="36"/>
      <c r="D651" s="149"/>
      <c r="E651" s="149"/>
      <c r="F651" s="83"/>
      <c r="G651" s="83"/>
      <c r="H651" s="10"/>
      <c r="I651" s="154">
        <f>H651</f>
        <v>0</v>
      </c>
      <c r="J651" s="154">
        <f>I651</f>
        <v>0</v>
      </c>
      <c r="K651" s="154"/>
      <c r="L651" s="154"/>
    </row>
    <row r="652" spans="1:12" x14ac:dyDescent="0.25">
      <c r="B652" s="90" t="str">
        <f xml:space="preserve"> ( 'Facility Detail'!$B$756 + 5 ) &amp; " Surplus Applied to " &amp; ( 'Facility Detail'!$B$756 + 4 )</f>
        <v>2018 Surplus Applied to 2017</v>
      </c>
      <c r="C652" s="36"/>
      <c r="D652" s="149"/>
      <c r="E652" s="149"/>
      <c r="F652" s="83"/>
      <c r="G652" s="83"/>
      <c r="H652" s="154">
        <f>I652</f>
        <v>0</v>
      </c>
      <c r="I652" s="10"/>
      <c r="J652" s="10"/>
      <c r="K652" s="10"/>
      <c r="L652" s="10"/>
    </row>
    <row r="653" spans="1:12" x14ac:dyDescent="0.25">
      <c r="B653" s="90" t="str">
        <f xml:space="preserve"> ( 'Facility Detail'!$B$756 + 5 ) &amp; " Surplus Applied to " &amp; ( 'Facility Detail'!$B$756 + 6 )</f>
        <v>2018 Surplus Applied to 2019</v>
      </c>
      <c r="C653" s="36"/>
      <c r="D653" s="149"/>
      <c r="E653" s="149"/>
      <c r="F653" s="83"/>
      <c r="G653" s="83"/>
      <c r="H653" s="83"/>
      <c r="I653" s="10"/>
      <c r="J653" s="10"/>
      <c r="K653" s="10"/>
      <c r="L653" s="10"/>
    </row>
    <row r="654" spans="1:12" x14ac:dyDescent="0.25">
      <c r="B654" s="39" t="s">
        <v>26</v>
      </c>
      <c r="D654" s="7">
        <f xml:space="preserve"> D644 - D643</f>
        <v>0</v>
      </c>
      <c r="E654" s="7">
        <f xml:space="preserve"> E643 + E646 - E645 - E644</f>
        <v>0</v>
      </c>
      <c r="F654" s="7">
        <f>F645+F648-F646-F647</f>
        <v>0</v>
      </c>
      <c r="G654" s="7">
        <f>G647-G648</f>
        <v>0</v>
      </c>
      <c r="H654" s="7">
        <f>H647-H648</f>
        <v>0</v>
      </c>
      <c r="I654" s="7">
        <f>I647-I648</f>
        <v>0</v>
      </c>
      <c r="J654" s="7">
        <f>J647-J648</f>
        <v>0</v>
      </c>
      <c r="K654" s="7"/>
      <c r="L654" s="7"/>
    </row>
    <row r="655" spans="1:12" x14ac:dyDescent="0.25">
      <c r="B655" s="6"/>
      <c r="D655" s="7"/>
      <c r="E655" s="7"/>
      <c r="F655" s="7"/>
      <c r="G655" s="7"/>
      <c r="H655" s="7"/>
      <c r="I655" s="7"/>
      <c r="J655" s="7"/>
      <c r="K655" s="7"/>
      <c r="L655" s="7"/>
    </row>
    <row r="656" spans="1:12" x14ac:dyDescent="0.25">
      <c r="B656" s="97" t="s">
        <v>22</v>
      </c>
      <c r="C656" s="80"/>
      <c r="D656" s="111"/>
      <c r="E656" s="112"/>
      <c r="F656" s="113"/>
      <c r="G656" s="113"/>
      <c r="H656" s="113"/>
      <c r="I656" s="113"/>
      <c r="J656" s="113"/>
      <c r="K656" s="113"/>
      <c r="L656" s="113"/>
    </row>
    <row r="657" spans="1:12" x14ac:dyDescent="0.25">
      <c r="B657" s="6"/>
      <c r="D657" s="7"/>
      <c r="E657" s="7"/>
      <c r="F657" s="7"/>
      <c r="G657" s="7"/>
      <c r="H657" s="7"/>
      <c r="I657" s="7"/>
      <c r="J657" s="7"/>
      <c r="K657" s="7"/>
      <c r="L657" s="7"/>
    </row>
    <row r="658" spans="1:12" ht="15.75" x14ac:dyDescent="0.25">
      <c r="A658" s="93" t="s">
        <v>34</v>
      </c>
      <c r="C658" s="80"/>
      <c r="D658" s="52">
        <f t="shared" ref="D658:K658" si="351" xml:space="preserve"> D629 + D634 + D640 + D654 + D656</f>
        <v>0</v>
      </c>
      <c r="E658" s="53">
        <f t="shared" si="351"/>
        <v>0</v>
      </c>
      <c r="F658" s="54">
        <f t="shared" si="351"/>
        <v>0</v>
      </c>
      <c r="G658" s="54">
        <f t="shared" si="351"/>
        <v>0</v>
      </c>
      <c r="H658" s="54">
        <f t="shared" si="351"/>
        <v>0</v>
      </c>
      <c r="I658" s="54">
        <f t="shared" si="351"/>
        <v>0</v>
      </c>
      <c r="J658" s="54">
        <f t="shared" si="351"/>
        <v>0</v>
      </c>
      <c r="K658" s="54">
        <f t="shared" si="351"/>
        <v>0</v>
      </c>
      <c r="L658" s="54">
        <f t="shared" ref="L658" si="352" xml:space="preserve"> L629 + L634 + L640 + L654 + L656</f>
        <v>0</v>
      </c>
    </row>
    <row r="659" spans="1:12" x14ac:dyDescent="0.25">
      <c r="B659" s="6"/>
      <c r="D659" s="7"/>
      <c r="E659" s="7"/>
      <c r="F659" s="7"/>
      <c r="G659" s="34"/>
      <c r="H659" s="34"/>
      <c r="I659" s="34"/>
      <c r="J659" s="34"/>
      <c r="K659" s="34"/>
      <c r="L659" s="34"/>
    </row>
    <row r="660" spans="1:12" x14ac:dyDescent="0.25">
      <c r="A660" s="1" t="s">
        <v>112</v>
      </c>
      <c r="B660" s="6"/>
      <c r="D660" s="7"/>
      <c r="E660" s="7"/>
      <c r="F660" s="7"/>
      <c r="G660" s="34"/>
      <c r="H660" s="34"/>
      <c r="I660" s="34"/>
      <c r="J660" s="34"/>
      <c r="K660" s="34"/>
      <c r="L660" s="34"/>
    </row>
    <row r="661" spans="1:12" ht="15.75" customHeight="1" thickBot="1" x14ac:dyDescent="0.3">
      <c r="A661" s="195" t="s">
        <v>113</v>
      </c>
      <c r="B661" s="195"/>
      <c r="C661" s="195"/>
      <c r="D661" s="195"/>
      <c r="E661" s="195"/>
      <c r="F661" s="195"/>
      <c r="G661" s="172"/>
      <c r="H661" s="172"/>
      <c r="I661" s="172"/>
      <c r="J661" s="172"/>
      <c r="K661" s="178"/>
      <c r="L661" s="179"/>
    </row>
    <row r="662" spans="1:12" x14ac:dyDescent="0.25">
      <c r="A662" s="8"/>
      <c r="B662" s="8"/>
      <c r="C662" s="8"/>
      <c r="D662" s="8"/>
      <c r="E662" s="8"/>
      <c r="F662" s="8"/>
      <c r="G662" s="8"/>
      <c r="H662" s="8"/>
      <c r="I662" s="8"/>
      <c r="J662" s="8"/>
      <c r="K662" s="8"/>
      <c r="L662" s="8"/>
    </row>
    <row r="663" spans="1:12" ht="21" x14ac:dyDescent="0.35">
      <c r="A663" s="16" t="s">
        <v>4</v>
      </c>
      <c r="B663" s="16"/>
      <c r="C663" s="49" t="str">
        <f>B19</f>
        <v>Adams-Neilson Solar Farm</v>
      </c>
      <c r="D663" s="50"/>
      <c r="E663" s="22"/>
      <c r="F663" s="22"/>
    </row>
    <row r="665" spans="1:12" ht="18.75" x14ac:dyDescent="0.3">
      <c r="A665" s="9" t="s">
        <v>86</v>
      </c>
      <c r="B665" s="9"/>
      <c r="D665" s="2">
        <v>2013</v>
      </c>
      <c r="E665" s="2">
        <f t="shared" ref="E665" si="353">D665+1</f>
        <v>2014</v>
      </c>
      <c r="F665" s="2">
        <f t="shared" ref="F665" si="354">E665+1</f>
        <v>2015</v>
      </c>
      <c r="G665" s="2">
        <f t="shared" ref="G665" si="355">F665+1</f>
        <v>2016</v>
      </c>
      <c r="H665" s="2">
        <f t="shared" ref="H665" si="356">G665+1</f>
        <v>2017</v>
      </c>
      <c r="I665" s="2">
        <f t="shared" ref="I665" si="357">H665+1</f>
        <v>2018</v>
      </c>
      <c r="J665" s="2">
        <f t="shared" ref="J665" si="358">I665+1</f>
        <v>2019</v>
      </c>
      <c r="K665" s="2">
        <f>J665+1</f>
        <v>2020</v>
      </c>
      <c r="L665" s="2">
        <f>K665+1</f>
        <v>2021</v>
      </c>
    </row>
    <row r="666" spans="1:12" x14ac:dyDescent="0.25">
      <c r="B666" s="90" t="str">
        <f>"Total MWh Produced / Purchased from " &amp; C663</f>
        <v>Total MWh Produced / Purchased from Adams-Neilson Solar Farm</v>
      </c>
      <c r="C666" s="80"/>
      <c r="D666" s="3">
        <v>0</v>
      </c>
      <c r="E666" s="4">
        <v>0</v>
      </c>
      <c r="F666" s="5">
        <v>0</v>
      </c>
      <c r="G666" s="5">
        <v>0</v>
      </c>
      <c r="H666" s="5">
        <v>0</v>
      </c>
      <c r="I666" s="5">
        <v>667</v>
      </c>
      <c r="J666" s="5">
        <v>42346</v>
      </c>
      <c r="K666" s="5">
        <v>48500</v>
      </c>
      <c r="L666" s="5">
        <v>48500</v>
      </c>
    </row>
    <row r="667" spans="1:12" x14ac:dyDescent="0.25">
      <c r="B667" s="90" t="s">
        <v>33</v>
      </c>
      <c r="C667" s="80"/>
      <c r="D667" s="64">
        <v>1</v>
      </c>
      <c r="E667" s="65">
        <v>1</v>
      </c>
      <c r="F667" s="66">
        <v>1</v>
      </c>
      <c r="G667" s="66">
        <v>1</v>
      </c>
      <c r="H667" s="66">
        <v>1</v>
      </c>
      <c r="I667" s="66">
        <v>1</v>
      </c>
      <c r="J667" s="66">
        <v>1</v>
      </c>
      <c r="K667" s="66">
        <v>1</v>
      </c>
      <c r="L667" s="66">
        <v>1</v>
      </c>
    </row>
    <row r="668" spans="1:12" x14ac:dyDescent="0.25">
      <c r="B668" s="90" t="s">
        <v>27</v>
      </c>
      <c r="C668" s="80"/>
      <c r="D668" s="57">
        <v>1</v>
      </c>
      <c r="E668" s="58">
        <v>1</v>
      </c>
      <c r="F668" s="59">
        <v>1</v>
      </c>
      <c r="G668" s="59">
        <v>1</v>
      </c>
      <c r="H668" s="59">
        <v>1</v>
      </c>
      <c r="I668" s="59">
        <v>1</v>
      </c>
      <c r="J668" s="59">
        <v>1</v>
      </c>
      <c r="K668" s="59">
        <v>1</v>
      </c>
      <c r="L668" s="59">
        <v>1</v>
      </c>
    </row>
    <row r="669" spans="1:12" x14ac:dyDescent="0.25">
      <c r="B669" s="87" t="s">
        <v>29</v>
      </c>
      <c r="C669" s="88"/>
      <c r="D669" s="44">
        <f t="shared" ref="D669:J669" si="359" xml:space="preserve"> D666 * D667 * D668</f>
        <v>0</v>
      </c>
      <c r="E669" s="44">
        <f t="shared" si="359"/>
        <v>0</v>
      </c>
      <c r="F669" s="44">
        <f t="shared" si="359"/>
        <v>0</v>
      </c>
      <c r="G669" s="44">
        <f t="shared" si="359"/>
        <v>0</v>
      </c>
      <c r="H669" s="44">
        <f t="shared" si="359"/>
        <v>0</v>
      </c>
      <c r="I669" s="44">
        <f t="shared" si="359"/>
        <v>667</v>
      </c>
      <c r="J669" s="44">
        <f t="shared" si="359"/>
        <v>42346</v>
      </c>
      <c r="K669" s="44">
        <f t="shared" ref="K669" si="360" xml:space="preserve"> K666 * K667 * K668</f>
        <v>48500</v>
      </c>
      <c r="L669" s="44">
        <f t="shared" ref="L669" si="361" xml:space="preserve"> L666 * L667 * L668</f>
        <v>48500</v>
      </c>
    </row>
    <row r="670" spans="1:12" x14ac:dyDescent="0.25">
      <c r="B670" s="22"/>
      <c r="C670" s="36"/>
      <c r="D670" s="43"/>
      <c r="E670" s="43"/>
      <c r="F670" s="43"/>
      <c r="G670" s="43"/>
      <c r="H670" s="43"/>
      <c r="I670" s="43"/>
      <c r="J670" s="43"/>
      <c r="K670" s="43"/>
      <c r="L670" s="43"/>
    </row>
    <row r="671" spans="1:12" ht="18.75" x14ac:dyDescent="0.3">
      <c r="A671" s="51" t="s">
        <v>31</v>
      </c>
      <c r="C671" s="36"/>
      <c r="D671" s="2">
        <f>D665</f>
        <v>2013</v>
      </c>
      <c r="E671" s="2">
        <f t="shared" ref="E671" si="362">D671+1</f>
        <v>2014</v>
      </c>
      <c r="F671" s="2">
        <f t="shared" ref="F671" si="363">E671+1</f>
        <v>2015</v>
      </c>
      <c r="G671" s="2">
        <f t="shared" ref="G671" si="364">F671+1</f>
        <v>2016</v>
      </c>
      <c r="H671" s="2">
        <f t="shared" ref="H671" si="365">G671+1</f>
        <v>2017</v>
      </c>
      <c r="I671" s="2">
        <f t="shared" ref="I671" si="366">H671+1</f>
        <v>2018</v>
      </c>
      <c r="J671" s="2">
        <f t="shared" ref="J671" si="367">I671+1</f>
        <v>2019</v>
      </c>
      <c r="K671" s="2">
        <f>J671+1</f>
        <v>2020</v>
      </c>
      <c r="L671" s="2">
        <f>K671+1</f>
        <v>2021</v>
      </c>
    </row>
    <row r="672" spans="1:12" x14ac:dyDescent="0.25">
      <c r="B672" s="90" t="s">
        <v>114</v>
      </c>
      <c r="C672" s="80"/>
      <c r="D672" s="60">
        <f>IF( $E274 = "Eligible", D669 * 'Facility Detail'!$B$753, 0 )</f>
        <v>0</v>
      </c>
      <c r="E672" s="60">
        <f>IF( $E274 = "Eligible", E669 * 'Facility Detail'!$B$753, 0 )</f>
        <v>0</v>
      </c>
      <c r="F672" s="60">
        <f>IF( $E274 = "Eligible", F669 * 'Facility Detail'!$B$753, 0 )</f>
        <v>0</v>
      </c>
      <c r="G672" s="60">
        <f>IF( $E274 = "Eligible", G669 * 'Facility Detail'!$B$753, 0 )</f>
        <v>0</v>
      </c>
      <c r="H672" s="60">
        <f>IF( $E274 = "Eligible", H669 * 'Facility Detail'!$B$753, 0 )</f>
        <v>0</v>
      </c>
      <c r="I672" s="60">
        <f>IF( $E274 = "Eligible", I669 * 'Facility Detail'!$B$753, 0 )</f>
        <v>0</v>
      </c>
      <c r="J672" s="60">
        <f>IF( $E274 = "Eligible", J669 * 'Facility Detail'!$B$753, 0 )</f>
        <v>0</v>
      </c>
      <c r="K672" s="60">
        <f>IF( $E274 = "Eligible", K669 * 'Facility Detail'!$B$753, 0 )</f>
        <v>0</v>
      </c>
      <c r="L672" s="60">
        <f>IF( $E274 = "Eligible", L669 * 'Facility Detail'!$B$753, 0 )</f>
        <v>0</v>
      </c>
    </row>
    <row r="673" spans="1:12" x14ac:dyDescent="0.25">
      <c r="B673" s="90" t="s">
        <v>6</v>
      </c>
      <c r="C673" s="80"/>
      <c r="D673" s="61">
        <f t="shared" ref="D673:J673" si="368">IF( $F19 = "Eligible", D669, 0 )</f>
        <v>0</v>
      </c>
      <c r="E673" s="62">
        <f t="shared" si="368"/>
        <v>0</v>
      </c>
      <c r="F673" s="63">
        <f t="shared" si="368"/>
        <v>0</v>
      </c>
      <c r="G673" s="63">
        <f t="shared" si="368"/>
        <v>0</v>
      </c>
      <c r="H673" s="63">
        <f t="shared" si="368"/>
        <v>0</v>
      </c>
      <c r="I673" s="63">
        <f t="shared" si="368"/>
        <v>0</v>
      </c>
      <c r="J673" s="63">
        <f t="shared" si="368"/>
        <v>0</v>
      </c>
      <c r="K673" s="63">
        <f t="shared" ref="K673" si="369">IF( $F19 = "Eligible", K669, 0 )</f>
        <v>0</v>
      </c>
      <c r="L673" s="63">
        <f t="shared" ref="L673" si="370">IF( $F19 = "Eligible", L669, 0 )</f>
        <v>0</v>
      </c>
    </row>
    <row r="674" spans="1:12" x14ac:dyDescent="0.25">
      <c r="B674" s="89" t="s">
        <v>38</v>
      </c>
      <c r="C674" s="88"/>
      <c r="D674" s="46">
        <f t="shared" ref="D674:I674" si="371">SUM(D672:D673)</f>
        <v>0</v>
      </c>
      <c r="E674" s="47">
        <f t="shared" si="371"/>
        <v>0</v>
      </c>
      <c r="F674" s="47">
        <f t="shared" si="371"/>
        <v>0</v>
      </c>
      <c r="G674" s="47">
        <f t="shared" si="371"/>
        <v>0</v>
      </c>
      <c r="H674" s="47">
        <f t="shared" si="371"/>
        <v>0</v>
      </c>
      <c r="I674" s="47">
        <f t="shared" si="371"/>
        <v>0</v>
      </c>
      <c r="J674" s="47">
        <f t="shared" ref="J674:K674" si="372">SUM(J672:J673)</f>
        <v>0</v>
      </c>
      <c r="K674" s="47">
        <f t="shared" si="372"/>
        <v>0</v>
      </c>
      <c r="L674" s="47">
        <f t="shared" ref="L674" si="373">SUM(L672:L673)</f>
        <v>0</v>
      </c>
    </row>
    <row r="675" spans="1:12" x14ac:dyDescent="0.25">
      <c r="B675" s="36"/>
      <c r="C675" s="36"/>
      <c r="D675" s="45"/>
      <c r="E675" s="37"/>
      <c r="F675" s="37"/>
      <c r="G675" s="37"/>
      <c r="H675" s="37"/>
      <c r="I675" s="37"/>
      <c r="J675" s="37"/>
      <c r="K675" s="37"/>
      <c r="L675" s="37"/>
    </row>
    <row r="676" spans="1:12" ht="18.75" x14ac:dyDescent="0.3">
      <c r="A676" s="48" t="s">
        <v>36</v>
      </c>
      <c r="C676" s="36"/>
      <c r="D676" s="2">
        <f>D665</f>
        <v>2013</v>
      </c>
      <c r="E676" s="2">
        <f t="shared" ref="E676" si="374">D676+1</f>
        <v>2014</v>
      </c>
      <c r="F676" s="2">
        <f t="shared" ref="F676" si="375">E676+1</f>
        <v>2015</v>
      </c>
      <c r="G676" s="2">
        <f t="shared" ref="G676" si="376">F676+1</f>
        <v>2016</v>
      </c>
      <c r="H676" s="2">
        <f t="shared" ref="H676" si="377">G676+1</f>
        <v>2017</v>
      </c>
      <c r="I676" s="2">
        <f t="shared" ref="I676" si="378">H676+1</f>
        <v>2018</v>
      </c>
      <c r="J676" s="2">
        <f t="shared" ref="J676" si="379">I676+1</f>
        <v>2019</v>
      </c>
      <c r="K676" s="2">
        <f>J676+1</f>
        <v>2020</v>
      </c>
      <c r="L676" s="2">
        <f>K676+1</f>
        <v>2021</v>
      </c>
    </row>
    <row r="677" spans="1:12" x14ac:dyDescent="0.25">
      <c r="B677" s="90" t="s">
        <v>115</v>
      </c>
      <c r="C677" s="80"/>
      <c r="D677" s="98">
        <v>0</v>
      </c>
      <c r="E677" s="99">
        <v>0</v>
      </c>
      <c r="F677" s="100">
        <v>0</v>
      </c>
      <c r="G677" s="100">
        <v>0</v>
      </c>
      <c r="H677" s="100">
        <v>0</v>
      </c>
      <c r="I677" s="100">
        <v>-667</v>
      </c>
      <c r="J677" s="100">
        <v>-42346</v>
      </c>
      <c r="K677" s="100">
        <v>-48500</v>
      </c>
      <c r="L677" s="100">
        <v>-48500</v>
      </c>
    </row>
    <row r="678" spans="1:12" x14ac:dyDescent="0.25">
      <c r="B678" s="91" t="s">
        <v>30</v>
      </c>
      <c r="C678" s="92"/>
      <c r="D678" s="101">
        <v>0</v>
      </c>
      <c r="E678" s="102">
        <v>0</v>
      </c>
      <c r="F678" s="103">
        <v>0</v>
      </c>
      <c r="G678" s="103">
        <v>0</v>
      </c>
      <c r="H678" s="103">
        <v>0</v>
      </c>
      <c r="I678" s="103">
        <v>0</v>
      </c>
      <c r="J678" s="103">
        <v>0</v>
      </c>
      <c r="K678" s="103">
        <v>0</v>
      </c>
      <c r="L678" s="103">
        <v>0</v>
      </c>
    </row>
    <row r="679" spans="1:12" x14ac:dyDescent="0.25">
      <c r="B679" s="104" t="s">
        <v>42</v>
      </c>
      <c r="C679" s="96"/>
      <c r="D679" s="67"/>
      <c r="E679" s="68"/>
      <c r="F679" s="69"/>
      <c r="G679" s="69"/>
      <c r="H679" s="69"/>
      <c r="I679" s="69"/>
      <c r="J679" s="69"/>
      <c r="K679" s="69"/>
      <c r="L679" s="69"/>
    </row>
    <row r="680" spans="1:12" x14ac:dyDescent="0.25">
      <c r="B680" s="39" t="s">
        <v>43</v>
      </c>
      <c r="D680" s="7">
        <f t="shared" ref="D680:K680" si="380">SUM(D677:D679)</f>
        <v>0</v>
      </c>
      <c r="E680" s="7">
        <f t="shared" si="380"/>
        <v>0</v>
      </c>
      <c r="F680" s="7">
        <f t="shared" si="380"/>
        <v>0</v>
      </c>
      <c r="G680" s="7">
        <f t="shared" si="380"/>
        <v>0</v>
      </c>
      <c r="H680" s="7">
        <f t="shared" si="380"/>
        <v>0</v>
      </c>
      <c r="I680" s="7">
        <f t="shared" si="380"/>
        <v>-667</v>
      </c>
      <c r="J680" s="7">
        <f t="shared" si="380"/>
        <v>-42346</v>
      </c>
      <c r="K680" s="7">
        <f t="shared" si="380"/>
        <v>-48500</v>
      </c>
      <c r="L680" s="7">
        <f t="shared" ref="L680" si="381">SUM(L677:L679)</f>
        <v>-48500</v>
      </c>
    </row>
    <row r="681" spans="1:12" x14ac:dyDescent="0.25">
      <c r="B681" s="6"/>
      <c r="D681" s="7"/>
      <c r="E681" s="7"/>
      <c r="F681" s="7"/>
      <c r="G681" s="7"/>
      <c r="H681" s="7"/>
      <c r="I681" s="7"/>
      <c r="J681" s="7"/>
      <c r="K681" s="7"/>
      <c r="L681" s="7"/>
    </row>
    <row r="682" spans="1:12" ht="18.75" x14ac:dyDescent="0.3">
      <c r="A682" s="9" t="s">
        <v>44</v>
      </c>
      <c r="D682" s="2">
        <f>D665</f>
        <v>2013</v>
      </c>
      <c r="E682" s="2">
        <f t="shared" ref="E682" si="382">D682+1</f>
        <v>2014</v>
      </c>
      <c r="F682" s="2">
        <f t="shared" ref="F682" si="383">E682+1</f>
        <v>2015</v>
      </c>
      <c r="G682" s="2">
        <f t="shared" ref="G682" si="384">F682+1</f>
        <v>2016</v>
      </c>
      <c r="H682" s="2">
        <f t="shared" ref="H682" si="385">G682+1</f>
        <v>2017</v>
      </c>
      <c r="I682" s="2">
        <f t="shared" ref="I682" si="386">H682+1</f>
        <v>2018</v>
      </c>
      <c r="J682" s="2">
        <f t="shared" ref="J682" si="387">I682+1</f>
        <v>2019</v>
      </c>
      <c r="K682" s="2">
        <f>J682+1</f>
        <v>2020</v>
      </c>
      <c r="L682" s="2">
        <f>K682+1</f>
        <v>2021</v>
      </c>
    </row>
    <row r="683" spans="1:12" x14ac:dyDescent="0.25">
      <c r="B683" s="90" t="str">
        <f xml:space="preserve"> 'Facility Detail'!$B$756 &amp; " Surplus Applied to " &amp; ( 'Facility Detail'!$B$756 + 1 )</f>
        <v>2013 Surplus Applied to 2014</v>
      </c>
      <c r="C683" s="80"/>
      <c r="D683" s="3"/>
      <c r="E683" s="70">
        <f>D683</f>
        <v>0</v>
      </c>
      <c r="F683" s="143"/>
      <c r="G683" s="72"/>
      <c r="H683" s="72"/>
      <c r="I683" s="72"/>
      <c r="J683" s="72"/>
      <c r="K683" s="72"/>
      <c r="L683" s="72"/>
    </row>
    <row r="684" spans="1:12" x14ac:dyDescent="0.25">
      <c r="B684" s="90" t="str">
        <f xml:space="preserve"> ( 'Facility Detail'!$B$756 + 1 ) &amp; " Surplus Applied to " &amp; ( 'Facility Detail'!$B$756 )</f>
        <v>2014 Surplus Applied to 2013</v>
      </c>
      <c r="C684" s="80"/>
      <c r="D684" s="144">
        <f>E684</f>
        <v>0</v>
      </c>
      <c r="E684" s="10"/>
      <c r="F684" s="84"/>
      <c r="G684" s="83"/>
      <c r="H684" s="83"/>
      <c r="I684" s="83"/>
      <c r="J684" s="83"/>
      <c r="K684" s="83"/>
      <c r="L684" s="83"/>
    </row>
    <row r="685" spans="1:12" x14ac:dyDescent="0.25">
      <c r="B685" s="90" t="str">
        <f xml:space="preserve"> ( 'Facility Detail'!$B$756 + 1 ) &amp; " Surplus Applied to " &amp; ( 'Facility Detail'!$B$756 + 2 )</f>
        <v>2014 Surplus Applied to 2015</v>
      </c>
      <c r="C685" s="80"/>
      <c r="D685" s="73"/>
      <c r="E685" s="10"/>
      <c r="F685" s="79">
        <f>E685</f>
        <v>0</v>
      </c>
      <c r="G685" s="83"/>
      <c r="H685" s="83"/>
      <c r="I685" s="83"/>
      <c r="J685" s="83"/>
      <c r="K685" s="83"/>
      <c r="L685" s="83"/>
    </row>
    <row r="686" spans="1:12" x14ac:dyDescent="0.25">
      <c r="B686" s="90" t="str">
        <f xml:space="preserve"> ( 'Facility Detail'!$B$756 + 2 ) &amp; " Surplus Applied to " &amp; ( 'Facility Detail'!$B$756 + 1 )</f>
        <v>2015 Surplus Applied to 2014</v>
      </c>
      <c r="C686" s="80"/>
      <c r="D686" s="73"/>
      <c r="E686" s="79">
        <f>F686</f>
        <v>0</v>
      </c>
      <c r="F686" s="10"/>
      <c r="G686" s="83"/>
      <c r="H686" s="83"/>
      <c r="I686" s="83"/>
      <c r="J686" s="83"/>
      <c r="K686" s="83"/>
      <c r="L686" s="83"/>
    </row>
    <row r="687" spans="1:12" x14ac:dyDescent="0.25">
      <c r="B687" s="90" t="str">
        <f xml:space="preserve"> ( 'Facility Detail'!$B$756 + 2 ) &amp; " Surplus Applied to " &amp; ( 'Facility Detail'!$B$756 + 3 )</f>
        <v>2015 Surplus Applied to 2016</v>
      </c>
      <c r="C687" s="36"/>
      <c r="D687" s="73"/>
      <c r="E687" s="84"/>
      <c r="F687" s="10"/>
      <c r="G687" s="145">
        <f>F687</f>
        <v>0</v>
      </c>
      <c r="H687" s="83"/>
      <c r="I687" s="83">
        <f>H687</f>
        <v>0</v>
      </c>
      <c r="J687" s="83">
        <f>I687</f>
        <v>0</v>
      </c>
      <c r="K687" s="83"/>
      <c r="L687" s="83"/>
    </row>
    <row r="688" spans="1:12" x14ac:dyDescent="0.25">
      <c r="B688" s="90" t="str">
        <f xml:space="preserve"> ( 'Facility Detail'!$B$756 +3 ) &amp; " Surplus Applied to " &amp; ( 'Facility Detail'!$B$756 + 2 )</f>
        <v>2016 Surplus Applied to 2015</v>
      </c>
      <c r="C688" s="36"/>
      <c r="D688" s="74"/>
      <c r="E688" s="85"/>
      <c r="F688" s="71">
        <f>G688</f>
        <v>0</v>
      </c>
      <c r="G688" s="10"/>
      <c r="H688" s="83"/>
      <c r="I688" s="83"/>
      <c r="J688" s="83"/>
      <c r="K688" s="83"/>
      <c r="L688" s="83"/>
    </row>
    <row r="689" spans="1:12" x14ac:dyDescent="0.25">
      <c r="B689" s="90" t="str">
        <f xml:space="preserve"> ( 'Facility Detail'!$B$756 +3 ) &amp; " Surplus Applied to " &amp; ( 'Facility Detail'!$B$756 + 4 )</f>
        <v>2016 Surplus Applied to 2017</v>
      </c>
      <c r="C689" s="36"/>
      <c r="D689" s="149"/>
      <c r="E689" s="149"/>
      <c r="F689" s="83"/>
      <c r="G689" s="10"/>
      <c r="H689" s="154">
        <f>G689</f>
        <v>0</v>
      </c>
      <c r="I689" s="83"/>
      <c r="J689" s="83"/>
      <c r="K689" s="83"/>
      <c r="L689" s="83"/>
    </row>
    <row r="690" spans="1:12" x14ac:dyDescent="0.25">
      <c r="B690" s="90" t="str">
        <f xml:space="preserve"> ( 'Facility Detail'!$B$756 + 4 ) &amp; " Surplus Applied to " &amp; ( 'Facility Detail'!$B$756 + 3 )</f>
        <v>2017 Surplus Applied to 2016</v>
      </c>
      <c r="C690" s="36"/>
      <c r="D690" s="149"/>
      <c r="E690" s="149"/>
      <c r="F690" s="83"/>
      <c r="G690" s="154">
        <f>H690</f>
        <v>0</v>
      </c>
      <c r="H690" s="10"/>
      <c r="I690" s="83"/>
      <c r="J690" s="83"/>
      <c r="K690" s="83"/>
      <c r="L690" s="83"/>
    </row>
    <row r="691" spans="1:12" x14ac:dyDescent="0.25">
      <c r="B691" s="90" t="str">
        <f xml:space="preserve"> ( 'Facility Detail'!$B$756 + 4 ) &amp; " Surplus Applied to " &amp; ( 'Facility Detail'!$B$756 + 5 )</f>
        <v>2017 Surplus Applied to 2018</v>
      </c>
      <c r="C691" s="36"/>
      <c r="D691" s="149"/>
      <c r="E691" s="149"/>
      <c r="F691" s="83"/>
      <c r="G691" s="83"/>
      <c r="H691" s="10"/>
      <c r="I691" s="154">
        <f>H691</f>
        <v>0</v>
      </c>
      <c r="J691" s="154">
        <f>I691</f>
        <v>0</v>
      </c>
      <c r="K691" s="154"/>
      <c r="L691" s="154"/>
    </row>
    <row r="692" spans="1:12" x14ac:dyDescent="0.25">
      <c r="B692" s="90" t="str">
        <f xml:space="preserve"> ( 'Facility Detail'!$B$756 + 5 ) &amp; " Surplus Applied to " &amp; ( 'Facility Detail'!$B$756 + 4 )</f>
        <v>2018 Surplus Applied to 2017</v>
      </c>
      <c r="C692" s="36"/>
      <c r="D692" s="149"/>
      <c r="E692" s="149"/>
      <c r="F692" s="83"/>
      <c r="G692" s="83"/>
      <c r="H692" s="154">
        <f>I692</f>
        <v>0</v>
      </c>
      <c r="I692" s="10"/>
      <c r="J692" s="10"/>
      <c r="K692" s="10"/>
      <c r="L692" s="10"/>
    </row>
    <row r="693" spans="1:12" x14ac:dyDescent="0.25">
      <c r="B693" s="90" t="str">
        <f xml:space="preserve"> ( 'Facility Detail'!$B$756 + 5 ) &amp; " Surplus Applied to " &amp; ( 'Facility Detail'!$B$756 + 6 )</f>
        <v>2018 Surplus Applied to 2019</v>
      </c>
      <c r="C693" s="36"/>
      <c r="D693" s="149"/>
      <c r="E693" s="149"/>
      <c r="F693" s="83"/>
      <c r="G693" s="83"/>
      <c r="H693" s="83"/>
      <c r="I693" s="10"/>
      <c r="J693" s="10"/>
      <c r="K693" s="10"/>
      <c r="L693" s="10"/>
    </row>
    <row r="694" spans="1:12" x14ac:dyDescent="0.25">
      <c r="B694" s="39" t="s">
        <v>26</v>
      </c>
      <c r="D694" s="7">
        <f xml:space="preserve"> D684 - D683</f>
        <v>0</v>
      </c>
      <c r="E694" s="7">
        <f xml:space="preserve"> E683 + E686 - E685 - E684</f>
        <v>0</v>
      </c>
      <c r="F694" s="7">
        <f>F685+F688-F686-F687</f>
        <v>0</v>
      </c>
      <c r="G694" s="7">
        <f t="shared" ref="G694:L694" si="388">G687-G688</f>
        <v>0</v>
      </c>
      <c r="H694" s="7">
        <f t="shared" si="388"/>
        <v>0</v>
      </c>
      <c r="I694" s="7">
        <f t="shared" si="388"/>
        <v>0</v>
      </c>
      <c r="J694" s="7">
        <f t="shared" si="388"/>
        <v>0</v>
      </c>
      <c r="K694" s="7">
        <f t="shared" si="388"/>
        <v>0</v>
      </c>
      <c r="L694" s="7">
        <f t="shared" si="388"/>
        <v>0</v>
      </c>
    </row>
    <row r="695" spans="1:12" x14ac:dyDescent="0.25">
      <c r="B695" s="6"/>
      <c r="D695" s="7"/>
      <c r="E695" s="7"/>
      <c r="F695" s="7"/>
      <c r="G695" s="7"/>
      <c r="H695" s="7"/>
      <c r="I695" s="7"/>
      <c r="J695" s="7"/>
      <c r="K695" s="7"/>
      <c r="L695" s="7"/>
    </row>
    <row r="696" spans="1:12" x14ac:dyDescent="0.25">
      <c r="B696" s="97" t="s">
        <v>22</v>
      </c>
      <c r="C696" s="80"/>
      <c r="D696" s="111"/>
      <c r="E696" s="112"/>
      <c r="F696" s="113"/>
      <c r="G696" s="113"/>
      <c r="H696" s="113"/>
      <c r="I696" s="113"/>
      <c r="J696" s="113"/>
      <c r="K696" s="113"/>
      <c r="L696" s="113"/>
    </row>
    <row r="697" spans="1:12" x14ac:dyDescent="0.25">
      <c r="B697" s="6"/>
      <c r="D697" s="7"/>
      <c r="E697" s="7"/>
      <c r="F697" s="7"/>
      <c r="G697" s="7"/>
      <c r="H697" s="7"/>
      <c r="I697" s="7"/>
      <c r="J697" s="7"/>
      <c r="K697" s="7"/>
      <c r="L697" s="7"/>
    </row>
    <row r="698" spans="1:12" ht="15.75" x14ac:dyDescent="0.25">
      <c r="A698" s="93" t="s">
        <v>34</v>
      </c>
      <c r="C698" s="80"/>
      <c r="D698" s="52">
        <f t="shared" ref="D698:K698" si="389" xml:space="preserve"> D669 + D674 + D680 + D694 + D696</f>
        <v>0</v>
      </c>
      <c r="E698" s="53">
        <f t="shared" si="389"/>
        <v>0</v>
      </c>
      <c r="F698" s="54">
        <f t="shared" si="389"/>
        <v>0</v>
      </c>
      <c r="G698" s="54">
        <f t="shared" si="389"/>
        <v>0</v>
      </c>
      <c r="H698" s="54">
        <f t="shared" si="389"/>
        <v>0</v>
      </c>
      <c r="I698" s="54">
        <f t="shared" si="389"/>
        <v>0</v>
      </c>
      <c r="J698" s="54">
        <f t="shared" si="389"/>
        <v>0</v>
      </c>
      <c r="K698" s="54">
        <f t="shared" si="389"/>
        <v>0</v>
      </c>
      <c r="L698" s="54">
        <f t="shared" ref="L698" si="390" xml:space="preserve"> L669 + L674 + L680 + L694 + L696</f>
        <v>0</v>
      </c>
    </row>
    <row r="699" spans="1:12" ht="50.25" customHeight="1" x14ac:dyDescent="0.25">
      <c r="A699" s="189" t="s">
        <v>118</v>
      </c>
      <c r="B699" s="189"/>
      <c r="C699" s="189"/>
      <c r="D699" s="189"/>
      <c r="E699" s="189"/>
      <c r="F699" s="189"/>
      <c r="G699" s="34"/>
      <c r="H699" s="34"/>
      <c r="I699" s="34"/>
      <c r="J699" s="34"/>
      <c r="K699" s="34"/>
      <c r="L699" s="34"/>
    </row>
    <row r="700" spans="1:12" ht="42.75" customHeight="1" thickBot="1" x14ac:dyDescent="0.3">
      <c r="A700" s="195" t="s">
        <v>119</v>
      </c>
      <c r="B700" s="195"/>
      <c r="C700" s="195"/>
      <c r="D700" s="195"/>
      <c r="E700" s="195"/>
      <c r="F700" s="195"/>
      <c r="G700" s="34"/>
      <c r="H700" s="34"/>
      <c r="I700" s="34"/>
      <c r="J700" s="34"/>
      <c r="K700" s="34"/>
      <c r="L700" s="34"/>
    </row>
    <row r="701" spans="1:12" ht="15.75" thickBot="1" x14ac:dyDescent="0.3">
      <c r="A701" s="195" t="s">
        <v>116</v>
      </c>
      <c r="B701" s="195"/>
      <c r="C701" s="195"/>
      <c r="D701" s="195"/>
      <c r="E701" s="195"/>
      <c r="F701" s="195"/>
      <c r="G701" s="172"/>
      <c r="H701" s="172"/>
      <c r="I701" s="172"/>
      <c r="J701" s="172"/>
      <c r="K701" s="178"/>
      <c r="L701" s="179"/>
    </row>
    <row r="702" spans="1:12" x14ac:dyDescent="0.25">
      <c r="A702" s="8"/>
      <c r="B702" s="8"/>
      <c r="C702" s="8"/>
      <c r="D702" s="8"/>
      <c r="E702" s="8"/>
      <c r="F702" s="8"/>
      <c r="G702" s="8"/>
      <c r="H702" s="8"/>
      <c r="I702" s="8"/>
      <c r="J702" s="8"/>
      <c r="K702" s="8"/>
      <c r="L702" s="8"/>
    </row>
    <row r="703" spans="1:12" ht="21" x14ac:dyDescent="0.35">
      <c r="A703" s="16" t="s">
        <v>4</v>
      </c>
      <c r="B703" s="16"/>
      <c r="C703" s="49" t="str">
        <f>B20</f>
        <v>Rattlesnake Flat Wind</v>
      </c>
      <c r="D703" s="50"/>
      <c r="E703" s="22"/>
      <c r="F703" s="22"/>
    </row>
    <row r="705" spans="1:12" ht="18.75" x14ac:dyDescent="0.3">
      <c r="A705" s="9" t="s">
        <v>86</v>
      </c>
      <c r="B705" s="9"/>
      <c r="D705" s="2">
        <v>2013</v>
      </c>
      <c r="E705" s="2">
        <f t="shared" ref="E705" si="391">D705+1</f>
        <v>2014</v>
      </c>
      <c r="F705" s="2">
        <f t="shared" ref="F705" si="392">E705+1</f>
        <v>2015</v>
      </c>
      <c r="G705" s="2">
        <f t="shared" ref="G705" si="393">F705+1</f>
        <v>2016</v>
      </c>
      <c r="H705" s="2">
        <f t="shared" ref="H705" si="394">G705+1</f>
        <v>2017</v>
      </c>
      <c r="I705" s="2">
        <f t="shared" ref="I705" si="395">H705+1</f>
        <v>2018</v>
      </c>
      <c r="J705" s="2">
        <f t="shared" ref="J705" si="396">I705+1</f>
        <v>2019</v>
      </c>
      <c r="K705" s="2">
        <f>J705+1</f>
        <v>2020</v>
      </c>
      <c r="L705" s="2">
        <f>K705+1</f>
        <v>2021</v>
      </c>
    </row>
    <row r="706" spans="1:12" x14ac:dyDescent="0.25">
      <c r="B706" s="90" t="str">
        <f>"Total MWh Produced / Purchased from " &amp; C703</f>
        <v>Total MWh Produced / Purchased from Rattlesnake Flat Wind</v>
      </c>
      <c r="C706" s="80"/>
      <c r="D706" s="3">
        <v>0</v>
      </c>
      <c r="E706" s="4">
        <v>0</v>
      </c>
      <c r="F706" s="5">
        <v>0</v>
      </c>
      <c r="G706" s="5">
        <v>0</v>
      </c>
      <c r="H706" s="5">
        <v>0</v>
      </c>
      <c r="I706" s="5">
        <v>0</v>
      </c>
      <c r="J706" s="5">
        <v>0</v>
      </c>
      <c r="K706" s="5">
        <v>187546</v>
      </c>
      <c r="L706" s="5">
        <v>465731</v>
      </c>
    </row>
    <row r="707" spans="1:12" x14ac:dyDescent="0.25">
      <c r="B707" s="90" t="s">
        <v>33</v>
      </c>
      <c r="C707" s="80"/>
      <c r="D707" s="64">
        <v>1</v>
      </c>
      <c r="E707" s="65">
        <v>1</v>
      </c>
      <c r="F707" s="66">
        <v>1</v>
      </c>
      <c r="G707" s="66">
        <v>1</v>
      </c>
      <c r="H707" s="66">
        <v>1</v>
      </c>
      <c r="I707" s="66">
        <v>1</v>
      </c>
      <c r="J707" s="66">
        <v>1</v>
      </c>
      <c r="K707" s="66">
        <v>1</v>
      </c>
      <c r="L707" s="66">
        <v>1</v>
      </c>
    </row>
    <row r="708" spans="1:12" x14ac:dyDescent="0.25">
      <c r="B708" s="90" t="s">
        <v>27</v>
      </c>
      <c r="C708" s="80"/>
      <c r="D708" s="57">
        <v>1</v>
      </c>
      <c r="E708" s="58">
        <v>1</v>
      </c>
      <c r="F708" s="59">
        <v>1</v>
      </c>
      <c r="G708" s="59">
        <v>1</v>
      </c>
      <c r="H708" s="59">
        <v>1</v>
      </c>
      <c r="I708" s="59">
        <v>1</v>
      </c>
      <c r="J708" s="59">
        <v>1</v>
      </c>
      <c r="K708" s="59">
        <v>1</v>
      </c>
      <c r="L708" s="59">
        <v>1</v>
      </c>
    </row>
    <row r="709" spans="1:12" x14ac:dyDescent="0.25">
      <c r="B709" s="87" t="s">
        <v>29</v>
      </c>
      <c r="C709" s="88"/>
      <c r="D709" s="44">
        <f t="shared" ref="D709:L709" si="397" xml:space="preserve"> D706 * D707 * D708</f>
        <v>0</v>
      </c>
      <c r="E709" s="44">
        <f t="shared" si="397"/>
        <v>0</v>
      </c>
      <c r="F709" s="44">
        <f t="shared" si="397"/>
        <v>0</v>
      </c>
      <c r="G709" s="44">
        <f t="shared" si="397"/>
        <v>0</v>
      </c>
      <c r="H709" s="44">
        <f t="shared" si="397"/>
        <v>0</v>
      </c>
      <c r="I709" s="44">
        <f t="shared" si="397"/>
        <v>0</v>
      </c>
      <c r="J709" s="44">
        <f t="shared" si="397"/>
        <v>0</v>
      </c>
      <c r="K709" s="44">
        <f t="shared" si="397"/>
        <v>187546</v>
      </c>
      <c r="L709" s="44">
        <f t="shared" si="397"/>
        <v>465731</v>
      </c>
    </row>
    <row r="710" spans="1:12" x14ac:dyDescent="0.25">
      <c r="B710" s="22"/>
      <c r="C710" s="36"/>
      <c r="D710" s="43"/>
      <c r="E710" s="43"/>
      <c r="F710" s="43"/>
      <c r="G710" s="43"/>
      <c r="H710" s="43"/>
      <c r="I710" s="43"/>
      <c r="J710" s="43"/>
      <c r="K710" s="43"/>
      <c r="L710" s="43"/>
    </row>
    <row r="711" spans="1:12" ht="18.75" x14ac:dyDescent="0.3">
      <c r="A711" s="51" t="s">
        <v>31</v>
      </c>
      <c r="C711" s="36"/>
      <c r="D711" s="2">
        <f>D705</f>
        <v>2013</v>
      </c>
      <c r="E711" s="2">
        <f t="shared" ref="E711" si="398">D711+1</f>
        <v>2014</v>
      </c>
      <c r="F711" s="2">
        <f t="shared" ref="F711" si="399">E711+1</f>
        <v>2015</v>
      </c>
      <c r="G711" s="2">
        <f t="shared" ref="G711" si="400">F711+1</f>
        <v>2016</v>
      </c>
      <c r="H711" s="2">
        <f t="shared" ref="H711" si="401">G711+1</f>
        <v>2017</v>
      </c>
      <c r="I711" s="2">
        <f t="shared" ref="I711" si="402">H711+1</f>
        <v>2018</v>
      </c>
      <c r="J711" s="2">
        <f t="shared" ref="J711" si="403">I711+1</f>
        <v>2019</v>
      </c>
      <c r="K711" s="2">
        <f>J711+1</f>
        <v>2020</v>
      </c>
      <c r="L711" s="2">
        <f>K711+1</f>
        <v>2021</v>
      </c>
    </row>
    <row r="712" spans="1:12" x14ac:dyDescent="0.25">
      <c r="B712" s="90" t="s">
        <v>114</v>
      </c>
      <c r="C712" s="80"/>
      <c r="D712" s="60">
        <f>IF( $E314 = "Eligible", D709 * 'Facility Detail'!$B$753, 0 )</f>
        <v>0</v>
      </c>
      <c r="E712" s="60">
        <f>IF( $E314 = "Eligible", E709 * 'Facility Detail'!$B$753, 0 )</f>
        <v>0</v>
      </c>
      <c r="F712" s="60">
        <f>IF( $E314 = "Eligible", F709 * 'Facility Detail'!$B$753, 0 )</f>
        <v>0</v>
      </c>
      <c r="G712" s="60">
        <f>IF( $E314 = "Eligible", G709 * 'Facility Detail'!$B$753, 0 )</f>
        <v>0</v>
      </c>
      <c r="H712" s="60">
        <f>IF( $E314 = "Eligible", H709 * 'Facility Detail'!$B$753, 0 )</f>
        <v>0</v>
      </c>
      <c r="I712" s="60">
        <f>IF( $E314 = "Eligible", I709 * 'Facility Detail'!$B$753, 0 )</f>
        <v>0</v>
      </c>
      <c r="J712" s="60">
        <f>IF( $E314 = "Eligible", J709 * 'Facility Detail'!$B$753, 0 )</f>
        <v>0</v>
      </c>
      <c r="K712" s="60">
        <f>IF( $E314 = "Eligible", K709 * 'Facility Detail'!$B$753, 0 )</f>
        <v>0</v>
      </c>
      <c r="L712" s="60">
        <f>IF( $E314 = "Eligible", L709 * 'Facility Detail'!$B$753, 0 )</f>
        <v>0</v>
      </c>
    </row>
    <row r="713" spans="1:12" x14ac:dyDescent="0.25">
      <c r="B713" s="90" t="s">
        <v>6</v>
      </c>
      <c r="C713" s="80"/>
      <c r="D713" s="61">
        <f t="shared" ref="D713:L713" si="404">IF( $F59 = "Eligible", D709, 0 )</f>
        <v>0</v>
      </c>
      <c r="E713" s="62">
        <f t="shared" si="404"/>
        <v>0</v>
      </c>
      <c r="F713" s="63">
        <f t="shared" si="404"/>
        <v>0</v>
      </c>
      <c r="G713" s="63">
        <f t="shared" si="404"/>
        <v>0</v>
      </c>
      <c r="H713" s="63">
        <f t="shared" si="404"/>
        <v>0</v>
      </c>
      <c r="I713" s="63">
        <f t="shared" si="404"/>
        <v>0</v>
      </c>
      <c r="J713" s="63">
        <f t="shared" si="404"/>
        <v>0</v>
      </c>
      <c r="K713" s="63">
        <f t="shared" si="404"/>
        <v>0</v>
      </c>
      <c r="L713" s="63">
        <f t="shared" si="404"/>
        <v>0</v>
      </c>
    </row>
    <row r="714" spans="1:12" x14ac:dyDescent="0.25">
      <c r="B714" s="89" t="s">
        <v>38</v>
      </c>
      <c r="C714" s="88"/>
      <c r="D714" s="46">
        <f t="shared" ref="D714:I714" si="405">SUM(D712:D713)</f>
        <v>0</v>
      </c>
      <c r="E714" s="47">
        <f t="shared" si="405"/>
        <v>0</v>
      </c>
      <c r="F714" s="47">
        <f t="shared" si="405"/>
        <v>0</v>
      </c>
      <c r="G714" s="47">
        <f t="shared" si="405"/>
        <v>0</v>
      </c>
      <c r="H714" s="47">
        <f t="shared" si="405"/>
        <v>0</v>
      </c>
      <c r="I714" s="47">
        <f t="shared" si="405"/>
        <v>0</v>
      </c>
      <c r="J714" s="47">
        <f t="shared" ref="J714:L714" si="406">SUM(J712:J713)</f>
        <v>0</v>
      </c>
      <c r="K714" s="47">
        <f t="shared" si="406"/>
        <v>0</v>
      </c>
      <c r="L714" s="47">
        <f t="shared" si="406"/>
        <v>0</v>
      </c>
    </row>
    <row r="715" spans="1:12" x14ac:dyDescent="0.25">
      <c r="B715" s="36"/>
      <c r="C715" s="36"/>
      <c r="D715" s="45"/>
      <c r="E715" s="37"/>
      <c r="F715" s="37"/>
      <c r="G715" s="37"/>
      <c r="H715" s="37"/>
      <c r="I715" s="37"/>
      <c r="J715" s="37"/>
      <c r="K715" s="37"/>
      <c r="L715" s="37"/>
    </row>
    <row r="716" spans="1:12" ht="18.75" x14ac:dyDescent="0.3">
      <c r="A716" s="48" t="s">
        <v>36</v>
      </c>
      <c r="C716" s="36"/>
      <c r="D716" s="2">
        <f>D705</f>
        <v>2013</v>
      </c>
      <c r="E716" s="2">
        <f t="shared" ref="E716" si="407">D716+1</f>
        <v>2014</v>
      </c>
      <c r="F716" s="2">
        <f t="shared" ref="F716" si="408">E716+1</f>
        <v>2015</v>
      </c>
      <c r="G716" s="2">
        <f t="shared" ref="G716" si="409">F716+1</f>
        <v>2016</v>
      </c>
      <c r="H716" s="2">
        <f t="shared" ref="H716" si="410">G716+1</f>
        <v>2017</v>
      </c>
      <c r="I716" s="2">
        <f t="shared" ref="I716" si="411">H716+1</f>
        <v>2018</v>
      </c>
      <c r="J716" s="2">
        <f t="shared" ref="J716" si="412">I716+1</f>
        <v>2019</v>
      </c>
      <c r="K716" s="2">
        <f>J716+1</f>
        <v>2020</v>
      </c>
      <c r="L716" s="2">
        <f>K716+1</f>
        <v>2021</v>
      </c>
    </row>
    <row r="717" spans="1:12" x14ac:dyDescent="0.25">
      <c r="B717" s="90" t="s">
        <v>115</v>
      </c>
      <c r="C717" s="80"/>
      <c r="D717" s="98">
        <v>0</v>
      </c>
      <c r="E717" s="99">
        <v>0</v>
      </c>
      <c r="F717" s="100">
        <v>0</v>
      </c>
      <c r="G717" s="100">
        <v>0</v>
      </c>
      <c r="H717" s="100">
        <v>0</v>
      </c>
      <c r="I717" s="100">
        <v>0</v>
      </c>
      <c r="J717" s="100">
        <v>0</v>
      </c>
      <c r="K717" s="100">
        <v>0</v>
      </c>
      <c r="L717" s="100">
        <v>0</v>
      </c>
    </row>
    <row r="718" spans="1:12" x14ac:dyDescent="0.25">
      <c r="B718" s="91" t="s">
        <v>30</v>
      </c>
      <c r="C718" s="92"/>
      <c r="D718" s="101">
        <v>0</v>
      </c>
      <c r="E718" s="102">
        <v>0</v>
      </c>
      <c r="F718" s="103">
        <v>0</v>
      </c>
      <c r="G718" s="103">
        <v>0</v>
      </c>
      <c r="H718" s="103">
        <v>0</v>
      </c>
      <c r="I718" s="103">
        <v>0</v>
      </c>
      <c r="J718" s="103">
        <v>0</v>
      </c>
      <c r="K718" s="103">
        <v>0</v>
      </c>
      <c r="L718" s="103">
        <v>0</v>
      </c>
    </row>
    <row r="719" spans="1:12" x14ac:dyDescent="0.25">
      <c r="B719" s="104" t="s">
        <v>42</v>
      </c>
      <c r="C719" s="96"/>
      <c r="D719" s="67"/>
      <c r="E719" s="68"/>
      <c r="F719" s="69"/>
      <c r="G719" s="69"/>
      <c r="H719" s="69"/>
      <c r="I719" s="69"/>
      <c r="J719" s="69"/>
      <c r="K719" s="69"/>
      <c r="L719" s="69"/>
    </row>
    <row r="720" spans="1:12" x14ac:dyDescent="0.25">
      <c r="B720" s="39" t="s">
        <v>43</v>
      </c>
      <c r="D720" s="7">
        <f t="shared" ref="D720:L720" si="413">SUM(D717:D719)</f>
        <v>0</v>
      </c>
      <c r="E720" s="7">
        <f t="shared" si="413"/>
        <v>0</v>
      </c>
      <c r="F720" s="7">
        <f t="shared" si="413"/>
        <v>0</v>
      </c>
      <c r="G720" s="7">
        <f t="shared" si="413"/>
        <v>0</v>
      </c>
      <c r="H720" s="7">
        <f t="shared" si="413"/>
        <v>0</v>
      </c>
      <c r="I720" s="7">
        <f t="shared" si="413"/>
        <v>0</v>
      </c>
      <c r="J720" s="7">
        <f t="shared" si="413"/>
        <v>0</v>
      </c>
      <c r="K720" s="7">
        <f t="shared" si="413"/>
        <v>0</v>
      </c>
      <c r="L720" s="7">
        <f t="shared" si="413"/>
        <v>0</v>
      </c>
    </row>
    <row r="721" spans="1:12" x14ac:dyDescent="0.25">
      <c r="B721" s="6"/>
      <c r="D721" s="7"/>
      <c r="E721" s="7"/>
      <c r="F721" s="7"/>
      <c r="G721" s="7"/>
      <c r="H721" s="7"/>
      <c r="I721" s="7"/>
      <c r="J721" s="7"/>
      <c r="K721" s="7"/>
      <c r="L721" s="7"/>
    </row>
    <row r="722" spans="1:12" ht="18.75" x14ac:dyDescent="0.3">
      <c r="A722" s="9" t="s">
        <v>44</v>
      </c>
      <c r="D722" s="2">
        <f>D705</f>
        <v>2013</v>
      </c>
      <c r="E722" s="2">
        <f t="shared" ref="E722" si="414">D722+1</f>
        <v>2014</v>
      </c>
      <c r="F722" s="2">
        <f t="shared" ref="F722" si="415">E722+1</f>
        <v>2015</v>
      </c>
      <c r="G722" s="2">
        <f t="shared" ref="G722" si="416">F722+1</f>
        <v>2016</v>
      </c>
      <c r="H722" s="2">
        <f t="shared" ref="H722" si="417">G722+1</f>
        <v>2017</v>
      </c>
      <c r="I722" s="2">
        <f t="shared" ref="I722" si="418">H722+1</f>
        <v>2018</v>
      </c>
      <c r="J722" s="2">
        <f t="shared" ref="J722" si="419">I722+1</f>
        <v>2019</v>
      </c>
      <c r="K722" s="2">
        <f>J722+1</f>
        <v>2020</v>
      </c>
      <c r="L722" s="2">
        <f>K722+1</f>
        <v>2021</v>
      </c>
    </row>
    <row r="723" spans="1:12" x14ac:dyDescent="0.25">
      <c r="B723" s="90" t="str">
        <f xml:space="preserve"> 'Facility Detail'!$B$756 &amp; " Surplus Applied to " &amp; ( 'Facility Detail'!$B$756 + 1 )</f>
        <v>2013 Surplus Applied to 2014</v>
      </c>
      <c r="C723" s="80"/>
      <c r="D723" s="3"/>
      <c r="E723" s="70">
        <f>D723</f>
        <v>0</v>
      </c>
      <c r="F723" s="143"/>
      <c r="G723" s="72"/>
      <c r="H723" s="72"/>
      <c r="I723" s="72"/>
      <c r="J723" s="72"/>
      <c r="K723" s="72"/>
      <c r="L723" s="72"/>
    </row>
    <row r="724" spans="1:12" x14ac:dyDescent="0.25">
      <c r="B724" s="90" t="str">
        <f xml:space="preserve"> ( 'Facility Detail'!$B$756 + 1 ) &amp; " Surplus Applied to " &amp; ( 'Facility Detail'!$B$756 )</f>
        <v>2014 Surplus Applied to 2013</v>
      </c>
      <c r="C724" s="80"/>
      <c r="D724" s="144">
        <f>E724</f>
        <v>0</v>
      </c>
      <c r="E724" s="10"/>
      <c r="F724" s="84"/>
      <c r="G724" s="83"/>
      <c r="H724" s="83"/>
      <c r="I724" s="83"/>
      <c r="J724" s="83"/>
      <c r="K724" s="83"/>
      <c r="L724" s="83"/>
    </row>
    <row r="725" spans="1:12" x14ac:dyDescent="0.25">
      <c r="B725" s="90" t="str">
        <f xml:space="preserve"> ( 'Facility Detail'!$B$756 + 1 ) &amp; " Surplus Applied to " &amp; ( 'Facility Detail'!$B$756 + 2 )</f>
        <v>2014 Surplus Applied to 2015</v>
      </c>
      <c r="C725" s="80"/>
      <c r="D725" s="73"/>
      <c r="E725" s="10"/>
      <c r="F725" s="79">
        <f>E725</f>
        <v>0</v>
      </c>
      <c r="G725" s="83"/>
      <c r="H725" s="83"/>
      <c r="I725" s="83"/>
      <c r="J725" s="83"/>
      <c r="K725" s="83"/>
      <c r="L725" s="83"/>
    </row>
    <row r="726" spans="1:12" x14ac:dyDescent="0.25">
      <c r="B726" s="90" t="str">
        <f xml:space="preserve"> ( 'Facility Detail'!$B$756 + 2 ) &amp; " Surplus Applied to " &amp; ( 'Facility Detail'!$B$756 + 1 )</f>
        <v>2015 Surplus Applied to 2014</v>
      </c>
      <c r="C726" s="80"/>
      <c r="D726" s="73"/>
      <c r="E726" s="79">
        <f>F726</f>
        <v>0</v>
      </c>
      <c r="F726" s="10"/>
      <c r="G726" s="83"/>
      <c r="H726" s="83"/>
      <c r="I726" s="83"/>
      <c r="J726" s="83"/>
      <c r="K726" s="83"/>
      <c r="L726" s="83"/>
    </row>
    <row r="727" spans="1:12" x14ac:dyDescent="0.25">
      <c r="B727" s="90" t="str">
        <f xml:space="preserve"> ( 'Facility Detail'!$B$756 + 2 ) &amp; " Surplus Applied to " &amp; ( 'Facility Detail'!$B$756 + 3 )</f>
        <v>2015 Surplus Applied to 2016</v>
      </c>
      <c r="C727" s="36"/>
      <c r="D727" s="73"/>
      <c r="E727" s="84"/>
      <c r="F727" s="10"/>
      <c r="G727" s="145">
        <f>F727</f>
        <v>0</v>
      </c>
      <c r="H727" s="83"/>
      <c r="I727" s="83">
        <f>H727</f>
        <v>0</v>
      </c>
      <c r="J727" s="83">
        <f>I727</f>
        <v>0</v>
      </c>
      <c r="K727" s="83"/>
      <c r="L727" s="83"/>
    </row>
    <row r="728" spans="1:12" x14ac:dyDescent="0.25">
      <c r="B728" s="90" t="str">
        <f xml:space="preserve"> ( 'Facility Detail'!$B$756 +3 ) &amp; " Surplus Applied to " &amp; ( 'Facility Detail'!$B$756 + 2 )</f>
        <v>2016 Surplus Applied to 2015</v>
      </c>
      <c r="C728" s="36"/>
      <c r="D728" s="74"/>
      <c r="E728" s="85"/>
      <c r="F728" s="71">
        <f>G728</f>
        <v>0</v>
      </c>
      <c r="G728" s="10"/>
      <c r="H728" s="83"/>
      <c r="I728" s="83"/>
      <c r="J728" s="83"/>
      <c r="K728" s="83"/>
      <c r="L728" s="83"/>
    </row>
    <row r="729" spans="1:12" x14ac:dyDescent="0.25">
      <c r="B729" s="90" t="str">
        <f xml:space="preserve"> ( 'Facility Detail'!$B$756 +3 ) &amp; " Surplus Applied to " &amp; ( 'Facility Detail'!$B$756 + 4 )</f>
        <v>2016 Surplus Applied to 2017</v>
      </c>
      <c r="C729" s="36"/>
      <c r="D729" s="149"/>
      <c r="E729" s="149"/>
      <c r="F729" s="83"/>
      <c r="G729" s="10"/>
      <c r="H729" s="154">
        <f>G729</f>
        <v>0</v>
      </c>
      <c r="I729" s="83"/>
      <c r="J729" s="83"/>
      <c r="K729" s="83"/>
      <c r="L729" s="83"/>
    </row>
    <row r="730" spans="1:12" x14ac:dyDescent="0.25">
      <c r="B730" s="90" t="str">
        <f xml:space="preserve"> ( 'Facility Detail'!$B$756 + 4 ) &amp; " Surplus Applied to " &amp; ( 'Facility Detail'!$B$756 + 3 )</f>
        <v>2017 Surplus Applied to 2016</v>
      </c>
      <c r="C730" s="36"/>
      <c r="D730" s="149"/>
      <c r="E730" s="149"/>
      <c r="F730" s="83"/>
      <c r="G730" s="154">
        <f>H730</f>
        <v>0</v>
      </c>
      <c r="H730" s="10"/>
      <c r="I730" s="83"/>
      <c r="J730" s="83"/>
      <c r="K730" s="83"/>
      <c r="L730" s="83"/>
    </row>
    <row r="731" spans="1:12" x14ac:dyDescent="0.25">
      <c r="B731" s="90" t="str">
        <f xml:space="preserve"> ( 'Facility Detail'!$B$756 + 4 ) &amp; " Surplus Applied to " &amp; ( 'Facility Detail'!$B$756 + 5 )</f>
        <v>2017 Surplus Applied to 2018</v>
      </c>
      <c r="C731" s="36"/>
      <c r="D731" s="149"/>
      <c r="E731" s="149"/>
      <c r="F731" s="83"/>
      <c r="G731" s="83"/>
      <c r="H731" s="10"/>
      <c r="I731" s="154">
        <f>H731</f>
        <v>0</v>
      </c>
      <c r="J731" s="154">
        <f>I731</f>
        <v>0</v>
      </c>
      <c r="K731" s="154"/>
      <c r="L731" s="154"/>
    </row>
    <row r="732" spans="1:12" x14ac:dyDescent="0.25">
      <c r="B732" s="90" t="str">
        <f xml:space="preserve"> ( 'Facility Detail'!$B$756 + 5 ) &amp; " Surplus Applied to " &amp; ( 'Facility Detail'!$B$756 + 4 )</f>
        <v>2018 Surplus Applied to 2017</v>
      </c>
      <c r="C732" s="36"/>
      <c r="D732" s="149"/>
      <c r="E732" s="149"/>
      <c r="F732" s="83"/>
      <c r="G732" s="83"/>
      <c r="H732" s="154">
        <f>I732</f>
        <v>0</v>
      </c>
      <c r="I732" s="10"/>
      <c r="J732" s="10"/>
      <c r="K732" s="10"/>
      <c r="L732" s="10"/>
    </row>
    <row r="733" spans="1:12" x14ac:dyDescent="0.25">
      <c r="B733" s="90" t="str">
        <f xml:space="preserve"> ( 'Facility Detail'!$B$756 + 5 ) &amp; " Surplus Applied to " &amp; ( 'Facility Detail'!$B$756 + 6 )</f>
        <v>2018 Surplus Applied to 2019</v>
      </c>
      <c r="C733" s="36"/>
      <c r="D733" s="149"/>
      <c r="E733" s="149"/>
      <c r="F733" s="83"/>
      <c r="G733" s="83"/>
      <c r="H733" s="83"/>
      <c r="I733" s="10"/>
      <c r="J733" s="10"/>
      <c r="K733" s="10"/>
      <c r="L733" s="10"/>
    </row>
    <row r="734" spans="1:12" x14ac:dyDescent="0.25">
      <c r="B734" s="90" t="str">
        <f xml:space="preserve"> ( 'Facility Detail'!$B$756 + 6 ) &amp; " Surplus Applied to " &amp; ( 'Facility Detail'!$B$756 + 7 )</f>
        <v>2019 Surplus Applied to 2020</v>
      </c>
      <c r="C734" s="36"/>
      <c r="D734" s="149"/>
      <c r="E734" s="149"/>
      <c r="F734" s="149"/>
      <c r="G734" s="149"/>
      <c r="H734" s="149"/>
      <c r="I734" s="182"/>
      <c r="J734" s="182"/>
      <c r="K734" s="182"/>
      <c r="L734" s="182"/>
    </row>
    <row r="735" spans="1:12" x14ac:dyDescent="0.25">
      <c r="B735" s="90" t="str">
        <f xml:space="preserve"> ( 'Facility Detail'!$B$756 + 7 ) &amp; " Surplus Applied to " &amp; ( 'Facility Detail'!$B$756 + 8 )</f>
        <v>2020 Surplus Applied to 2021</v>
      </c>
      <c r="C735" s="36"/>
      <c r="D735" s="149"/>
      <c r="E735" s="149"/>
      <c r="F735" s="149"/>
      <c r="G735" s="149"/>
      <c r="H735" s="149"/>
      <c r="I735" s="182"/>
      <c r="J735" s="182"/>
      <c r="K735" s="182"/>
      <c r="L735" s="182"/>
    </row>
    <row r="736" spans="1:12" x14ac:dyDescent="0.25">
      <c r="B736" s="39" t="s">
        <v>26</v>
      </c>
      <c r="D736" s="7">
        <f xml:space="preserve"> D724 - D723</f>
        <v>0</v>
      </c>
      <c r="E736" s="7">
        <f xml:space="preserve"> E723 + E726 - E725 - E724</f>
        <v>0</v>
      </c>
      <c r="F736" s="7">
        <f>F725+F728-F726-F727</f>
        <v>0</v>
      </c>
      <c r="G736" s="7">
        <f t="shared" ref="G736:L736" si="420">G727-G728</f>
        <v>0</v>
      </c>
      <c r="H736" s="7">
        <f t="shared" si="420"/>
        <v>0</v>
      </c>
      <c r="I736" s="7">
        <f t="shared" si="420"/>
        <v>0</v>
      </c>
      <c r="J736" s="7">
        <f>J727-J728</f>
        <v>0</v>
      </c>
      <c r="K736" s="7">
        <f t="shared" si="420"/>
        <v>0</v>
      </c>
      <c r="L736" s="7">
        <f t="shared" si="420"/>
        <v>0</v>
      </c>
    </row>
    <row r="737" spans="1:12" x14ac:dyDescent="0.25">
      <c r="B737" s="6"/>
      <c r="D737" s="7"/>
      <c r="E737" s="7"/>
      <c r="F737" s="7"/>
      <c r="G737" s="7"/>
      <c r="H737" s="7"/>
      <c r="I737" s="7"/>
      <c r="J737" s="7"/>
      <c r="K737" s="7"/>
      <c r="L737" s="7"/>
    </row>
    <row r="738" spans="1:12" x14ac:dyDescent="0.25">
      <c r="B738" s="97" t="s">
        <v>22</v>
      </c>
      <c r="C738" s="80"/>
      <c r="D738" s="111"/>
      <c r="E738" s="112"/>
      <c r="F738" s="113"/>
      <c r="G738" s="113"/>
      <c r="H738" s="113"/>
      <c r="I738" s="113"/>
      <c r="J738" s="113"/>
      <c r="K738" s="113"/>
      <c r="L738" s="113"/>
    </row>
    <row r="739" spans="1:12" x14ac:dyDescent="0.25">
      <c r="B739" s="6"/>
      <c r="D739" s="7"/>
      <c r="E739" s="7"/>
      <c r="F739" s="7"/>
      <c r="G739" s="7"/>
      <c r="H739" s="7"/>
      <c r="I739" s="7"/>
      <c r="J739" s="7"/>
      <c r="K739" s="7"/>
      <c r="L739" s="7"/>
    </row>
    <row r="740" spans="1:12" ht="15.75" x14ac:dyDescent="0.25">
      <c r="A740" s="93" t="s">
        <v>34</v>
      </c>
      <c r="C740" s="80"/>
      <c r="D740" s="52">
        <f t="shared" ref="D740:L740" si="421" xml:space="preserve"> D709 + D714 + D720 + D736 + D738</f>
        <v>0</v>
      </c>
      <c r="E740" s="53">
        <f t="shared" si="421"/>
        <v>0</v>
      </c>
      <c r="F740" s="54">
        <f t="shared" si="421"/>
        <v>0</v>
      </c>
      <c r="G740" s="54">
        <f t="shared" si="421"/>
        <v>0</v>
      </c>
      <c r="H740" s="54">
        <f t="shared" si="421"/>
        <v>0</v>
      </c>
      <c r="I740" s="54">
        <f t="shared" si="421"/>
        <v>0</v>
      </c>
      <c r="J740" s="54">
        <f t="shared" si="421"/>
        <v>0</v>
      </c>
      <c r="K740" s="54">
        <f t="shared" si="421"/>
        <v>187546</v>
      </c>
      <c r="L740" s="54">
        <f t="shared" si="421"/>
        <v>465731</v>
      </c>
    </row>
    <row r="741" spans="1:12" ht="50.25" customHeight="1" x14ac:dyDescent="0.25">
      <c r="A741" s="193" t="s">
        <v>118</v>
      </c>
      <c r="B741" s="193"/>
      <c r="C741" s="193"/>
      <c r="D741" s="193"/>
      <c r="E741" s="193"/>
      <c r="F741" s="193"/>
      <c r="G741" s="34"/>
      <c r="H741" s="34"/>
      <c r="I741" s="34"/>
      <c r="J741" s="34"/>
      <c r="K741" s="34"/>
      <c r="L741" s="34"/>
    </row>
    <row r="742" spans="1:12" ht="42.75" customHeight="1" thickBot="1" x14ac:dyDescent="0.3">
      <c r="A742" s="194" t="s">
        <v>119</v>
      </c>
      <c r="B742" s="194"/>
      <c r="C742" s="194"/>
      <c r="D742" s="194"/>
      <c r="E742" s="194"/>
      <c r="F742" s="194"/>
      <c r="G742" s="34"/>
      <c r="H742" s="34"/>
      <c r="I742" s="34"/>
      <c r="J742" s="34"/>
      <c r="K742" s="34"/>
      <c r="L742" s="34"/>
    </row>
    <row r="743" spans="1:12" ht="15.75" thickBot="1" x14ac:dyDescent="0.3">
      <c r="A743" s="194" t="s">
        <v>116</v>
      </c>
      <c r="B743" s="194"/>
      <c r="C743" s="194"/>
      <c r="D743" s="194"/>
      <c r="E743" s="194"/>
      <c r="F743" s="194"/>
      <c r="G743" s="180"/>
      <c r="H743" s="180"/>
      <c r="I743" s="180"/>
      <c r="J743" s="180"/>
      <c r="K743" s="180"/>
      <c r="L743" s="180"/>
    </row>
    <row r="744" spans="1:12" x14ac:dyDescent="0.25">
      <c r="A744" s="181"/>
      <c r="B744" s="181"/>
      <c r="C744" s="181"/>
      <c r="D744" s="181"/>
      <c r="E744" s="181"/>
      <c r="F744" s="181"/>
      <c r="G744" s="181"/>
      <c r="H744" s="181"/>
      <c r="I744" s="181"/>
      <c r="J744" s="181"/>
      <c r="K744" s="181"/>
      <c r="L744" s="181"/>
    </row>
    <row r="745" spans="1:12" x14ac:dyDescent="0.25">
      <c r="A745" s="181"/>
      <c r="B745" s="181"/>
      <c r="C745" s="181"/>
      <c r="D745" s="181"/>
      <c r="E745" s="181"/>
      <c r="F745" s="181"/>
      <c r="G745" s="181"/>
      <c r="H745" s="181"/>
      <c r="I745" s="181"/>
      <c r="J745" s="181"/>
      <c r="K745" s="181"/>
      <c r="L745" s="181"/>
    </row>
    <row r="746" spans="1:12" x14ac:dyDescent="0.25">
      <c r="A746" s="181"/>
      <c r="B746" s="181"/>
      <c r="C746" s="181"/>
      <c r="D746" s="181"/>
      <c r="E746" s="181"/>
      <c r="F746" s="181"/>
      <c r="G746" s="181"/>
      <c r="H746" s="181"/>
      <c r="I746" s="181"/>
      <c r="J746" s="181"/>
      <c r="K746" s="181"/>
      <c r="L746" s="181"/>
    </row>
    <row r="747" spans="1:12" x14ac:dyDescent="0.25">
      <c r="A747" s="181"/>
      <c r="B747" s="181"/>
      <c r="C747" s="181"/>
      <c r="D747" s="181"/>
      <c r="E747" s="181"/>
      <c r="F747" s="181"/>
      <c r="G747" s="181"/>
      <c r="H747" s="181"/>
      <c r="I747" s="181"/>
      <c r="J747" s="181"/>
      <c r="K747" s="181"/>
      <c r="L747" s="181"/>
    </row>
    <row r="748" spans="1:12" x14ac:dyDescent="0.25">
      <c r="A748" s="181"/>
      <c r="B748" s="181"/>
      <c r="C748" s="181"/>
      <c r="D748" s="181"/>
      <c r="E748" s="181"/>
      <c r="F748" s="181"/>
      <c r="G748" s="181"/>
      <c r="H748" s="181"/>
      <c r="I748" s="181"/>
      <c r="J748" s="181"/>
      <c r="K748" s="181"/>
      <c r="L748" s="181"/>
    </row>
    <row r="749" spans="1:12" x14ac:dyDescent="0.25">
      <c r="B749" s="174" t="s">
        <v>1</v>
      </c>
    </row>
    <row r="750" spans="1:12" x14ac:dyDescent="0.25">
      <c r="B750" s="175" t="s">
        <v>2</v>
      </c>
    </row>
    <row r="752" spans="1:12" x14ac:dyDescent="0.25">
      <c r="B752" s="6" t="s">
        <v>109</v>
      </c>
    </row>
    <row r="753" spans="2:2" x14ac:dyDescent="0.25">
      <c r="B753" s="176">
        <v>0.2</v>
      </c>
    </row>
    <row r="755" spans="2:2" x14ac:dyDescent="0.25">
      <c r="B755" s="6" t="s">
        <v>110</v>
      </c>
    </row>
    <row r="756" spans="2:2" x14ac:dyDescent="0.25">
      <c r="B756" s="176">
        <v>2013</v>
      </c>
    </row>
    <row r="758" spans="2:2" x14ac:dyDescent="0.25">
      <c r="B758" s="6" t="s">
        <v>111</v>
      </c>
    </row>
    <row r="759" spans="2:2" x14ac:dyDescent="0.25">
      <c r="B759" s="173"/>
    </row>
    <row r="760" spans="2:2" x14ac:dyDescent="0.25">
      <c r="B760" s="174" t="s">
        <v>68</v>
      </c>
    </row>
    <row r="761" spans="2:2" x14ac:dyDescent="0.25">
      <c r="B761" s="174" t="s">
        <v>73</v>
      </c>
    </row>
    <row r="762" spans="2:2" x14ac:dyDescent="0.25">
      <c r="B762" s="174" t="s">
        <v>71</v>
      </c>
    </row>
    <row r="763" spans="2:2" x14ac:dyDescent="0.25">
      <c r="B763" s="174" t="s">
        <v>74</v>
      </c>
    </row>
    <row r="764" spans="2:2" x14ac:dyDescent="0.25">
      <c r="B764" s="174" t="s">
        <v>75</v>
      </c>
    </row>
    <row r="765" spans="2:2" x14ac:dyDescent="0.25">
      <c r="B765" s="174" t="s">
        <v>76</v>
      </c>
    </row>
    <row r="766" spans="2:2" x14ac:dyDescent="0.25">
      <c r="B766" s="174" t="s">
        <v>77</v>
      </c>
    </row>
    <row r="767" spans="2:2" x14ac:dyDescent="0.25">
      <c r="B767" s="174" t="s">
        <v>78</v>
      </c>
    </row>
    <row r="768" spans="2:2" x14ac:dyDescent="0.25">
      <c r="B768" s="177" t="s">
        <v>79</v>
      </c>
    </row>
  </sheetData>
  <mergeCells count="16">
    <mergeCell ref="A621:F621"/>
    <mergeCell ref="B33:F33"/>
    <mergeCell ref="A469:F469"/>
    <mergeCell ref="A394:F394"/>
    <mergeCell ref="A433:F433"/>
    <mergeCell ref="A581:F581"/>
    <mergeCell ref="A505:I505"/>
    <mergeCell ref="A540:I540"/>
    <mergeCell ref="A620:F620"/>
    <mergeCell ref="A741:F741"/>
    <mergeCell ref="A742:F742"/>
    <mergeCell ref="A743:F743"/>
    <mergeCell ref="A661:F661"/>
    <mergeCell ref="A701:F701"/>
    <mergeCell ref="A700:F700"/>
    <mergeCell ref="A699:F699"/>
  </mergeCells>
  <phoneticPr fontId="5" type="noConversion"/>
  <dataValidations count="2">
    <dataValidation type="list" allowBlank="1" showInputMessage="1" showErrorMessage="1" sqref="E2:F31">
      <formula1>LaborBonus</formula1>
    </dataValidation>
    <dataValidation type="list" allowBlank="1" showInputMessage="1" showErrorMessage="1" sqref="D2:D12 D14:D16 D20">
      <formula1>Facility</formula1>
    </dataValidation>
  </dataValidations>
  <pageMargins left="0.75" right="0.75" top="1" bottom="1" header="0.5" footer="0.5"/>
  <pageSetup scale="53" fitToHeight="2" orientation="portrait" r:id="rId1"/>
  <headerFooter alignWithMargins="0"/>
  <rowBreaks count="6" manualBreakCount="6">
    <brk id="71" max="11" man="1"/>
    <brk id="143" max="11" man="1"/>
    <brk id="215" max="11" man="1"/>
    <brk id="287" max="11" man="1"/>
    <brk id="359" max="11" man="1"/>
    <brk id="506"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9"/>
  <sheetViews>
    <sheetView showGridLines="0" tabSelected="1" view="pageBreakPreview" topLeftCell="A4" zoomScale="60" zoomScaleNormal="100" workbookViewId="0">
      <selection activeCell="A39" sqref="A39"/>
    </sheetView>
  </sheetViews>
  <sheetFormatPr defaultRowHeight="12.75" outlineLevelRow="1" x14ac:dyDescent="0.2"/>
  <cols>
    <col min="1" max="1" width="28.7109375" style="119" customWidth="1"/>
    <col min="2" max="2" width="25.140625" style="119" bestFit="1" customWidth="1"/>
    <col min="3" max="5" width="16.42578125" style="119" customWidth="1"/>
    <col min="6" max="8" width="14.28515625" style="119" customWidth="1"/>
    <col min="9" max="10" width="16.85546875" style="119" bestFit="1" customWidth="1"/>
    <col min="11" max="11" width="10.5703125" style="119" bestFit="1" customWidth="1"/>
    <col min="12" max="13" width="9.140625" style="119"/>
    <col min="14" max="14" width="9.140625" style="119" customWidth="1"/>
    <col min="15" max="256" width="9.140625" style="119"/>
    <col min="257" max="257" width="27" style="119" customWidth="1"/>
    <col min="258" max="261" width="16.42578125" style="119" customWidth="1"/>
    <col min="262" max="263" width="14.28515625" style="119" customWidth="1"/>
    <col min="264" max="512" width="9.140625" style="119"/>
    <col min="513" max="513" width="27" style="119" customWidth="1"/>
    <col min="514" max="517" width="16.42578125" style="119" customWidth="1"/>
    <col min="518" max="519" width="14.28515625" style="119" customWidth="1"/>
    <col min="520" max="768" width="9.140625" style="119"/>
    <col min="769" max="769" width="27" style="119" customWidth="1"/>
    <col min="770" max="773" width="16.42578125" style="119" customWidth="1"/>
    <col min="774" max="775" width="14.28515625" style="119" customWidth="1"/>
    <col min="776" max="1024" width="9.140625" style="119"/>
    <col min="1025" max="1025" width="27" style="119" customWidth="1"/>
    <col min="1026" max="1029" width="16.42578125" style="119" customWidth="1"/>
    <col min="1030" max="1031" width="14.28515625" style="119" customWidth="1"/>
    <col min="1032" max="1280" width="9.140625" style="119"/>
    <col min="1281" max="1281" width="27" style="119" customWidth="1"/>
    <col min="1282" max="1285" width="16.42578125" style="119" customWidth="1"/>
    <col min="1286" max="1287" width="14.28515625" style="119" customWidth="1"/>
    <col min="1288" max="1536" width="9.140625" style="119"/>
    <col min="1537" max="1537" width="27" style="119" customWidth="1"/>
    <col min="1538" max="1541" width="16.42578125" style="119" customWidth="1"/>
    <col min="1542" max="1543" width="14.28515625" style="119" customWidth="1"/>
    <col min="1544" max="1792" width="9.140625" style="119"/>
    <col min="1793" max="1793" width="27" style="119" customWidth="1"/>
    <col min="1794" max="1797" width="16.42578125" style="119" customWidth="1"/>
    <col min="1798" max="1799" width="14.28515625" style="119" customWidth="1"/>
    <col min="1800" max="2048" width="9.140625" style="119"/>
    <col min="2049" max="2049" width="27" style="119" customWidth="1"/>
    <col min="2050" max="2053" width="16.42578125" style="119" customWidth="1"/>
    <col min="2054" max="2055" width="14.28515625" style="119" customWidth="1"/>
    <col min="2056" max="2304" width="9.140625" style="119"/>
    <col min="2305" max="2305" width="27" style="119" customWidth="1"/>
    <col min="2306" max="2309" width="16.42578125" style="119" customWidth="1"/>
    <col min="2310" max="2311" width="14.28515625" style="119" customWidth="1"/>
    <col min="2312" max="2560" width="9.140625" style="119"/>
    <col min="2561" max="2561" width="27" style="119" customWidth="1"/>
    <col min="2562" max="2565" width="16.42578125" style="119" customWidth="1"/>
    <col min="2566" max="2567" width="14.28515625" style="119" customWidth="1"/>
    <col min="2568" max="2816" width="9.140625" style="119"/>
    <col min="2817" max="2817" width="27" style="119" customWidth="1"/>
    <col min="2818" max="2821" width="16.42578125" style="119" customWidth="1"/>
    <col min="2822" max="2823" width="14.28515625" style="119" customWidth="1"/>
    <col min="2824" max="3072" width="9.140625" style="119"/>
    <col min="3073" max="3073" width="27" style="119" customWidth="1"/>
    <col min="3074" max="3077" width="16.42578125" style="119" customWidth="1"/>
    <col min="3078" max="3079" width="14.28515625" style="119" customWidth="1"/>
    <col min="3080" max="3328" width="9.140625" style="119"/>
    <col min="3329" max="3329" width="27" style="119" customWidth="1"/>
    <col min="3330" max="3333" width="16.42578125" style="119" customWidth="1"/>
    <col min="3334" max="3335" width="14.28515625" style="119" customWidth="1"/>
    <col min="3336" max="3584" width="9.140625" style="119"/>
    <col min="3585" max="3585" width="27" style="119" customWidth="1"/>
    <col min="3586" max="3589" width="16.42578125" style="119" customWidth="1"/>
    <col min="3590" max="3591" width="14.28515625" style="119" customWidth="1"/>
    <col min="3592" max="3840" width="9.140625" style="119"/>
    <col min="3841" max="3841" width="27" style="119" customWidth="1"/>
    <col min="3842" max="3845" width="16.42578125" style="119" customWidth="1"/>
    <col min="3846" max="3847" width="14.28515625" style="119" customWidth="1"/>
    <col min="3848" max="4096" width="9.140625" style="119"/>
    <col min="4097" max="4097" width="27" style="119" customWidth="1"/>
    <col min="4098" max="4101" width="16.42578125" style="119" customWidth="1"/>
    <col min="4102" max="4103" width="14.28515625" style="119" customWidth="1"/>
    <col min="4104" max="4352" width="9.140625" style="119"/>
    <col min="4353" max="4353" width="27" style="119" customWidth="1"/>
    <col min="4354" max="4357" width="16.42578125" style="119" customWidth="1"/>
    <col min="4358" max="4359" width="14.28515625" style="119" customWidth="1"/>
    <col min="4360" max="4608" width="9.140625" style="119"/>
    <col min="4609" max="4609" width="27" style="119" customWidth="1"/>
    <col min="4610" max="4613" width="16.42578125" style="119" customWidth="1"/>
    <col min="4614" max="4615" width="14.28515625" style="119" customWidth="1"/>
    <col min="4616" max="4864" width="9.140625" style="119"/>
    <col min="4865" max="4865" width="27" style="119" customWidth="1"/>
    <col min="4866" max="4869" width="16.42578125" style="119" customWidth="1"/>
    <col min="4870" max="4871" width="14.28515625" style="119" customWidth="1"/>
    <col min="4872" max="5120" width="9.140625" style="119"/>
    <col min="5121" max="5121" width="27" style="119" customWidth="1"/>
    <col min="5122" max="5125" width="16.42578125" style="119" customWidth="1"/>
    <col min="5126" max="5127" width="14.28515625" style="119" customWidth="1"/>
    <col min="5128" max="5376" width="9.140625" style="119"/>
    <col min="5377" max="5377" width="27" style="119" customWidth="1"/>
    <col min="5378" max="5381" width="16.42578125" style="119" customWidth="1"/>
    <col min="5382" max="5383" width="14.28515625" style="119" customWidth="1"/>
    <col min="5384" max="5632" width="9.140625" style="119"/>
    <col min="5633" max="5633" width="27" style="119" customWidth="1"/>
    <col min="5634" max="5637" width="16.42578125" style="119" customWidth="1"/>
    <col min="5638" max="5639" width="14.28515625" style="119" customWidth="1"/>
    <col min="5640" max="5888" width="9.140625" style="119"/>
    <col min="5889" max="5889" width="27" style="119" customWidth="1"/>
    <col min="5890" max="5893" width="16.42578125" style="119" customWidth="1"/>
    <col min="5894" max="5895" width="14.28515625" style="119" customWidth="1"/>
    <col min="5896" max="6144" width="9.140625" style="119"/>
    <col min="6145" max="6145" width="27" style="119" customWidth="1"/>
    <col min="6146" max="6149" width="16.42578125" style="119" customWidth="1"/>
    <col min="6150" max="6151" width="14.28515625" style="119" customWidth="1"/>
    <col min="6152" max="6400" width="9.140625" style="119"/>
    <col min="6401" max="6401" width="27" style="119" customWidth="1"/>
    <col min="6402" max="6405" width="16.42578125" style="119" customWidth="1"/>
    <col min="6406" max="6407" width="14.28515625" style="119" customWidth="1"/>
    <col min="6408" max="6656" width="9.140625" style="119"/>
    <col min="6657" max="6657" width="27" style="119" customWidth="1"/>
    <col min="6658" max="6661" width="16.42578125" style="119" customWidth="1"/>
    <col min="6662" max="6663" width="14.28515625" style="119" customWidth="1"/>
    <col min="6664" max="6912" width="9.140625" style="119"/>
    <col min="6913" max="6913" width="27" style="119" customWidth="1"/>
    <col min="6914" max="6917" width="16.42578125" style="119" customWidth="1"/>
    <col min="6918" max="6919" width="14.28515625" style="119" customWidth="1"/>
    <col min="6920" max="7168" width="9.140625" style="119"/>
    <col min="7169" max="7169" width="27" style="119" customWidth="1"/>
    <col min="7170" max="7173" width="16.42578125" style="119" customWidth="1"/>
    <col min="7174" max="7175" width="14.28515625" style="119" customWidth="1"/>
    <col min="7176" max="7424" width="9.140625" style="119"/>
    <col min="7425" max="7425" width="27" style="119" customWidth="1"/>
    <col min="7426" max="7429" width="16.42578125" style="119" customWidth="1"/>
    <col min="7430" max="7431" width="14.28515625" style="119" customWidth="1"/>
    <col min="7432" max="7680" width="9.140625" style="119"/>
    <col min="7681" max="7681" width="27" style="119" customWidth="1"/>
    <col min="7682" max="7685" width="16.42578125" style="119" customWidth="1"/>
    <col min="7686" max="7687" width="14.28515625" style="119" customWidth="1"/>
    <col min="7688" max="7936" width="9.140625" style="119"/>
    <col min="7937" max="7937" width="27" style="119" customWidth="1"/>
    <col min="7938" max="7941" width="16.42578125" style="119" customWidth="1"/>
    <col min="7942" max="7943" width="14.28515625" style="119" customWidth="1"/>
    <col min="7944" max="8192" width="9.140625" style="119"/>
    <col min="8193" max="8193" width="27" style="119" customWidth="1"/>
    <col min="8194" max="8197" width="16.42578125" style="119" customWidth="1"/>
    <col min="8198" max="8199" width="14.28515625" style="119" customWidth="1"/>
    <col min="8200" max="8448" width="9.140625" style="119"/>
    <col min="8449" max="8449" width="27" style="119" customWidth="1"/>
    <col min="8450" max="8453" width="16.42578125" style="119" customWidth="1"/>
    <col min="8454" max="8455" width="14.28515625" style="119" customWidth="1"/>
    <col min="8456" max="8704" width="9.140625" style="119"/>
    <col min="8705" max="8705" width="27" style="119" customWidth="1"/>
    <col min="8706" max="8709" width="16.42578125" style="119" customWidth="1"/>
    <col min="8710" max="8711" width="14.28515625" style="119" customWidth="1"/>
    <col min="8712" max="8960" width="9.140625" style="119"/>
    <col min="8961" max="8961" width="27" style="119" customWidth="1"/>
    <col min="8962" max="8965" width="16.42578125" style="119" customWidth="1"/>
    <col min="8966" max="8967" width="14.28515625" style="119" customWidth="1"/>
    <col min="8968" max="9216" width="9.140625" style="119"/>
    <col min="9217" max="9217" width="27" style="119" customWidth="1"/>
    <col min="9218" max="9221" width="16.42578125" style="119" customWidth="1"/>
    <col min="9222" max="9223" width="14.28515625" style="119" customWidth="1"/>
    <col min="9224" max="9472" width="9.140625" style="119"/>
    <col min="9473" max="9473" width="27" style="119" customWidth="1"/>
    <col min="9474" max="9477" width="16.42578125" style="119" customWidth="1"/>
    <col min="9478" max="9479" width="14.28515625" style="119" customWidth="1"/>
    <col min="9480" max="9728" width="9.140625" style="119"/>
    <col min="9729" max="9729" width="27" style="119" customWidth="1"/>
    <col min="9730" max="9733" width="16.42578125" style="119" customWidth="1"/>
    <col min="9734" max="9735" width="14.28515625" style="119" customWidth="1"/>
    <col min="9736" max="9984" width="9.140625" style="119"/>
    <col min="9985" max="9985" width="27" style="119" customWidth="1"/>
    <col min="9986" max="9989" width="16.42578125" style="119" customWidth="1"/>
    <col min="9990" max="9991" width="14.28515625" style="119" customWidth="1"/>
    <col min="9992" max="10240" width="9.140625" style="119"/>
    <col min="10241" max="10241" width="27" style="119" customWidth="1"/>
    <col min="10242" max="10245" width="16.42578125" style="119" customWidth="1"/>
    <col min="10246" max="10247" width="14.28515625" style="119" customWidth="1"/>
    <col min="10248" max="10496" width="9.140625" style="119"/>
    <col min="10497" max="10497" width="27" style="119" customWidth="1"/>
    <col min="10498" max="10501" width="16.42578125" style="119" customWidth="1"/>
    <col min="10502" max="10503" width="14.28515625" style="119" customWidth="1"/>
    <col min="10504" max="10752" width="9.140625" style="119"/>
    <col min="10753" max="10753" width="27" style="119" customWidth="1"/>
    <col min="10754" max="10757" width="16.42578125" style="119" customWidth="1"/>
    <col min="10758" max="10759" width="14.28515625" style="119" customWidth="1"/>
    <col min="10760" max="11008" width="9.140625" style="119"/>
    <col min="11009" max="11009" width="27" style="119" customWidth="1"/>
    <col min="11010" max="11013" width="16.42578125" style="119" customWidth="1"/>
    <col min="11014" max="11015" width="14.28515625" style="119" customWidth="1"/>
    <col min="11016" max="11264" width="9.140625" style="119"/>
    <col min="11265" max="11265" width="27" style="119" customWidth="1"/>
    <col min="11266" max="11269" width="16.42578125" style="119" customWidth="1"/>
    <col min="11270" max="11271" width="14.28515625" style="119" customWidth="1"/>
    <col min="11272" max="11520" width="9.140625" style="119"/>
    <col min="11521" max="11521" width="27" style="119" customWidth="1"/>
    <col min="11522" max="11525" width="16.42578125" style="119" customWidth="1"/>
    <col min="11526" max="11527" width="14.28515625" style="119" customWidth="1"/>
    <col min="11528" max="11776" width="9.140625" style="119"/>
    <col min="11777" max="11777" width="27" style="119" customWidth="1"/>
    <col min="11778" max="11781" width="16.42578125" style="119" customWidth="1"/>
    <col min="11782" max="11783" width="14.28515625" style="119" customWidth="1"/>
    <col min="11784" max="12032" width="9.140625" style="119"/>
    <col min="12033" max="12033" width="27" style="119" customWidth="1"/>
    <col min="12034" max="12037" width="16.42578125" style="119" customWidth="1"/>
    <col min="12038" max="12039" width="14.28515625" style="119" customWidth="1"/>
    <col min="12040" max="12288" width="9.140625" style="119"/>
    <col min="12289" max="12289" width="27" style="119" customWidth="1"/>
    <col min="12290" max="12293" width="16.42578125" style="119" customWidth="1"/>
    <col min="12294" max="12295" width="14.28515625" style="119" customWidth="1"/>
    <col min="12296" max="12544" width="9.140625" style="119"/>
    <col min="12545" max="12545" width="27" style="119" customWidth="1"/>
    <col min="12546" max="12549" width="16.42578125" style="119" customWidth="1"/>
    <col min="12550" max="12551" width="14.28515625" style="119" customWidth="1"/>
    <col min="12552" max="12800" width="9.140625" style="119"/>
    <col min="12801" max="12801" width="27" style="119" customWidth="1"/>
    <col min="12802" max="12805" width="16.42578125" style="119" customWidth="1"/>
    <col min="12806" max="12807" width="14.28515625" style="119" customWidth="1"/>
    <col min="12808" max="13056" width="9.140625" style="119"/>
    <col min="13057" max="13057" width="27" style="119" customWidth="1"/>
    <col min="13058" max="13061" width="16.42578125" style="119" customWidth="1"/>
    <col min="13062" max="13063" width="14.28515625" style="119" customWidth="1"/>
    <col min="13064" max="13312" width="9.140625" style="119"/>
    <col min="13313" max="13313" width="27" style="119" customWidth="1"/>
    <col min="13314" max="13317" width="16.42578125" style="119" customWidth="1"/>
    <col min="13318" max="13319" width="14.28515625" style="119" customWidth="1"/>
    <col min="13320" max="13568" width="9.140625" style="119"/>
    <col min="13569" max="13569" width="27" style="119" customWidth="1"/>
    <col min="13570" max="13573" width="16.42578125" style="119" customWidth="1"/>
    <col min="13574" max="13575" width="14.28515625" style="119" customWidth="1"/>
    <col min="13576" max="13824" width="9.140625" style="119"/>
    <col min="13825" max="13825" width="27" style="119" customWidth="1"/>
    <col min="13826" max="13829" width="16.42578125" style="119" customWidth="1"/>
    <col min="13830" max="13831" width="14.28515625" style="119" customWidth="1"/>
    <col min="13832" max="14080" width="9.140625" style="119"/>
    <col min="14081" max="14081" width="27" style="119" customWidth="1"/>
    <col min="14082" max="14085" width="16.42578125" style="119" customWidth="1"/>
    <col min="14086" max="14087" width="14.28515625" style="119" customWidth="1"/>
    <col min="14088" max="14336" width="9.140625" style="119"/>
    <col min="14337" max="14337" width="27" style="119" customWidth="1"/>
    <col min="14338" max="14341" width="16.42578125" style="119" customWidth="1"/>
    <col min="14342" max="14343" width="14.28515625" style="119" customWidth="1"/>
    <col min="14344" max="14592" width="9.140625" style="119"/>
    <col min="14593" max="14593" width="27" style="119" customWidth="1"/>
    <col min="14594" max="14597" width="16.42578125" style="119" customWidth="1"/>
    <col min="14598" max="14599" width="14.28515625" style="119" customWidth="1"/>
    <col min="14600" max="14848" width="9.140625" style="119"/>
    <col min="14849" max="14849" width="27" style="119" customWidth="1"/>
    <col min="14850" max="14853" width="16.42578125" style="119" customWidth="1"/>
    <col min="14854" max="14855" width="14.28515625" style="119" customWidth="1"/>
    <col min="14856" max="15104" width="9.140625" style="119"/>
    <col min="15105" max="15105" width="27" style="119" customWidth="1"/>
    <col min="15106" max="15109" width="16.42578125" style="119" customWidth="1"/>
    <col min="15110" max="15111" width="14.28515625" style="119" customWidth="1"/>
    <col min="15112" max="15360" width="9.140625" style="119"/>
    <col min="15361" max="15361" width="27" style="119" customWidth="1"/>
    <col min="15362" max="15365" width="16.42578125" style="119" customWidth="1"/>
    <col min="15366" max="15367" width="14.28515625" style="119" customWidth="1"/>
    <col min="15368" max="15616" width="9.140625" style="119"/>
    <col min="15617" max="15617" width="27" style="119" customWidth="1"/>
    <col min="15618" max="15621" width="16.42578125" style="119" customWidth="1"/>
    <col min="15622" max="15623" width="14.28515625" style="119" customWidth="1"/>
    <col min="15624" max="15872" width="9.140625" style="119"/>
    <col min="15873" max="15873" width="27" style="119" customWidth="1"/>
    <col min="15874" max="15877" width="16.42578125" style="119" customWidth="1"/>
    <col min="15878" max="15879" width="14.28515625" style="119" customWidth="1"/>
    <col min="15880" max="16128" width="9.140625" style="119"/>
    <col min="16129" max="16129" width="27" style="119" customWidth="1"/>
    <col min="16130" max="16133" width="16.42578125" style="119" customWidth="1"/>
    <col min="16134" max="16135" width="14.28515625" style="119" customWidth="1"/>
    <col min="16136" max="16384" width="9.140625" style="119"/>
  </cols>
  <sheetData>
    <row r="2" spans="1:10" ht="21" x14ac:dyDescent="0.35">
      <c r="A2" s="118" t="s">
        <v>72</v>
      </c>
    </row>
    <row r="4" spans="1:10" ht="15" x14ac:dyDescent="0.25">
      <c r="B4" s="120">
        <v>2013</v>
      </c>
      <c r="C4" s="120">
        <v>2014</v>
      </c>
      <c r="D4" s="120">
        <v>2015</v>
      </c>
      <c r="E4" s="120">
        <v>2016</v>
      </c>
      <c r="F4" s="120">
        <v>2017</v>
      </c>
      <c r="G4" s="120">
        <v>2018</v>
      </c>
      <c r="H4" s="120">
        <v>2019</v>
      </c>
      <c r="I4" s="120">
        <v>2020</v>
      </c>
      <c r="J4" s="120">
        <v>2021</v>
      </c>
    </row>
    <row r="5" spans="1:10" ht="15" x14ac:dyDescent="0.25">
      <c r="A5" s="121" t="s">
        <v>68</v>
      </c>
      <c r="B5" s="122">
        <f t="shared" ref="B5:J5" si="0" xml:space="preserve"> SUMIF( $B$21:$B$39, $A5, C$21:C$39 )</f>
        <v>282692</v>
      </c>
      <c r="C5" s="123">
        <f t="shared" si="0"/>
        <v>45917</v>
      </c>
      <c r="D5" s="124">
        <f t="shared" si="0"/>
        <v>383.40000000002328</v>
      </c>
      <c r="E5" s="124">
        <f t="shared" si="0"/>
        <v>299659</v>
      </c>
      <c r="F5" s="124">
        <f t="shared" si="0"/>
        <v>192375</v>
      </c>
      <c r="G5" s="124">
        <f t="shared" si="0"/>
        <v>363962</v>
      </c>
      <c r="H5" s="124">
        <f t="shared" si="0"/>
        <v>355784</v>
      </c>
      <c r="I5" s="124">
        <f xml:space="preserve"> SUMIF( $B$21:$B$39, $A5, J$21:J$39 )</f>
        <v>604834</v>
      </c>
      <c r="J5" s="124">
        <f t="shared" si="0"/>
        <v>885018</v>
      </c>
    </row>
    <row r="6" spans="1:10" ht="15" x14ac:dyDescent="0.25">
      <c r="A6" s="121" t="s">
        <v>73</v>
      </c>
      <c r="B6" s="125">
        <f t="shared" ref="B6:J6" si="1" xml:space="preserve"> SUMIF( $B$21:$B$39, $A6, C$21:C$39 )</f>
        <v>0</v>
      </c>
      <c r="C6" s="126">
        <f t="shared" si="1"/>
        <v>0</v>
      </c>
      <c r="D6" s="127">
        <f t="shared" si="1"/>
        <v>0</v>
      </c>
      <c r="E6" s="127">
        <f t="shared" si="1"/>
        <v>0</v>
      </c>
      <c r="F6" s="127">
        <f t="shared" si="1"/>
        <v>0</v>
      </c>
      <c r="G6" s="127">
        <f t="shared" si="1"/>
        <v>0</v>
      </c>
      <c r="H6" s="127">
        <f t="shared" si="1"/>
        <v>0</v>
      </c>
      <c r="I6" s="127">
        <f t="shared" si="1"/>
        <v>484</v>
      </c>
      <c r="J6" s="127">
        <f t="shared" si="1"/>
        <v>970</v>
      </c>
    </row>
    <row r="7" spans="1:10" ht="15" x14ac:dyDescent="0.25">
      <c r="A7" s="121" t="s">
        <v>71</v>
      </c>
      <c r="B7" s="125">
        <f t="shared" ref="B7:J7" si="2" xml:space="preserve"> SUMIF( $B$21:$B$39, $A7, C$21:C$39 )</f>
        <v>191205</v>
      </c>
      <c r="C7" s="126">
        <f t="shared" si="2"/>
        <v>170089</v>
      </c>
      <c r="D7" s="127">
        <f t="shared" si="2"/>
        <v>170089</v>
      </c>
      <c r="E7" s="127">
        <f t="shared" si="2"/>
        <v>170304</v>
      </c>
      <c r="F7" s="127">
        <f t="shared" si="2"/>
        <v>192039</v>
      </c>
      <c r="G7" s="127">
        <f t="shared" si="2"/>
        <v>192039</v>
      </c>
      <c r="H7" s="127">
        <f t="shared" si="2"/>
        <v>175582</v>
      </c>
      <c r="I7" s="127">
        <f t="shared" si="2"/>
        <v>177304</v>
      </c>
      <c r="J7" s="127">
        <f t="shared" si="2"/>
        <v>177304</v>
      </c>
    </row>
    <row r="8" spans="1:10" ht="15" x14ac:dyDescent="0.25">
      <c r="A8" s="121" t="s">
        <v>74</v>
      </c>
      <c r="B8" s="125">
        <f t="shared" ref="B8:J8" si="3" xml:space="preserve"> SUMIF( $B$21:$B$39, $A8, C$21:C$39 )</f>
        <v>0</v>
      </c>
      <c r="C8" s="126">
        <f t="shared" si="3"/>
        <v>0</v>
      </c>
      <c r="D8" s="127">
        <f t="shared" si="3"/>
        <v>0</v>
      </c>
      <c r="E8" s="127">
        <f t="shared" si="3"/>
        <v>43846</v>
      </c>
      <c r="F8" s="127">
        <f t="shared" si="3"/>
        <v>105792</v>
      </c>
      <c r="G8" s="127">
        <f t="shared" si="3"/>
        <v>94634</v>
      </c>
      <c r="H8" s="127">
        <f t="shared" si="3"/>
        <v>249183</v>
      </c>
      <c r="I8" s="127">
        <f t="shared" si="3"/>
        <v>285830</v>
      </c>
      <c r="J8" s="127">
        <f t="shared" si="3"/>
        <v>292999</v>
      </c>
    </row>
    <row r="9" spans="1:10" ht="15" x14ac:dyDescent="0.25">
      <c r="A9" s="121" t="s">
        <v>75</v>
      </c>
      <c r="B9" s="125">
        <f t="shared" ref="B9:J9" si="4" xml:space="preserve"> SUMIF( $B$21:$B$39, $A9, C$21:C$39 )</f>
        <v>0</v>
      </c>
      <c r="C9" s="126">
        <f t="shared" si="4"/>
        <v>0</v>
      </c>
      <c r="D9" s="127">
        <f t="shared" si="4"/>
        <v>0</v>
      </c>
      <c r="E9" s="127">
        <f t="shared" si="4"/>
        <v>0</v>
      </c>
      <c r="F9" s="127">
        <f t="shared" si="4"/>
        <v>0</v>
      </c>
      <c r="G9" s="127">
        <f t="shared" si="4"/>
        <v>0</v>
      </c>
      <c r="H9" s="127">
        <f t="shared" si="4"/>
        <v>0</v>
      </c>
      <c r="I9" s="127">
        <f t="shared" si="4"/>
        <v>0</v>
      </c>
      <c r="J9" s="127">
        <f t="shared" si="4"/>
        <v>0</v>
      </c>
    </row>
    <row r="10" spans="1:10" ht="15" x14ac:dyDescent="0.25">
      <c r="A10" s="121" t="s">
        <v>76</v>
      </c>
      <c r="B10" s="125">
        <f xml:space="preserve"> SUMIF( $B$21:$B$39, $A10, C$21:C$39 )</f>
        <v>0</v>
      </c>
      <c r="C10" s="126">
        <f xml:space="preserve"> SUMIF( $B$21:$B$39, $A10, D$21:D$39)</f>
        <v>0</v>
      </c>
      <c r="D10" s="127">
        <f t="shared" ref="D10:J13" si="5" xml:space="preserve"> SUMIF( $B$21:$B$39, $A10, E$21:E$39 )</f>
        <v>0</v>
      </c>
      <c r="E10" s="127">
        <f t="shared" si="5"/>
        <v>0</v>
      </c>
      <c r="F10" s="127">
        <f t="shared" si="5"/>
        <v>0</v>
      </c>
      <c r="G10" s="127">
        <f t="shared" si="5"/>
        <v>0</v>
      </c>
      <c r="H10" s="127">
        <f t="shared" si="5"/>
        <v>0</v>
      </c>
      <c r="I10" s="127">
        <f t="shared" si="5"/>
        <v>0</v>
      </c>
      <c r="J10" s="127">
        <f t="shared" si="5"/>
        <v>0</v>
      </c>
    </row>
    <row r="11" spans="1:10" ht="15" x14ac:dyDescent="0.25">
      <c r="A11" s="121" t="s">
        <v>77</v>
      </c>
      <c r="B11" s="125">
        <f xml:space="preserve"> SUMIF( $B$21:$B$39, $A11, C$21:C$39 )</f>
        <v>0</v>
      </c>
      <c r="C11" s="126">
        <f xml:space="preserve"> SUMIF( $B$21:$B$39, $A11, D$21:D$39)</f>
        <v>0</v>
      </c>
      <c r="D11" s="127">
        <f t="shared" si="5"/>
        <v>0</v>
      </c>
      <c r="E11" s="127">
        <f t="shared" si="5"/>
        <v>0</v>
      </c>
      <c r="F11" s="127">
        <f t="shared" si="5"/>
        <v>0</v>
      </c>
      <c r="G11" s="127">
        <f t="shared" si="5"/>
        <v>0</v>
      </c>
      <c r="H11" s="127">
        <f t="shared" si="5"/>
        <v>0</v>
      </c>
      <c r="I11" s="127">
        <f t="shared" si="5"/>
        <v>0</v>
      </c>
      <c r="J11" s="127">
        <f t="shared" si="5"/>
        <v>0</v>
      </c>
    </row>
    <row r="12" spans="1:10" ht="15" x14ac:dyDescent="0.25">
      <c r="A12" s="121" t="s">
        <v>78</v>
      </c>
      <c r="B12" s="125">
        <f xml:space="preserve"> SUMIF( $B$21:$B$39, $A12, C$21:C$39 )</f>
        <v>0</v>
      </c>
      <c r="C12" s="126">
        <f xml:space="preserve"> SUMIF( $B$21:$B$39, $A12, D$21:D$39 )</f>
        <v>0</v>
      </c>
      <c r="D12" s="127">
        <f t="shared" si="5"/>
        <v>0</v>
      </c>
      <c r="E12" s="127">
        <f t="shared" si="5"/>
        <v>0</v>
      </c>
      <c r="F12" s="127">
        <f t="shared" si="5"/>
        <v>0</v>
      </c>
      <c r="G12" s="127">
        <f t="shared" si="5"/>
        <v>0</v>
      </c>
      <c r="H12" s="127">
        <f t="shared" si="5"/>
        <v>0</v>
      </c>
      <c r="I12" s="127">
        <f t="shared" si="5"/>
        <v>0</v>
      </c>
      <c r="J12" s="127">
        <f t="shared" si="5"/>
        <v>0</v>
      </c>
    </row>
    <row r="13" spans="1:10" ht="15" x14ac:dyDescent="0.25">
      <c r="A13" s="121" t="s">
        <v>79</v>
      </c>
      <c r="B13" s="128">
        <f xml:space="preserve"> SUMIF( $B$21:$B$39, $A13, C$21:C$39 )</f>
        <v>0</v>
      </c>
      <c r="C13" s="129">
        <f xml:space="preserve"> SUMIF( $B$21:$B$39, $A13, D$21:D$39 )</f>
        <v>0</v>
      </c>
      <c r="D13" s="130">
        <f t="shared" si="5"/>
        <v>0</v>
      </c>
      <c r="E13" s="130">
        <f t="shared" si="5"/>
        <v>0</v>
      </c>
      <c r="F13" s="130">
        <f t="shared" si="5"/>
        <v>0</v>
      </c>
      <c r="G13" s="130">
        <f t="shared" si="5"/>
        <v>0</v>
      </c>
      <c r="H13" s="130">
        <f t="shared" si="5"/>
        <v>0</v>
      </c>
      <c r="I13" s="130">
        <f t="shared" si="5"/>
        <v>0</v>
      </c>
      <c r="J13" s="130">
        <f t="shared" si="5"/>
        <v>0</v>
      </c>
    </row>
    <row r="14" spans="1:10" ht="15.75" x14ac:dyDescent="0.25">
      <c r="A14" s="131" t="s">
        <v>56</v>
      </c>
      <c r="B14" s="132">
        <f>SUM(B5:B13)</f>
        <v>473897</v>
      </c>
      <c r="C14" s="132">
        <f t="shared" ref="C14:D14" si="6">SUM(C5:C13)</f>
        <v>216006</v>
      </c>
      <c r="D14" s="132">
        <f t="shared" si="6"/>
        <v>170472.40000000002</v>
      </c>
      <c r="E14" s="132">
        <f t="shared" ref="E14:G14" si="7">SUM(E5:E13)</f>
        <v>513809</v>
      </c>
      <c r="F14" s="132">
        <f t="shared" ref="F14" si="8">SUM(F5:F13)</f>
        <v>490206</v>
      </c>
      <c r="G14" s="132">
        <f t="shared" si="7"/>
        <v>650635</v>
      </c>
      <c r="H14" s="132">
        <f t="shared" ref="H14:I14" si="9">SUM(H5:H13)</f>
        <v>780549</v>
      </c>
      <c r="I14" s="132">
        <f t="shared" si="9"/>
        <v>1068452</v>
      </c>
      <c r="J14" s="132">
        <f t="shared" ref="J14" si="10">SUM(J5:J13)</f>
        <v>1356291</v>
      </c>
    </row>
    <row r="16" spans="1:10" x14ac:dyDescent="0.2">
      <c r="I16" s="185"/>
    </row>
    <row r="19" spans="1:11" outlineLevel="1" x14ac:dyDescent="0.2"/>
    <row r="20" spans="1:11" ht="15" outlineLevel="1" x14ac:dyDescent="0.25">
      <c r="A20" s="133" t="s">
        <v>41</v>
      </c>
      <c r="B20" s="134" t="s">
        <v>80</v>
      </c>
      <c r="C20" s="134">
        <v>2013</v>
      </c>
      <c r="D20" s="134">
        <v>2014</v>
      </c>
      <c r="E20" s="134">
        <v>2015</v>
      </c>
      <c r="F20" s="134">
        <v>2016</v>
      </c>
      <c r="G20" s="134">
        <v>2017</v>
      </c>
      <c r="H20" s="134">
        <v>2018</v>
      </c>
      <c r="I20" s="134">
        <v>2019</v>
      </c>
      <c r="J20" s="134">
        <v>2020</v>
      </c>
      <c r="K20" s="134">
        <v>2021</v>
      </c>
    </row>
    <row r="21" spans="1:11" ht="15" outlineLevel="1" x14ac:dyDescent="0.25">
      <c r="A21" s="135" t="str">
        <f>'Facility Detail'!B2</f>
        <v>Long Lake #3</v>
      </c>
      <c r="B21" s="135" t="str">
        <f xml:space="preserve"> IF( 'Facility Detail'!D2 = "", "", 'Facility Detail'!D2 )</f>
        <v>Water (Incremental Hydro)</v>
      </c>
      <c r="C21" s="122">
        <f>'Facility Detail'!D68</f>
        <v>14197</v>
      </c>
      <c r="D21" s="123">
        <f>'Facility Detail'!E68</f>
        <v>14197</v>
      </c>
      <c r="E21" s="124">
        <f>'Facility Detail'!F68</f>
        <v>14197</v>
      </c>
      <c r="F21" s="124">
        <f>'Facility Detail'!G68</f>
        <v>14197</v>
      </c>
      <c r="G21" s="124">
        <f>'Facility Detail'!H68</f>
        <v>14197</v>
      </c>
      <c r="H21" s="124">
        <f>'Facility Detail'!I68</f>
        <v>14197</v>
      </c>
      <c r="I21" s="124">
        <f>'Facility Detail'!J68</f>
        <v>7241</v>
      </c>
      <c r="J21" s="124">
        <f>'Facility Detail'!K68</f>
        <v>11669</v>
      </c>
      <c r="K21" s="124">
        <f>'Facility Detail'!L68</f>
        <v>11669</v>
      </c>
    </row>
    <row r="22" spans="1:11" ht="15" outlineLevel="1" x14ac:dyDescent="0.25">
      <c r="A22" s="136" t="str">
        <f>'Facility Detail'!B3</f>
        <v>Little Falls #4</v>
      </c>
      <c r="B22" s="136" t="str">
        <f xml:space="preserve"> IF( 'Facility Detail'!D3 = "", "", 'Facility Detail'!D3 )</f>
        <v>Water (Incremental Hydro)</v>
      </c>
      <c r="C22" s="125">
        <f>'Facility Detail'!D104</f>
        <v>4862</v>
      </c>
      <c r="D22" s="126">
        <f>'Facility Detail'!E104</f>
        <v>4862</v>
      </c>
      <c r="E22" s="127">
        <f>'Facility Detail'!F104</f>
        <v>4862</v>
      </c>
      <c r="F22" s="127">
        <f>'Facility Detail'!G104</f>
        <v>4862</v>
      </c>
      <c r="G22" s="127">
        <f>'Facility Detail'!H104</f>
        <v>4862</v>
      </c>
      <c r="H22" s="127">
        <f>'Facility Detail'!I104</f>
        <v>4862</v>
      </c>
      <c r="I22" s="127">
        <f>'Facility Detail'!J104</f>
        <v>0</v>
      </c>
      <c r="J22" s="127">
        <f>'Facility Detail'!K104</f>
        <v>930</v>
      </c>
      <c r="K22" s="127">
        <f>'Facility Detail'!L104</f>
        <v>930</v>
      </c>
    </row>
    <row r="23" spans="1:11" ht="15" outlineLevel="1" x14ac:dyDescent="0.25">
      <c r="A23" s="136" t="str">
        <f>'Facility Detail'!B4</f>
        <v>Cabinet Gorge #2</v>
      </c>
      <c r="B23" s="136" t="str">
        <f xml:space="preserve"> IF( 'Facility Detail'!D4 = "", "", 'Facility Detail'!D4 )</f>
        <v>Water (Incremental Hydro)</v>
      </c>
      <c r="C23" s="125">
        <f>'Facility Detail'!D140</f>
        <v>29008</v>
      </c>
      <c r="D23" s="126">
        <f>'Facility Detail'!E140</f>
        <v>29008</v>
      </c>
      <c r="E23" s="127">
        <f>'Facility Detail'!F140</f>
        <v>29008</v>
      </c>
      <c r="F23" s="127">
        <f>'Facility Detail'!G140</f>
        <v>29008</v>
      </c>
      <c r="G23" s="127">
        <f>'Facility Detail'!H140</f>
        <v>29008</v>
      </c>
      <c r="H23" s="127">
        <f>'Facility Detail'!I140</f>
        <v>29008</v>
      </c>
      <c r="I23" s="127">
        <f>'Facility Detail'!J140</f>
        <v>12184</v>
      </c>
      <c r="J23" s="127">
        <f>'Facility Detail'!K140</f>
        <v>12230</v>
      </c>
      <c r="K23" s="127">
        <f>'Facility Detail'!L140</f>
        <v>12230</v>
      </c>
    </row>
    <row r="24" spans="1:11" ht="15" outlineLevel="1" x14ac:dyDescent="0.25">
      <c r="A24" s="136" t="str">
        <f>'Facility Detail'!B5</f>
        <v>Cabinet Gorge #3</v>
      </c>
      <c r="B24" s="136" t="str">
        <f xml:space="preserve"> IF( 'Facility Detail'!D5 = "", "", 'Facility Detail'!D5 )</f>
        <v>Water (Incremental Hydro)</v>
      </c>
      <c r="C24" s="125">
        <f>'Facility Detail'!D176</f>
        <v>45808</v>
      </c>
      <c r="D24" s="126">
        <f>'Facility Detail'!E176</f>
        <v>45808</v>
      </c>
      <c r="E24" s="127">
        <f>'Facility Detail'!F176</f>
        <v>45808</v>
      </c>
      <c r="F24" s="127">
        <f>'Facility Detail'!G176</f>
        <v>45808</v>
      </c>
      <c r="G24" s="127">
        <f>'Facility Detail'!H176</f>
        <v>45808</v>
      </c>
      <c r="H24" s="127">
        <f>'Facility Detail'!I176</f>
        <v>45808</v>
      </c>
      <c r="I24" s="127">
        <f>'Facility Detail'!J176</f>
        <v>13690</v>
      </c>
      <c r="J24" s="127">
        <f>'Facility Detail'!K176</f>
        <v>16757</v>
      </c>
      <c r="K24" s="127">
        <f>'Facility Detail'!L176</f>
        <v>16757</v>
      </c>
    </row>
    <row r="25" spans="1:11" ht="15" outlineLevel="1" x14ac:dyDescent="0.25">
      <c r="A25" s="136" t="str">
        <f>'Facility Detail'!B6</f>
        <v>Cabinet Gorge #4</v>
      </c>
      <c r="B25" s="136" t="str">
        <f xml:space="preserve"> IF( 'Facility Detail'!D6 = "", "", 'Facility Detail'!D6 )</f>
        <v>Water (Incremental Hydro)</v>
      </c>
      <c r="C25" s="125">
        <f>'Facility Detail'!D212</f>
        <v>20517</v>
      </c>
      <c r="D25" s="126">
        <f>'Facility Detail'!E212</f>
        <v>20517</v>
      </c>
      <c r="E25" s="127">
        <f>'Facility Detail'!F212</f>
        <v>20517</v>
      </c>
      <c r="F25" s="127">
        <f>'Facility Detail'!G212</f>
        <v>20517</v>
      </c>
      <c r="G25" s="127">
        <f>'Facility Detail'!H212</f>
        <v>20517</v>
      </c>
      <c r="H25" s="127">
        <f>'Facility Detail'!I212</f>
        <v>20517</v>
      </c>
      <c r="I25" s="127">
        <f>'Facility Detail'!J212</f>
        <v>6137</v>
      </c>
      <c r="J25" s="127">
        <f>'Facility Detail'!K212</f>
        <v>1357</v>
      </c>
      <c r="K25" s="127">
        <f>'Facility Detail'!L212</f>
        <v>1357</v>
      </c>
    </row>
    <row r="26" spans="1:11" ht="15" outlineLevel="1" x14ac:dyDescent="0.25">
      <c r="A26" s="136" t="str">
        <f>'Facility Detail'!B7</f>
        <v>Noxon Rapids #1</v>
      </c>
      <c r="B26" s="136" t="str">
        <f xml:space="preserve"> IF( 'Facility Detail'!D7 = "", "", 'Facility Detail'!D7 )</f>
        <v>Water (Incremental Hydro)</v>
      </c>
      <c r="C26" s="125">
        <f>'Facility Detail'!D248</f>
        <v>21435</v>
      </c>
      <c r="D26" s="126">
        <f>'Facility Detail'!E248</f>
        <v>21435</v>
      </c>
      <c r="E26" s="127">
        <f>'Facility Detail'!F248</f>
        <v>21435</v>
      </c>
      <c r="F26" s="127">
        <f>'Facility Detail'!G248</f>
        <v>21435</v>
      </c>
      <c r="G26" s="127">
        <f>'Facility Detail'!H248</f>
        <v>21435</v>
      </c>
      <c r="H26" s="127">
        <f>'Facility Detail'!I248</f>
        <v>21435</v>
      </c>
      <c r="I26" s="127">
        <f>'Facility Detail'!J248</f>
        <v>23719</v>
      </c>
      <c r="J26" s="127">
        <f>'Facility Detail'!K248</f>
        <v>25911</v>
      </c>
      <c r="K26" s="127">
        <f>'Facility Detail'!L248</f>
        <v>25911</v>
      </c>
    </row>
    <row r="27" spans="1:11" ht="15" outlineLevel="1" x14ac:dyDescent="0.25">
      <c r="A27" s="136" t="str">
        <f>'Facility Detail'!B8</f>
        <v>Noxon Rapids #2</v>
      </c>
      <c r="B27" s="136" t="str">
        <f xml:space="preserve"> IF( 'Facility Detail'!D8 = "", "", 'Facility Detail'!D8 )</f>
        <v>Water (Incremental Hydro)</v>
      </c>
      <c r="C27" s="125">
        <f>'Facility Detail'!D284</f>
        <v>7709</v>
      </c>
      <c r="D27" s="126">
        <f>'Facility Detail'!E284</f>
        <v>7709</v>
      </c>
      <c r="E27" s="127">
        <f>'Facility Detail'!F284</f>
        <v>7709</v>
      </c>
      <c r="F27" s="127">
        <f>'Facility Detail'!G284</f>
        <v>7709</v>
      </c>
      <c r="G27" s="127">
        <f>'Facility Detail'!H284</f>
        <v>7709</v>
      </c>
      <c r="H27" s="127">
        <f>'Facility Detail'!I284</f>
        <v>7709</v>
      </c>
      <c r="I27" s="127">
        <f>'Facility Detail'!J284</f>
        <v>15492</v>
      </c>
      <c r="J27" s="127">
        <f>'Facility Detail'!K284</f>
        <v>14477</v>
      </c>
      <c r="K27" s="127">
        <f>'Facility Detail'!L284</f>
        <v>14477</v>
      </c>
    </row>
    <row r="28" spans="1:11" ht="15" outlineLevel="1" x14ac:dyDescent="0.25">
      <c r="A28" s="136" t="str">
        <f>'Facility Detail'!B9</f>
        <v>Noxon Rapids #3</v>
      </c>
      <c r="B28" s="136" t="str">
        <f xml:space="preserve"> IF( 'Facility Detail'!D9 = "", "", 'Facility Detail'!D9 )</f>
        <v>Water (Incremental Hydro)</v>
      </c>
      <c r="C28" s="125">
        <f>'Facility Detail'!D320</f>
        <v>14529</v>
      </c>
      <c r="D28" s="126">
        <f>'Facility Detail'!E320</f>
        <v>14529</v>
      </c>
      <c r="E28" s="127">
        <f>'Facility Detail'!F320</f>
        <v>14529</v>
      </c>
      <c r="F28" s="127">
        <f>'Facility Detail'!G320</f>
        <v>14529</v>
      </c>
      <c r="G28" s="127">
        <f>'Facility Detail'!H320</f>
        <v>14529</v>
      </c>
      <c r="H28" s="127">
        <f>'Facility Detail'!I320</f>
        <v>14529</v>
      </c>
      <c r="I28" s="127">
        <f>'Facility Detail'!J320</f>
        <v>25539</v>
      </c>
      <c r="J28" s="127">
        <f>'Facility Detail'!K320</f>
        <v>25479</v>
      </c>
      <c r="K28" s="127">
        <f>'Facility Detail'!L320</f>
        <v>25479</v>
      </c>
    </row>
    <row r="29" spans="1:11" ht="15" outlineLevel="1" x14ac:dyDescent="0.25">
      <c r="A29" s="136" t="str">
        <f>'Facility Detail'!B10</f>
        <v>Noxon Rapids #4</v>
      </c>
      <c r="B29" s="136" t="str">
        <f xml:space="preserve"> IF( 'Facility Detail'!D10 = "", "", 'Facility Detail'!D10 )</f>
        <v>Water (Incremental Hydro)</v>
      </c>
      <c r="C29" s="125">
        <f>'Facility Detail'!D356</f>
        <v>10934</v>
      </c>
      <c r="D29" s="126">
        <f>'Facility Detail'!E356</f>
        <v>12024</v>
      </c>
      <c r="E29" s="127">
        <f>'Facility Detail'!F356</f>
        <v>12024</v>
      </c>
      <c r="F29" s="127">
        <f>'Facility Detail'!G356</f>
        <v>12024</v>
      </c>
      <c r="G29" s="127">
        <f>'Facility Detail'!H356</f>
        <v>12024</v>
      </c>
      <c r="H29" s="127">
        <f>'Facility Detail'!I356</f>
        <v>12024</v>
      </c>
      <c r="I29" s="127">
        <f>'Facility Detail'!J356</f>
        <v>11898</v>
      </c>
      <c r="J29" s="127">
        <f>'Facility Detail'!K356</f>
        <v>9952</v>
      </c>
      <c r="K29" s="127">
        <f>'Facility Detail'!L356</f>
        <v>9952</v>
      </c>
    </row>
    <row r="30" spans="1:11" ht="15" outlineLevel="1" x14ac:dyDescent="0.25">
      <c r="A30" s="136" t="str">
        <f>'Facility Detail'!B11</f>
        <v>Grant PUD Fish Bypasses</v>
      </c>
      <c r="B30" s="136" t="str">
        <f xml:space="preserve"> IF( 'Facility Detail'!D11 = "", "", 'Facility Detail'!D11 )</f>
        <v>Water (Incremental Hydro)</v>
      </c>
      <c r="C30" s="125">
        <f>'Facility Detail'!D392</f>
        <v>22206</v>
      </c>
      <c r="D30" s="126">
        <f>'Facility Detail'!E392</f>
        <v>0</v>
      </c>
      <c r="E30" s="126">
        <f>'Facility Detail'!F392</f>
        <v>0</v>
      </c>
      <c r="F30" s="126">
        <f>'Facility Detail'!G392</f>
        <v>0</v>
      </c>
      <c r="G30" s="126">
        <f>'Facility Detail'!H392</f>
        <v>0</v>
      </c>
      <c r="H30" s="126">
        <f>'Facility Detail'!I392</f>
        <v>0</v>
      </c>
      <c r="I30" s="126">
        <f>'Facility Detail'!J392</f>
        <v>51244</v>
      </c>
      <c r="J30" s="126">
        <f>'Facility Detail'!K392</f>
        <v>51244</v>
      </c>
      <c r="K30" s="126">
        <f>'Facility Detail'!L392</f>
        <v>51244</v>
      </c>
    </row>
    <row r="31" spans="1:11" ht="15" outlineLevel="1" x14ac:dyDescent="0.25">
      <c r="A31" s="136" t="str">
        <f>'Facility Detail'!B12</f>
        <v>Palouse Wind</v>
      </c>
      <c r="B31" s="136" t="str">
        <f xml:space="preserve"> IF( 'Facility Detail'!D12 = "", "", 'Facility Detail'!D12 )</f>
        <v>Wind</v>
      </c>
      <c r="C31" s="125">
        <f>'Facility Detail'!D432</f>
        <v>282692</v>
      </c>
      <c r="D31" s="151">
        <f>'Facility Detail'!E432</f>
        <v>45917</v>
      </c>
      <c r="E31" s="127">
        <f>'Facility Detail'!F432</f>
        <v>0.40000000002328306</v>
      </c>
      <c r="F31" s="127">
        <f>'Facility Detail'!G432</f>
        <v>250042</v>
      </c>
      <c r="G31" s="127">
        <f>'Facility Detail'!H432</f>
        <v>192375</v>
      </c>
      <c r="H31" s="127">
        <f>'Facility Detail'!I432</f>
        <v>363962</v>
      </c>
      <c r="I31" s="127">
        <f>'Facility Detail'!J432</f>
        <v>355784</v>
      </c>
      <c r="J31" s="127">
        <f>'Facility Detail'!K432</f>
        <v>417288</v>
      </c>
      <c r="K31" s="127">
        <f>'Facility Detail'!L432</f>
        <v>419287</v>
      </c>
    </row>
    <row r="32" spans="1:11" ht="15" outlineLevel="1" x14ac:dyDescent="0.25">
      <c r="A32" s="136" t="str">
        <f>'Facility Detail'!B13</f>
        <v>EWEB (Stateline) Wind REC Purchase</v>
      </c>
      <c r="B32" s="136" t="str">
        <f xml:space="preserve"> IF( 'Facility Detail'!D13 = "", "", 'Facility Detail'!D13 )</f>
        <v>Wind</v>
      </c>
      <c r="C32" s="125">
        <f>'Facility Detail'!D466</f>
        <v>0</v>
      </c>
      <c r="D32" s="125">
        <f>'Facility Detail'!E466</f>
        <v>0</v>
      </c>
      <c r="E32" s="125">
        <f>'Facility Detail'!F466</f>
        <v>383</v>
      </c>
      <c r="F32" s="125">
        <f>'Facility Detail'!G466</f>
        <v>49617</v>
      </c>
      <c r="G32" s="125">
        <f>'Facility Detail'!H466</f>
        <v>0</v>
      </c>
      <c r="H32" s="125">
        <f>'Facility Detail'!I466</f>
        <v>0</v>
      </c>
      <c r="I32" s="125">
        <f>'Facility Detail'!J466</f>
        <v>0</v>
      </c>
      <c r="J32" s="125">
        <f>'Facility Detail'!K466</f>
        <v>0</v>
      </c>
      <c r="K32" s="125">
        <f>'Facility Detail'!L466</f>
        <v>0</v>
      </c>
    </row>
    <row r="33" spans="1:11" ht="15" outlineLevel="1" x14ac:dyDescent="0.25">
      <c r="A33" s="136" t="str">
        <f>'Facility Detail'!B14</f>
        <v>Nine Mile #1</v>
      </c>
      <c r="B33" s="136" t="str">
        <f xml:space="preserve"> IF( 'Facility Detail'!D14 = "", "", 'Facility Detail'!D14 )</f>
        <v>Water (Incremental Hydro)</v>
      </c>
      <c r="C33" s="125">
        <f>'Facility Detail'!D502</f>
        <v>0</v>
      </c>
      <c r="D33" s="125">
        <f>'Facility Detail'!E502</f>
        <v>0</v>
      </c>
      <c r="E33" s="125">
        <f>'Facility Detail'!F502</f>
        <v>0</v>
      </c>
      <c r="F33" s="125">
        <f>'Facility Detail'!G502</f>
        <v>215</v>
      </c>
      <c r="G33" s="125">
        <f>'Facility Detail'!H502</f>
        <v>8804</v>
      </c>
      <c r="H33" s="125">
        <f>'Facility Detail'!I502</f>
        <v>8804</v>
      </c>
      <c r="I33" s="125">
        <f>'Facility Detail'!J502</f>
        <v>6608</v>
      </c>
      <c r="J33" s="125">
        <f>'Facility Detail'!K502</f>
        <v>4825</v>
      </c>
      <c r="K33" s="125">
        <f>'Facility Detail'!L502</f>
        <v>4825</v>
      </c>
    </row>
    <row r="34" spans="1:11" ht="15" outlineLevel="1" x14ac:dyDescent="0.25">
      <c r="A34" s="136" t="str">
        <f>'Facility Detail'!B15</f>
        <v>Nine Mile #2</v>
      </c>
      <c r="B34" s="136" t="str">
        <f xml:space="preserve"> IF( 'Facility Detail'!D15 = "", "", 'Facility Detail'!D15 )</f>
        <v>Water (Incremental Hydro)</v>
      </c>
      <c r="C34" s="125">
        <f>'Facility Detail'!D538</f>
        <v>0</v>
      </c>
      <c r="D34" s="125">
        <f>'Facility Detail'!E538</f>
        <v>0</v>
      </c>
      <c r="E34" s="125">
        <f>'Facility Detail'!F538</f>
        <v>0</v>
      </c>
      <c r="F34" s="125">
        <f>'Facility Detail'!G538</f>
        <v>0</v>
      </c>
      <c r="G34" s="125">
        <f>'Facility Detail'!H538</f>
        <v>13146</v>
      </c>
      <c r="H34" s="125">
        <f>'Facility Detail'!I538</f>
        <v>13146</v>
      </c>
      <c r="I34" s="125">
        <f>'Facility Detail'!J538</f>
        <v>1830</v>
      </c>
      <c r="J34" s="125">
        <f>'Facility Detail'!K538</f>
        <v>2473</v>
      </c>
      <c r="K34" s="125">
        <f>'Facility Detail'!L538</f>
        <v>2473</v>
      </c>
    </row>
    <row r="35" spans="1:11" ht="15" outlineLevel="1" x14ac:dyDescent="0.25">
      <c r="A35" s="136" t="str">
        <f>'Facility Detail'!B16</f>
        <v>Kettle Falls</v>
      </c>
      <c r="B35" s="136" t="str">
        <f xml:space="preserve"> IF( 'Facility Detail'!D16 = "", "", 'Facility Detail'!D16 )</f>
        <v>Biomass</v>
      </c>
      <c r="C35" s="125">
        <f>'Facility Detail'!D578</f>
        <v>0</v>
      </c>
      <c r="D35" s="125">
        <f>'Facility Detail'!E578</f>
        <v>0</v>
      </c>
      <c r="E35" s="125">
        <f>'Facility Detail'!F578</f>
        <v>0</v>
      </c>
      <c r="F35" s="125">
        <f>'Facility Detail'!G578</f>
        <v>43846</v>
      </c>
      <c r="G35" s="125">
        <f>'Facility Detail'!H578</f>
        <v>105792</v>
      </c>
      <c r="H35" s="125">
        <f>'Facility Detail'!I578</f>
        <v>94634</v>
      </c>
      <c r="I35" s="125">
        <f>'Facility Detail'!J578</f>
        <v>249183</v>
      </c>
      <c r="J35" s="125">
        <f>'Facility Detail'!K578</f>
        <v>285830</v>
      </c>
      <c r="K35" s="125">
        <f>'Facility Detail'!L578</f>
        <v>292999</v>
      </c>
    </row>
    <row r="36" spans="1:11" ht="15" x14ac:dyDescent="0.25">
      <c r="A36" s="136" t="str">
        <f>'Facility Detail'!B17</f>
        <v>Boulder Community Solar</v>
      </c>
      <c r="B36" s="136" t="str">
        <f xml:space="preserve"> IF( 'Facility Detail'!D17 = "", "", 'Facility Detail'!D17 )</f>
        <v>Solar</v>
      </c>
      <c r="C36" s="125">
        <f>'Facility Detail'!D618</f>
        <v>0</v>
      </c>
      <c r="D36" s="125">
        <f>'Facility Detail'!E618</f>
        <v>0</v>
      </c>
      <c r="E36" s="125">
        <f>'Facility Detail'!F618</f>
        <v>0</v>
      </c>
      <c r="F36" s="125">
        <f>'Facility Detail'!G618</f>
        <v>0</v>
      </c>
      <c r="G36" s="125">
        <f>'Facility Detail'!H618</f>
        <v>0</v>
      </c>
      <c r="H36" s="125">
        <f>'Facility Detail'!I618</f>
        <v>0</v>
      </c>
      <c r="I36" s="125">
        <f>'Facility Detail'!J618</f>
        <v>0</v>
      </c>
      <c r="J36" s="125">
        <f>'Facility Detail'!K618</f>
        <v>484</v>
      </c>
      <c r="K36" s="125">
        <f>'Facility Detail'!L618</f>
        <v>970</v>
      </c>
    </row>
    <row r="37" spans="1:11" ht="15" x14ac:dyDescent="0.25">
      <c r="A37" s="136" t="str">
        <f>'Facility Detail'!B18</f>
        <v>Rathdrum Solar</v>
      </c>
      <c r="B37" s="136" t="str">
        <f xml:space="preserve"> IF( 'Facility Detail'!D18 = "", "", 'Facility Detail'!D18 )</f>
        <v>Solar</v>
      </c>
      <c r="C37" s="125">
        <f>'Facility Detail'!D658</f>
        <v>0</v>
      </c>
      <c r="D37" s="125">
        <f>'Facility Detail'!E658</f>
        <v>0</v>
      </c>
      <c r="E37" s="125">
        <f>'Facility Detail'!F658</f>
        <v>0</v>
      </c>
      <c r="F37" s="125">
        <f>'Facility Detail'!G658</f>
        <v>0</v>
      </c>
      <c r="G37" s="125">
        <f>'Facility Detail'!H658</f>
        <v>0</v>
      </c>
      <c r="H37" s="125">
        <f>'Facility Detail'!I658</f>
        <v>0</v>
      </c>
      <c r="I37" s="125">
        <f>'Facility Detail'!J658</f>
        <v>0</v>
      </c>
      <c r="J37" s="125">
        <f>'Facility Detail'!K658</f>
        <v>0</v>
      </c>
      <c r="K37" s="125">
        <f>'Facility Detail'!L658</f>
        <v>0</v>
      </c>
    </row>
    <row r="38" spans="1:11" ht="15" x14ac:dyDescent="0.25">
      <c r="A38" s="136" t="str">
        <f>'Facility Detail'!B19</f>
        <v>Adams-Neilson Solar Farm</v>
      </c>
      <c r="B38" s="136" t="str">
        <f xml:space="preserve"> IF( 'Facility Detail'!D19 = "", "", 'Facility Detail'!D19 )</f>
        <v>Solar</v>
      </c>
      <c r="C38" s="125">
        <f>'Facility Detail'!D698</f>
        <v>0</v>
      </c>
      <c r="D38" s="125">
        <f>'Facility Detail'!E698</f>
        <v>0</v>
      </c>
      <c r="E38" s="125">
        <f>'Facility Detail'!F698</f>
        <v>0</v>
      </c>
      <c r="F38" s="125">
        <f>'Facility Detail'!G698</f>
        <v>0</v>
      </c>
      <c r="G38" s="125">
        <f>'Facility Detail'!H698</f>
        <v>0</v>
      </c>
      <c r="H38" s="125">
        <f>'Facility Detail'!I698</f>
        <v>0</v>
      </c>
      <c r="I38" s="125">
        <f>'Facility Detail'!J698</f>
        <v>0</v>
      </c>
      <c r="J38" s="125">
        <f>'Facility Detail'!K698</f>
        <v>0</v>
      </c>
      <c r="K38" s="125">
        <f>'Facility Detail'!L698</f>
        <v>0</v>
      </c>
    </row>
    <row r="39" spans="1:11" ht="15" x14ac:dyDescent="0.25">
      <c r="A39" s="136" t="str">
        <f>'Facility Detail'!B20</f>
        <v>Rattlesnake Flat Wind</v>
      </c>
      <c r="B39" s="136" t="str">
        <f xml:space="preserve"> IF( 'Facility Detail'!D20 = "", "", 'Facility Detail'!D20 )</f>
        <v>Wind</v>
      </c>
      <c r="C39" s="125">
        <f>'Facility Detail'!D740</f>
        <v>0</v>
      </c>
      <c r="D39" s="125">
        <f>'Facility Detail'!E740</f>
        <v>0</v>
      </c>
      <c r="E39" s="125">
        <f>'Facility Detail'!F740</f>
        <v>0</v>
      </c>
      <c r="F39" s="125">
        <f>'Facility Detail'!G740</f>
        <v>0</v>
      </c>
      <c r="G39" s="125">
        <f>'Facility Detail'!H740</f>
        <v>0</v>
      </c>
      <c r="H39" s="125">
        <f>'Facility Detail'!I740</f>
        <v>0</v>
      </c>
      <c r="I39" s="125">
        <f>'Facility Detail'!J740</f>
        <v>0</v>
      </c>
      <c r="J39" s="125">
        <f>'Facility Detail'!K740</f>
        <v>187546</v>
      </c>
      <c r="K39" s="125">
        <f>'Facility Detail'!L740</f>
        <v>465731</v>
      </c>
    </row>
  </sheetData>
  <pageMargins left="0.7" right="0.7" top="0.75" bottom="0.75" header="0.3" footer="0.3"/>
  <pageSetup scale="9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B565E3346B944D4D9F6D8757E192A487" ma:contentTypeVersion="52" ma:contentTypeDescription="" ma:contentTypeScope="" ma:versionID="cdffdd5af7fd41ef6b2ab174453b7f63">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Closed</CaseStatus>
    <OpenedDate xmlns="dc463f71-b30c-4ab2-9473-d307f9d35888">2020-06-01T07:00:00+00:00</OpenedDate>
    <SignificantOrder xmlns="dc463f71-b30c-4ab2-9473-d307f9d35888">false</SignificantOrder>
    <Date1 xmlns="dc463f71-b30c-4ab2-9473-d307f9d35888">2020-07-01T07:00:00+00:00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200505</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BD1F17BC-8BD2-4399-A2A4-47520529903A}"/>
</file>

<file path=customXml/itemProps2.xml><?xml version="1.0" encoding="utf-8"?>
<ds:datastoreItem xmlns:ds="http://schemas.openxmlformats.org/officeDocument/2006/customXml" ds:itemID="{E339E1F3-6939-4B78-9FAF-00F6A770FC99}"/>
</file>

<file path=customXml/itemProps3.xml><?xml version="1.0" encoding="utf-8"?>
<ds:datastoreItem xmlns:ds="http://schemas.openxmlformats.org/officeDocument/2006/customXml" ds:itemID="{9A31012A-9405-4546-B72B-D345B4C7CC85}"/>
</file>

<file path=customXml/itemProps4.xml><?xml version="1.0" encoding="utf-8"?>
<ds:datastoreItem xmlns:ds="http://schemas.openxmlformats.org/officeDocument/2006/customXml" ds:itemID="{C40E05EC-487A-4BA6-B448-AC0FC6C9B06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Summary</vt:lpstr>
      <vt:lpstr>Facility Detail</vt:lpstr>
      <vt:lpstr>Generation Rollup</vt:lpstr>
      <vt:lpstr>Facility</vt:lpstr>
      <vt:lpstr>'Generation Rollup'!LaborBonus</vt:lpstr>
      <vt:lpstr>LaborBonus</vt:lpstr>
      <vt:lpstr>'Facility Detail'!Print_Area</vt:lpstr>
      <vt:lpstr>'Generation Rollup'!Print_Area</vt:lpstr>
      <vt:lpstr>Summary!Print_Area</vt:lpstr>
    </vt:vector>
  </TitlesOfParts>
  <Company>Puget Sound Energy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Spencer Watts</dc:creator>
  <cp:lastModifiedBy>Lyons, John</cp:lastModifiedBy>
  <cp:lastPrinted>2017-07-11T18:54:52Z</cp:lastPrinted>
  <dcterms:created xsi:type="dcterms:W3CDTF">2011-06-02T16:07:19Z</dcterms:created>
  <dcterms:modified xsi:type="dcterms:W3CDTF">2020-06-29T22:10:15Z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0x0101006E56B4D1795A2E4DB2F0B01679ED314A00B565E3346B944D4D9F6D8757E192A487</vt:lpwstr>
  </property>
  <property fmtid="{D5CDD505-2E9C-101B-9397-08002B2CF9AE}" pid="3" name="_docset_NoMedatataSyncRequired">
    <vt:lpwstr>False</vt:lpwstr>
  </property>
  <property fmtid="{D5CDD505-2E9C-101B-9397-08002B2CF9AE}" pid="4" name="IsEFSEC">
    <vt:bool>false</vt:bool>
  </property>
</Properties>
</file>