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30" yWindow="75" windowWidth="12840" windowHeight="11940" tabRatio="730" activeTab="2"/>
  </bookViews>
  <sheets>
    <sheet name="References" sheetId="4" r:id="rId1"/>
    <sheet name="Gray's DF Calc" sheetId="17" r:id="rId2"/>
    <sheet name="Proposed Rates" sheetId="14" r:id="rId3"/>
    <sheet name="Price Out" sheetId="18" r:id="rId4"/>
    <sheet name="Disposal" sheetId="1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4" hidden="1">#REF!</definedName>
    <definedName name="_132Graph_h" localSheetId="3" hidden="1">#REF!</definedName>
    <definedName name="_132Graph_h" hidden="1">#REF!</definedName>
    <definedName name="_ACT1" localSheetId="4">[4]Hidden!#REF!</definedName>
    <definedName name="_ACT1" localSheetId="1">[5]Hidden!#REF!</definedName>
    <definedName name="_ACT1" localSheetId="3">[6]Hidden!#REF!</definedName>
    <definedName name="_ACT1">[5]Hidden!#REF!</definedName>
    <definedName name="_ACT2" localSheetId="4">[4]Hidden!#REF!</definedName>
    <definedName name="_ACT2" localSheetId="1">[5]Hidden!#REF!</definedName>
    <definedName name="_ACT2" localSheetId="3">[6]Hidden!#REF!</definedName>
    <definedName name="_ACT2">[5]Hidden!#REF!</definedName>
    <definedName name="_ACT3" localSheetId="4">[4]Hidden!#REF!</definedName>
    <definedName name="_ACT3" localSheetId="1">[5]Hidden!#REF!</definedName>
    <definedName name="_ACT3" localSheetId="3">[6]Hidden!#REF!</definedName>
    <definedName name="_ACT3">[5]Hidden!#REF!</definedName>
    <definedName name="_COS1" localSheetId="4">#REF!</definedName>
    <definedName name="_COS1">#REF!</definedName>
    <definedName name="_COS2" localSheetId="4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1" hidden="1">'Gray''s DF Calc'!$A$1:$W$127</definedName>
    <definedName name="_xlnm._FilterDatabase" localSheetId="3" hidden="1">'Price Out'!$A$10:$AG$232</definedName>
    <definedName name="_Key1" localSheetId="4" hidden="1">#REF!</definedName>
    <definedName name="_Key1" localSheetId="3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4" hidden="1">#REF!</definedName>
    <definedName name="_max" localSheetId="3" hidden="1">#REF!</definedName>
    <definedName name="_max" hidden="1">#REF!</definedName>
    <definedName name="_Mon" localSheetId="3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4" hidden="1">#REF!</definedName>
    <definedName name="_Sort" localSheetId="3" hidden="1">#REF!</definedName>
    <definedName name="_Sort" hidden="1">#REF!</definedName>
    <definedName name="_Sort1" hidden="1">'[2]#REF'!$A$10:$Z$281</definedName>
    <definedName name="_sort3" hidden="1">[3]XXXXXX!$G$10:$J$11</definedName>
    <definedName name="a" localSheetId="4">#REF!</definedName>
    <definedName name="a" localSheetId="3">#REF!</definedName>
    <definedName name="a">#REF!</definedName>
    <definedName name="Accounts" localSheetId="4">#REF!</definedName>
    <definedName name="Accounts">#REF!</definedName>
    <definedName name="ACCT" localSheetId="4">[1]Hidden!$D$11</definedName>
    <definedName name="ACCT" localSheetId="3">[6]Hidden!#REF!</definedName>
    <definedName name="ACCT">[5]Hidden!#REF!</definedName>
    <definedName name="ACCT.ConsolSum">[1]Hidden!$Q$11</definedName>
    <definedName name="ACT_CUR" localSheetId="4">[4]Hidden!#REF!</definedName>
    <definedName name="ACT_CUR" localSheetId="1">[5]Hidden!#REF!</definedName>
    <definedName name="ACT_CUR" localSheetId="3">[6]Hidden!#REF!</definedName>
    <definedName name="ACT_CUR">[5]Hidden!#REF!</definedName>
    <definedName name="ACT_YTD" localSheetId="4">[4]Hidden!#REF!</definedName>
    <definedName name="ACT_YTD" localSheetId="1">[5]Hidden!#REF!</definedName>
    <definedName name="ACT_YTD" localSheetId="3">[6]Hidden!#REF!</definedName>
    <definedName name="ACT_YTD">[5]Hidden!#REF!</definedName>
    <definedName name="AmountCount" localSheetId="4">#REF!</definedName>
    <definedName name="AmountCount" localSheetId="1">#REF!</definedName>
    <definedName name="AmountCount" localSheetId="3">#REF!</definedName>
    <definedName name="AmountCount">#REF!</definedName>
    <definedName name="AmountCount1" localSheetId="3">#REF!</definedName>
    <definedName name="AmountCount1">#REF!</definedName>
    <definedName name="AmountFrom">#REF!</definedName>
    <definedName name="AmountTo">#REF!</definedName>
    <definedName name="AmountTotal" localSheetId="1">#REF!</definedName>
    <definedName name="AmountTotal" localSheetId="3">#REF!</definedName>
    <definedName name="AmountTotal">#REF!</definedName>
    <definedName name="AmountTotal1">#REF!</definedName>
    <definedName name="BookRev" localSheetId="4">'[7]Pacific Regulated - Price Out'!$F$50</definedName>
    <definedName name="BookRev" localSheetId="3">'[7]Pacific Regulated - Price Out'!$F$50</definedName>
    <definedName name="BookRev">'[8]Pacific Regulated - Price Out'!$F$50</definedName>
    <definedName name="BookRev_com" localSheetId="4">'[7]Pacific Regulated - Price Out'!$F$214</definedName>
    <definedName name="BookRev_com" localSheetId="3">'[7]Pacific Regulated - Price Out'!$F$214</definedName>
    <definedName name="BookRev_com">'[8]Pacific Regulated - Price Out'!$F$214</definedName>
    <definedName name="BookRev_mfr" localSheetId="4">'[7]Pacific Regulated - Price Out'!$F$222</definedName>
    <definedName name="BookRev_mfr" localSheetId="3">'[7]Pacific Regulated - Price Out'!$F$222</definedName>
    <definedName name="BookRev_mfr">'[8]Pacific Regulated - Price Out'!$F$222</definedName>
    <definedName name="BookRev_ro" localSheetId="4">'[7]Pacific Regulated - Price Out'!$F$282</definedName>
    <definedName name="BookRev_ro" localSheetId="3">'[7]Pacific Regulated - Price Out'!$F$282</definedName>
    <definedName name="BookRev_ro">'[8]Pacific Regulated - Price Out'!$F$282</definedName>
    <definedName name="BookRev_rr" localSheetId="4">'[7]Pacific Regulated - Price Out'!$F$59</definedName>
    <definedName name="BookRev_rr" localSheetId="3">'[7]Pacific Regulated - Price Out'!$F$59</definedName>
    <definedName name="BookRev_rr">'[8]Pacific Regulated - Price Out'!$F$59</definedName>
    <definedName name="BookRev_yw" localSheetId="4">'[7]Pacific Regulated - Price Out'!$F$70</definedName>
    <definedName name="BookRev_yw" localSheetId="3">'[7]Pacific Regulated - Price Out'!$F$70</definedName>
    <definedName name="BookRev_yw">'[8]Pacific Regulated - Price Out'!$F$70</definedName>
    <definedName name="BREMAIR_COST_of_SERVICE_STUDY" localSheetId="4">#REF!</definedName>
    <definedName name="BREMAIR_COST_of_SERVICE_STUDY" localSheetId="1">#REF!</definedName>
    <definedName name="BREMAIR_COST_of_SERVICE_STUDY" localSheetId="3">#REF!</definedName>
    <definedName name="BREMAIR_COST_of_SERVICE_STUDY">#REF!</definedName>
    <definedName name="BUD_CUR" localSheetId="4">[4]Hidden!#REF!</definedName>
    <definedName name="BUD_CUR" localSheetId="1">[5]Hidden!#REF!</definedName>
    <definedName name="BUD_CUR" localSheetId="3">[6]Hidden!#REF!</definedName>
    <definedName name="BUD_CUR">[5]Hidden!#REF!</definedName>
    <definedName name="BUD_YTD" localSheetId="4">[4]Hidden!#REF!</definedName>
    <definedName name="BUD_YTD" localSheetId="1">[5]Hidden!#REF!</definedName>
    <definedName name="BUD_YTD" localSheetId="3">[6]Hidden!#REF!</definedName>
    <definedName name="BUD_YTD">[5]Hidden!#REF!</definedName>
    <definedName name="CalRecyTons" localSheetId="4">'[9]Recycl Tons, Commodity Value'!$L$23</definedName>
    <definedName name="CalRecyTons" localSheetId="3">'[9]Recycl Tons, Commodity Value'!$L$23</definedName>
    <definedName name="CalRecyTons">'[10]Recycl Tons, Commodity Value'!$L$23</definedName>
    <definedName name="CheckTotals" localSheetId="4">#REF!</definedName>
    <definedName name="CheckTotals" localSheetId="1">#REF!</definedName>
    <definedName name="CheckTotals" localSheetId="3">#REF!</definedName>
    <definedName name="CheckTotals">#REF!</definedName>
    <definedName name="colgroup">[1]Orientation!$G$6</definedName>
    <definedName name="colsegment">[1]Orientation!$F$6</definedName>
    <definedName name="CommlStaffPriceOut" localSheetId="4">'[11]Price Out-Reg EASTSIDE-Resi'!#REF!</definedName>
    <definedName name="CommlStaffPriceOut">'[11]Price Out-Reg EASTSIDE-Resi'!#REF!</definedName>
    <definedName name="CRCTable" localSheetId="4">#REF!</definedName>
    <definedName name="CRCTable" localSheetId="1">#REF!</definedName>
    <definedName name="CRCTable" localSheetId="3">#REF!</definedName>
    <definedName name="CRCTable">#REF!</definedName>
    <definedName name="CRCTableOLD" localSheetId="1">#REF!</definedName>
    <definedName name="CRCTableOLD" localSheetId="3">#REF!</definedName>
    <definedName name="CRCTableOLD">#REF!</definedName>
    <definedName name="CriteriaType">[12]ControlPanel!$Z$2:$Z$5</definedName>
    <definedName name="CurrentMonth" localSheetId="4">'[13]38000 Other Rev'!$H$8</definedName>
    <definedName name="CurrentMonth" localSheetId="3">#REF!</definedName>
    <definedName name="CurrentMonth">'[14]38000 Other Rev'!$H$8</definedName>
    <definedName name="Cutomers" localSheetId="4">#REF!</definedName>
    <definedName name="Cutomers" localSheetId="1">#REF!</definedName>
    <definedName name="Cutomers" localSheetId="3">#REF!</definedName>
    <definedName name="Cutomers">#REF!</definedName>
    <definedName name="_xlnm.Database" localSheetId="1">#REF!</definedName>
    <definedName name="_xlnm.Database" localSheetId="3">#REF!</definedName>
    <definedName name="_xlnm.Database">#REF!</definedName>
    <definedName name="Database1" localSheetId="1">#REF!</definedName>
    <definedName name="Database1" localSheetId="3">#REF!</definedName>
    <definedName name="Database1">#REF!</definedName>
    <definedName name="DateFrom" localSheetId="4">'[13]38000 Other Rev'!$G$12</definedName>
    <definedName name="DateFrom" localSheetId="3">#REF!</definedName>
    <definedName name="DateFrom">'[14]38000 Other Rev'!$G$12</definedName>
    <definedName name="DateTo" localSheetId="4">'[13]38000 Other Rev'!$G$13</definedName>
    <definedName name="DateTo" localSheetId="3">#REF!</definedName>
    <definedName name="DateTo">'[14]38000 Other Rev'!$G$13</definedName>
    <definedName name="DBxStaffPriceOut" localSheetId="4">'[11]Price Out-Reg EASTSIDE-Resi'!#REF!</definedName>
    <definedName name="DBxStaffPriceOut">'[11]Price Out-Reg EASTSIDE-Resi'!#REF!</definedName>
    <definedName name="DEPT" localSheetId="4">[4]Hidden!#REF!</definedName>
    <definedName name="DEPT" localSheetId="1">[5]Hidden!#REF!</definedName>
    <definedName name="DEPT" localSheetId="3">[6]Hidden!#REF!</definedName>
    <definedName name="DEPT">[5]Hidden!#REF!</definedName>
    <definedName name="Dist" localSheetId="4">[15]Data!$E$3</definedName>
    <definedName name="Dist" localSheetId="3">[15]Data!$E$3</definedName>
    <definedName name="Dist">[16]Data!$E$3</definedName>
    <definedName name="District" localSheetId="4">'[17]Yakima BS'!#REF!</definedName>
    <definedName name="District" localSheetId="3">'[17]Yakima BS'!#REF!</definedName>
    <definedName name="District">'[18]Vashon BS'!#REF!</definedName>
    <definedName name="DistrictNum" localSheetId="4">#REF!</definedName>
    <definedName name="DistrictNum" localSheetId="1">#REF!</definedName>
    <definedName name="DistrictNum" localSheetId="3">#REF!</definedName>
    <definedName name="DistrictNum">#REF!</definedName>
    <definedName name="Districts">#REF!</definedName>
    <definedName name="dOG" localSheetId="3">#REF!</definedName>
    <definedName name="dOG">#REF!</definedName>
    <definedName name="drlFilter">[1]Settings!$D$27</definedName>
    <definedName name="End" localSheetId="4">#REF!</definedName>
    <definedName name="End" localSheetId="1">'[19]IS-2120'!#REF!</definedName>
    <definedName name="End" localSheetId="3">#REF!</definedName>
    <definedName name="End">#REF!</definedName>
    <definedName name="EntrieShownLimit" localSheetId="4">'[13]38000 Other Rev'!$D$6</definedName>
    <definedName name="EntrieShownLimit" localSheetId="3">#REF!</definedName>
    <definedName name="EntrieShownLimit">'[14]38000 Other Rev'!$D$6</definedName>
    <definedName name="ExcludeIC" localSheetId="4">'[17]Yakima BS'!#REF!</definedName>
    <definedName name="ExcludeIC" localSheetId="3">'[17]Yakima BS'!#REF!</definedName>
    <definedName name="ExcludeIC">'[18]Vashon BS'!#REF!</definedName>
    <definedName name="ExpensesPF1" localSheetId="4">#REF!</definedName>
    <definedName name="ExpensesPF1">#REF!</definedName>
    <definedName name="EXT" localSheetId="4">#REF!</definedName>
    <definedName name="EXT">#REF!</definedName>
    <definedName name="FBTable" localSheetId="1">#REF!</definedName>
    <definedName name="FBTable" localSheetId="3">#REF!</definedName>
    <definedName name="FBTable">#REF!</definedName>
    <definedName name="FBTableOld" localSheetId="1">#REF!</definedName>
    <definedName name="FBTableOld" localSheetId="3">#REF!</definedName>
    <definedName name="FBTableOld">#REF!</definedName>
    <definedName name="filter">[1]Settings!$B$14:$H$25</definedName>
    <definedName name="FromMonth" localSheetId="4">#REF!</definedName>
    <definedName name="FromMonth">#REF!</definedName>
    <definedName name="FundsApprPend" localSheetId="4">[15]Data!#REF!</definedName>
    <definedName name="FundsApprPend" localSheetId="3">[15]Data!#REF!</definedName>
    <definedName name="FundsApprPend">[16]Data!#REF!</definedName>
    <definedName name="FundsBudUnbud" localSheetId="4">[15]Data!#REF!</definedName>
    <definedName name="FundsBudUnbud" localSheetId="3">[15]Data!#REF!</definedName>
    <definedName name="FundsBudUnbud">[16]Data!#REF!</definedName>
    <definedName name="GLMappingStart" localSheetId="4">#REF!</definedName>
    <definedName name="GLMappingStart" localSheetId="1">#REF!</definedName>
    <definedName name="GLMappingStart" localSheetId="3">#REF!</definedName>
    <definedName name="GLMappingStart">#REF!</definedName>
    <definedName name="GLMappingStart1" localSheetId="3">#REF!</definedName>
    <definedName name="GLMappingStart1">#REF!</definedName>
    <definedName name="Import_Range" localSheetId="4">[15]Data!#REF!</definedName>
    <definedName name="Import_Range" localSheetId="3">[15]Data!#REF!</definedName>
    <definedName name="Import_Range">[16]Data!#REF!</definedName>
    <definedName name="IncomeStmnt" localSheetId="4">#REF!</definedName>
    <definedName name="IncomeStmnt" localSheetId="1">#REF!</definedName>
    <definedName name="IncomeStmnt" localSheetId="3">#REF!</definedName>
    <definedName name="IncomeStmnt">#REF!</definedName>
    <definedName name="INPUT" localSheetId="4">#REF!</definedName>
    <definedName name="INPUT" localSheetId="1">#REF!</definedName>
    <definedName name="INPUT" localSheetId="3">#REF!</definedName>
    <definedName name="INPUT">#REF!</definedName>
    <definedName name="INPUTc">#REF!</definedName>
    <definedName name="Insurance" localSheetId="1">#REF!</definedName>
    <definedName name="Insurance" localSheetId="3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4">[15]Invoice_Drill!#REF!</definedName>
    <definedName name="Invoice_Start" localSheetId="3">[15]Invoice_Drill!#REF!</definedName>
    <definedName name="Invoice_Start">[16]Invoice_Drill!#REF!</definedName>
    <definedName name="JEDetail" localSheetId="4">#REF!</definedName>
    <definedName name="JEDetail" localSheetId="1">#REF!</definedName>
    <definedName name="JEDetail" localSheetId="3">#REF!</definedName>
    <definedName name="JEDetail">#REF!</definedName>
    <definedName name="JEDetail1" localSheetId="3">#REF!</definedName>
    <definedName name="JEDetail1">#REF!</definedName>
    <definedName name="JEType" localSheetId="1">#REF!</definedName>
    <definedName name="JEType" localSheetId="3">#REF!</definedName>
    <definedName name="JEType">#REF!</definedName>
    <definedName name="JEType1">#REF!</definedName>
    <definedName name="lblBillAreaStatus" localSheetId="1">#REF!</definedName>
    <definedName name="lblBillAreaStatus" localSheetId="3">#REF!</definedName>
    <definedName name="lblBillAreaStatus">#REF!</definedName>
    <definedName name="lblBillCycleStatus" localSheetId="1">#REF!</definedName>
    <definedName name="lblBillCycleStatus" localSheetId="3">#REF!</definedName>
    <definedName name="lblBillCycleStatus">#REF!</definedName>
    <definedName name="lblCategoryStatus" localSheetId="1">#REF!</definedName>
    <definedName name="lblCategoryStatus" localSheetId="3">#REF!</definedName>
    <definedName name="lblCategoryStatus">#REF!</definedName>
    <definedName name="lblCompanyStatus" localSheetId="1">#REF!</definedName>
    <definedName name="lblCompanyStatus" localSheetId="3">#REF!</definedName>
    <definedName name="lblCompanyStatus">#REF!</definedName>
    <definedName name="lblDatabaseStatus" localSheetId="1">#REF!</definedName>
    <definedName name="lblDatabaseStatus" localSheetId="3">#REF!</definedName>
    <definedName name="lblDatabaseStatus">#REF!</definedName>
    <definedName name="lblPullStatus" localSheetId="1">#REF!</definedName>
    <definedName name="lblPullStatus" localSheetId="3">#REF!</definedName>
    <definedName name="lblPullStatus">#REF!</definedName>
    <definedName name="lllllllllllllllllllll" localSheetId="1">#REF!</definedName>
    <definedName name="lllllllllllllllllllll" localSheetId="3">#REF!</definedName>
    <definedName name="lllllllllllllllllllll">#REF!</definedName>
    <definedName name="MainDataEnd" localSheetId="1">#REF!</definedName>
    <definedName name="MainDataEnd" localSheetId="3">#REF!</definedName>
    <definedName name="MainDataEnd">#REF!</definedName>
    <definedName name="MainDataStart" localSheetId="1">#REF!</definedName>
    <definedName name="MainDataStart" localSheetId="3">#REF!</definedName>
    <definedName name="MainDataStart">#REF!</definedName>
    <definedName name="MapKeyStart" localSheetId="1">#REF!</definedName>
    <definedName name="MapKeyStart" localSheetId="3">#REF!</definedName>
    <definedName name="MapKeyStart">#REF!</definedName>
    <definedName name="master_def" localSheetId="4">#REF!</definedName>
    <definedName name="master_def" localSheetId="1">'[19]IS-2120'!#REF!</definedName>
    <definedName name="master_def" localSheetId="3">#REF!</definedName>
    <definedName name="master_def">#REF!</definedName>
    <definedName name="MATRIX" localSheetId="4">#REF!</definedName>
    <definedName name="MATRIX">#REF!</definedName>
    <definedName name="MemoAttachment" localSheetId="1">#REF!</definedName>
    <definedName name="MemoAttachment" localSheetId="3">#REF!</definedName>
    <definedName name="MemoAttachment">#REF!</definedName>
    <definedName name="MetaSet">[1]Orientation!$C$22</definedName>
    <definedName name="MFStaffPriceOut" localSheetId="4">'[11]Price Out-Reg EASTSIDE-Resi'!#REF!</definedName>
    <definedName name="MFStaffPriceOut">'[11]Price Out-Reg EASTSIDE-Resi'!#REF!</definedName>
    <definedName name="MonthList" localSheetId="4">'[15]Lookup Tables'!$A$1:$A$13</definedName>
    <definedName name="MonthList" localSheetId="3">'[15]Lookup Tables'!$A$1:$A$13</definedName>
    <definedName name="MonthList">'[16]Lookup Tables'!$A$1:$A$13</definedName>
    <definedName name="NewOnlyOrg">#N/A</definedName>
    <definedName name="nn" localSheetId="4">#REF!</definedName>
    <definedName name="nn">#REF!</definedName>
    <definedName name="NOTES" localSheetId="1">#REF!</definedName>
    <definedName name="NOTES" localSheetId="3">#REF!</definedName>
    <definedName name="NOTES">#REF!</definedName>
    <definedName name="NR" localSheetId="1">#REF!</definedName>
    <definedName name="NR">#REF!</definedName>
    <definedName name="OfficerSalary">#N/A</definedName>
    <definedName name="OffsetAcctBil" localSheetId="4">[20]JEexport!$L$10</definedName>
    <definedName name="OffsetAcctBil" localSheetId="1">[20]JEexport!$L$10</definedName>
    <definedName name="OffsetAcctBil" localSheetId="3">[20]JEexport!$L$10</definedName>
    <definedName name="OffsetAcctBil">[21]JEexport!$L$10</definedName>
    <definedName name="OffsetAcctPmt" localSheetId="4">[20]JEexport!$L$9</definedName>
    <definedName name="OffsetAcctPmt" localSheetId="1">[20]JEexport!$L$9</definedName>
    <definedName name="OffsetAcctPmt" localSheetId="3">[20]JEexport!$L$9</definedName>
    <definedName name="OffsetAcctPmt">[21]JEexport!$L$9</definedName>
    <definedName name="Org11_13">#N/A</definedName>
    <definedName name="Org7_10">#N/A</definedName>
    <definedName name="p" localSheetId="4">#REF!</definedName>
    <definedName name="p" localSheetId="1">#REF!</definedName>
    <definedName name="p" localSheetId="3">#REF!</definedName>
    <definedName name="p">#REF!</definedName>
    <definedName name="PAGE_1" localSheetId="1">#REF!</definedName>
    <definedName name="PAGE_1" localSheetId="3">#REF!</definedName>
    <definedName name="PAGE_1">#REF!</definedName>
    <definedName name="Page16">#REF!</definedName>
    <definedName name="Page17">#REF!</definedName>
    <definedName name="Page18">#REF!</definedName>
    <definedName name="Page7a">#REF!</definedName>
    <definedName name="pBatchID" localSheetId="1">#REF!</definedName>
    <definedName name="pBatchID" localSheetId="3">#REF!</definedName>
    <definedName name="pBatchID">#REF!</definedName>
    <definedName name="pBillArea" localSheetId="1">#REF!</definedName>
    <definedName name="pBillArea" localSheetId="3">#REF!</definedName>
    <definedName name="pBillArea">#REF!</definedName>
    <definedName name="pBillCycle" localSheetId="1">#REF!</definedName>
    <definedName name="pBillCycle" localSheetId="3">#REF!</definedName>
    <definedName name="pBillCycle">#REF!</definedName>
    <definedName name="pCategory" localSheetId="1">#REF!</definedName>
    <definedName name="pCategory" localSheetId="3">#REF!</definedName>
    <definedName name="pCategory">#REF!</definedName>
    <definedName name="pCompany" localSheetId="1">#REF!</definedName>
    <definedName name="pCompany" localSheetId="3">#REF!</definedName>
    <definedName name="pCompany">#REF!</definedName>
    <definedName name="pCustomerNumber" localSheetId="1">#REF!</definedName>
    <definedName name="pCustomerNumber" localSheetId="3">#REF!</definedName>
    <definedName name="pCustomerNumber">#REF!</definedName>
    <definedName name="pDatabase" localSheetId="1">#REF!</definedName>
    <definedName name="pDatabase" localSheetId="3">#REF!</definedName>
    <definedName name="pDatabase">#REF!</definedName>
    <definedName name="pEndPostDate" localSheetId="1">#REF!</definedName>
    <definedName name="pEndPostDate" localSheetId="3">#REF!</definedName>
    <definedName name="pEndPostDate">#REF!</definedName>
    <definedName name="Period" localSheetId="1">#REF!</definedName>
    <definedName name="Period" localSheetId="3">#REF!</definedName>
    <definedName name="Period">#REF!</definedName>
    <definedName name="pMonth" localSheetId="1">#REF!</definedName>
    <definedName name="pMonth" localSheetId="3">#REF!</definedName>
    <definedName name="pMonth">#REF!</definedName>
    <definedName name="pOnlyShowLastTranx" localSheetId="1">#REF!</definedName>
    <definedName name="pOnlyShowLastTranx" localSheetId="3">#REF!</definedName>
    <definedName name="pOnlyShowLastTranx">#REF!</definedName>
    <definedName name="Posting">#REF!</definedName>
    <definedName name="primtbl">[1]Orientation!$C$23</definedName>
    <definedName name="_xlnm.Print_Area" localSheetId="4">Disposal!$A$1:$G$27</definedName>
    <definedName name="_xlnm.Print_Area" localSheetId="1">'Gray''s DF Calc'!$A$1:$W$127,'Gray''s DF Calc'!$A$128:$O$165</definedName>
    <definedName name="_xlnm.Print_Area" localSheetId="3">'Price Out'!$A$1:$AI$236</definedName>
    <definedName name="_xlnm.Print_Area">#REF!</definedName>
    <definedName name="Print_Area_MI" localSheetId="1">#REF!</definedName>
    <definedName name="Print_Area_MI" localSheetId="3">#REF!</definedName>
    <definedName name="Print_Area_MI">#REF!</definedName>
    <definedName name="Print_Area_MIc">#REF!</definedName>
    <definedName name="Print_Area1" localSheetId="1">#REF!</definedName>
    <definedName name="Print_Area1" localSheetId="3">#REF!</definedName>
    <definedName name="Print_Area1">#REF!</definedName>
    <definedName name="Print_Area2" localSheetId="1">#REF!</definedName>
    <definedName name="Print_Area2" localSheetId="3">#REF!</definedName>
    <definedName name="Print_Area2">#REF!</definedName>
    <definedName name="Print_Area3" localSheetId="1">#REF!</definedName>
    <definedName name="Print_Area3" localSheetId="3">#REF!</definedName>
    <definedName name="Print_Area3">#REF!</definedName>
    <definedName name="Print_Area5" localSheetId="1">#REF!</definedName>
    <definedName name="Print_Area5" localSheetId="3">#REF!</definedName>
    <definedName name="Print_Area5">#REF!</definedName>
    <definedName name="_xlnm.Print_Titles" localSheetId="1">'Gray''s DF Calc'!$A:$C,'Gray''s DF Calc'!$1:$6</definedName>
    <definedName name="_xlnm.Print_Titles" localSheetId="3">'Price Out'!$C:$D,'Price Out'!$1:$6</definedName>
    <definedName name="_xlnm.Print_Titles" localSheetId="2">'Proposed Rates'!$1:$6</definedName>
    <definedName name="Print1" localSheetId="4">#REF!</definedName>
    <definedName name="Print1" localSheetId="1">#REF!</definedName>
    <definedName name="Print1" localSheetId="3">#REF!</definedName>
    <definedName name="Print1">#REF!</definedName>
    <definedName name="Print2" localSheetId="1">#REF!</definedName>
    <definedName name="Print2" localSheetId="3">#REF!</definedName>
    <definedName name="Print2">#REF!</definedName>
    <definedName name="Print5" localSheetId="1">#REF!</definedName>
    <definedName name="Print5" localSheetId="3">#REF!</definedName>
    <definedName name="Print5">#REF!</definedName>
    <definedName name="ProRev" localSheetId="4">'[7]Pacific Regulated - Price Out'!$M$49</definedName>
    <definedName name="ProRev" localSheetId="3">'[7]Pacific Regulated - Price Out'!$M$49</definedName>
    <definedName name="ProRev">'[8]Pacific Regulated - Price Out'!$M$49</definedName>
    <definedName name="ProRev_com" localSheetId="4">'[7]Pacific Regulated - Price Out'!$M$213</definedName>
    <definedName name="ProRev_com" localSheetId="3">'[7]Pacific Regulated - Price Out'!$M$213</definedName>
    <definedName name="ProRev_com">'[8]Pacific Regulated - Price Out'!$M$213</definedName>
    <definedName name="ProRev_mfr" localSheetId="4">'[7]Pacific Regulated - Price Out'!$M$221</definedName>
    <definedName name="ProRev_mfr" localSheetId="3">'[7]Pacific Regulated - Price Out'!$M$221</definedName>
    <definedName name="ProRev_mfr">'[8]Pacific Regulated - Price Out'!$M$221</definedName>
    <definedName name="ProRev_ro" localSheetId="4">'[7]Pacific Regulated - Price Out'!$M$281</definedName>
    <definedName name="ProRev_ro" localSheetId="3">'[7]Pacific Regulated - Price Out'!$M$281</definedName>
    <definedName name="ProRev_ro">'[8]Pacific Regulated - Price Out'!$M$281</definedName>
    <definedName name="ProRev_rr" localSheetId="4">'[7]Pacific Regulated - Price Out'!$M$58</definedName>
    <definedName name="ProRev_rr" localSheetId="3">'[7]Pacific Regulated - Price Out'!$M$58</definedName>
    <definedName name="ProRev_rr">'[8]Pacific Regulated - Price Out'!$M$58</definedName>
    <definedName name="ProRev_yw" localSheetId="4">'[7]Pacific Regulated - Price Out'!$M$69</definedName>
    <definedName name="ProRev_yw" localSheetId="3">'[7]Pacific Regulated - Price Out'!$M$69</definedName>
    <definedName name="ProRev_yw">'[8]Pacific Regulated - Price Out'!$M$69</definedName>
    <definedName name="pServer" localSheetId="4">#REF!</definedName>
    <definedName name="pServer" localSheetId="1">#REF!</definedName>
    <definedName name="pServer" localSheetId="3">#REF!</definedName>
    <definedName name="pServer">#REF!</definedName>
    <definedName name="pServiceCode" localSheetId="1">#REF!</definedName>
    <definedName name="pServiceCode" localSheetId="3">#REF!</definedName>
    <definedName name="pServiceCode">#REF!</definedName>
    <definedName name="pShowAllUnposted" localSheetId="1">#REF!</definedName>
    <definedName name="pShowAllUnposted" localSheetId="3">#REF!</definedName>
    <definedName name="pShowAllUnposted">#REF!</definedName>
    <definedName name="pShowCustomerDetail" localSheetId="1">#REF!</definedName>
    <definedName name="pShowCustomerDetail" localSheetId="3">#REF!</definedName>
    <definedName name="pShowCustomerDetail">#REF!</definedName>
    <definedName name="pSortOption" localSheetId="1">#REF!</definedName>
    <definedName name="pSortOption" localSheetId="3">#REF!</definedName>
    <definedName name="pSortOption">#REF!</definedName>
    <definedName name="pStartPostDate" localSheetId="1">#REF!</definedName>
    <definedName name="pStartPostDate" localSheetId="3">#REF!</definedName>
    <definedName name="pStartPostDate">#REF!</definedName>
    <definedName name="pTransType" localSheetId="1">#REF!</definedName>
    <definedName name="pTransType" localSheetId="3">#REF!</definedName>
    <definedName name="pTransType">#REF!</definedName>
    <definedName name="RCW_81.04.080">#N/A</definedName>
    <definedName name="RecyDisposal">#N/A</definedName>
    <definedName name="Reg_Cust_Billed_Percent">'[22]Consolidated IS 2009 2010'!$AK$20</definedName>
    <definedName name="Reg_Cust_Percent">'[22]Consolidated IS 2009 2010'!$AC$20</definedName>
    <definedName name="Reg_Drive_Percent">'[22]Consolidated IS 2009 2010'!$AC$40</definedName>
    <definedName name="Reg_Haul_Rev_Percent">'[22]Consolidated IS 2009 2010'!$Z$18</definedName>
    <definedName name="Reg_Lab_Percent">'[22]Consolidated IS 2009 2010'!$AC$39</definedName>
    <definedName name="Reg_Steel_Cont_Percent">'[22]Consolidated IS 2009 2010'!$AE$120</definedName>
    <definedName name="RegulatedIS">'[22]2009 IS'!$A$12:$Q$655</definedName>
    <definedName name="RelatedSalary">#N/A</definedName>
    <definedName name="report_type">[1]Orientation!$C$24</definedName>
    <definedName name="ReportNames" localSheetId="4">[23]ControlPanel!$S$2:$S$16</definedName>
    <definedName name="ReportNames" localSheetId="1">[23]ControlPanel!$S$2:$S$16</definedName>
    <definedName name="ReportNames" localSheetId="3">[12]ControlPanel!$X$2:$X$8</definedName>
    <definedName name="ReportNames">[12]ControlPanel!$X$2:$X$8</definedName>
    <definedName name="ReportVersion">[1]Settings!$D$5</definedName>
    <definedName name="ReslStaffPriceOut" localSheetId="4">'[11]Price Out-Reg EASTSIDE-Resi'!#REF!</definedName>
    <definedName name="ReslStaffPriceOut">'[11]Price Out-Reg EASTSIDE-Resi'!#REF!</definedName>
    <definedName name="RetainedEarnings" localSheetId="4">#REF!</definedName>
    <definedName name="RetainedEarnings" localSheetId="1">#REF!</definedName>
    <definedName name="RetainedEarnings" localSheetId="3">#REF!</definedName>
    <definedName name="RetainedEarnings">#REF!</definedName>
    <definedName name="RevCust" localSheetId="4">[24]RevenuesCust!#REF!</definedName>
    <definedName name="RevCust" localSheetId="1">[25]RevenuesCust!#REF!</definedName>
    <definedName name="RevCust" localSheetId="3">[26]RevenuesCust!#REF!</definedName>
    <definedName name="RevCust">[25]RevenuesCust!#REF!</definedName>
    <definedName name="RevCustomer" localSheetId="4">#REF!</definedName>
    <definedName name="RevCustomer" localSheetId="1">#REF!</definedName>
    <definedName name="RevCustomer" localSheetId="3">#REF!</definedName>
    <definedName name="RevCustomer">#REF!</definedName>
    <definedName name="RevenuePF1" localSheetId="4">#REF!</definedName>
    <definedName name="RevenuePF1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1Input" localSheetId="4">#REF!</definedName>
    <definedName name="S1Input">#REF!</definedName>
    <definedName name="S1Print_Area_MI" localSheetId="4">#REF!</definedName>
    <definedName name="S1Print_Area_MI">#REF!</definedName>
    <definedName name="S1Slope">'[27]LG Nonpublic 2018 V5.0'!$X$58</definedName>
    <definedName name="S1y_inter1">'[27]LG Nonpublic 2018 V5.0'!$W$55</definedName>
    <definedName name="S1y_inter2">'[27]LG Nonpublic 2018 V5.0'!$W$56</definedName>
    <definedName name="S1y_inter3">'[27]LG Nonpublic 2018 V5.0'!$Y$55</definedName>
    <definedName name="S1y_inter4">'[27]LG Nonpublic 2018 V5.0'!$Y$56</definedName>
    <definedName name="Sequential_Group">[1]Settings!$J$6</definedName>
    <definedName name="Sequential_Segment">[1]Settings!$I$6</definedName>
    <definedName name="Sequential_sort">[1]Settings!$I$10:$J$11</definedName>
    <definedName name="sINPUT" localSheetId="4">#REF!</definedName>
    <definedName name="sINPUT">#REF!</definedName>
    <definedName name="slope">'[28]LG Nonpublic 2018 V5.0'!$X$58</definedName>
    <definedName name="sortcol" localSheetId="4">#REF!</definedName>
    <definedName name="sortcol" localSheetId="1">'[19]IS-2120'!#REF!</definedName>
    <definedName name="sortcol" localSheetId="3">#REF!</definedName>
    <definedName name="sortcol">#REF!</definedName>
    <definedName name="sPrint_Area_MI" localSheetId="4">#REF!</definedName>
    <definedName name="sPrint_Area_MI">#REF!</definedName>
    <definedName name="sslope">'[27]LG Nonpublic 2018 V5.0'!$X$58</definedName>
    <definedName name="sSRCDate" localSheetId="4">'[29]Feb''12 FAR Data'!#REF!</definedName>
    <definedName name="sSRCDate" localSheetId="1">'[30]Feb''12 FAR Data'!#REF!</definedName>
    <definedName name="sSRCDate" localSheetId="3">'[31]Feb''12 FAR Data'!#REF!</definedName>
    <definedName name="sSRCDate">'[30]Feb''12 FAR Data'!#REF!</definedName>
    <definedName name="SubSystem" localSheetId="4">#REF!</definedName>
    <definedName name="SubSystem">#REF!</definedName>
    <definedName name="SubSystems" localSheetId="4">#REF!</definedName>
    <definedName name="SubSystems">#REF!</definedName>
    <definedName name="Supplemental_filter">[1]Settings!$C$31</definedName>
    <definedName name="SWDisposal">#N/A</definedName>
    <definedName name="sy_inter1">'[27]LG Nonpublic 2018 V5.0'!$W$55</definedName>
    <definedName name="sy_inter2">'[27]LG Nonpublic 2018 V5.0'!$W$56</definedName>
    <definedName name="sy_inter3">'[27]LG Nonpublic 2018 V5.0'!$Y$55</definedName>
    <definedName name="sy_inter4">'[27]LG Nonpublic 2018 V5.0'!$Y$56</definedName>
    <definedName name="System" localSheetId="4">'[17]Yakima BS'!#REF!</definedName>
    <definedName name="System" localSheetId="3">[32]BS_Close!$V$8</definedName>
    <definedName name="System">[32]BS_Close!$V$8</definedName>
    <definedName name="Systems" localSheetId="4">#REF!</definedName>
    <definedName name="Systems">#REF!</definedName>
    <definedName name="TemplateEnd" localSheetId="1">#REF!</definedName>
    <definedName name="TemplateEnd" localSheetId="3">#REF!</definedName>
    <definedName name="TemplateEnd">#REF!</definedName>
    <definedName name="TemplateStart" localSheetId="1">#REF!</definedName>
    <definedName name="TemplateStart" localSheetId="3">#REF!</definedName>
    <definedName name="TemplateStart">#REF!</definedName>
    <definedName name="TheTable" localSheetId="1">#REF!</definedName>
    <definedName name="TheTable" localSheetId="3">#REF!</definedName>
    <definedName name="TheTable">#REF!</definedName>
    <definedName name="TheTableOLD" localSheetId="1">#REF!</definedName>
    <definedName name="TheTableOLD" localSheetId="3">#REF!</definedName>
    <definedName name="TheTableOLD">#REF!</definedName>
    <definedName name="timeseries">[1]Orientation!$B$6:$C$13</definedName>
    <definedName name="ToMonth" localSheetId="4">#REF!</definedName>
    <definedName name="ToMonth">#REF!</definedName>
    <definedName name="Tons" localSheetId="4">#REF!</definedName>
    <definedName name="Tons">#REF!</definedName>
    <definedName name="Total_Comm" localSheetId="4">'[9]Tariff Rate Sheet'!$L$214</definedName>
    <definedName name="Total_Comm" localSheetId="3">'[9]Tariff Rate Sheet'!$L$214</definedName>
    <definedName name="Total_Comm">'[10]Tariff Rate Sheet'!$L$214</definedName>
    <definedName name="Total_DB" localSheetId="4">'[9]Tariff Rate Sheet'!$L$278</definedName>
    <definedName name="Total_DB" localSheetId="3">'[9]Tariff Rate Sheet'!$L$278</definedName>
    <definedName name="Total_DB">'[10]Tariff Rate Sheet'!$L$278</definedName>
    <definedName name="Total_Resi" localSheetId="4">'[9]Tariff Rate Sheet'!$L$107</definedName>
    <definedName name="Total_Resi" localSheetId="3">'[9]Tariff Rate Sheet'!$L$107</definedName>
    <definedName name="Total_Resi">'[10]Tariff Rate Sheet'!$L$107</definedName>
    <definedName name="Transactions" localSheetId="4">#REF!</definedName>
    <definedName name="Transactions" localSheetId="1">#REF!</definedName>
    <definedName name="Transactions" localSheetId="3">#REF!</definedName>
    <definedName name="Transactions">#REF!</definedName>
    <definedName name="UnregulatedIS">'[22]2010 IS'!$A$12:$Q$654</definedName>
    <definedName name="VendorCode" localSheetId="4">#REF!</definedName>
    <definedName name="VendorCode">#REF!</definedName>
    <definedName name="Version" localSheetId="4">[15]Data!#REF!</definedName>
    <definedName name="Version" localSheetId="3">[15]Data!#REF!</definedName>
    <definedName name="Version">[16]Data!#REF!</definedName>
    <definedName name="wrn.PrintReview.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4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4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1">#REF!</definedName>
    <definedName name="WTable" localSheetId="3">#REF!</definedName>
    <definedName name="WTable">#REF!</definedName>
    <definedName name="WTableOld" localSheetId="1">#REF!</definedName>
    <definedName name="WTableOld" localSheetId="3">#REF!</definedName>
    <definedName name="WTableOld">#REF!</definedName>
    <definedName name="ww" localSheetId="1">#REF!</definedName>
    <definedName name="ww">#REF!</definedName>
    <definedName name="xperiod">[1]Orientation!$G$15</definedName>
    <definedName name="xtabin" localSheetId="4">[4]Hidden!#REF!</definedName>
    <definedName name="xtabin" localSheetId="1">[5]Hidden!#REF!</definedName>
    <definedName name="xtabin" localSheetId="3">[6]Hidden!#REF!</definedName>
    <definedName name="xtabin">[5]Hidden!#REF!</definedName>
    <definedName name="xx" localSheetId="4">#REF!</definedName>
    <definedName name="xx" localSheetId="1">#REF!</definedName>
    <definedName name="xx" localSheetId="3">#REF!</definedName>
    <definedName name="xx">#REF!</definedName>
    <definedName name="xxx" localSheetId="1">#REF!</definedName>
    <definedName name="xxx">#REF!</definedName>
    <definedName name="xxxx" localSheetId="1">#REF!</definedName>
    <definedName name="xxxx">#REF!</definedName>
    <definedName name="y_inter1">'[28]LG Nonpublic 2018 V5.0'!$W$55</definedName>
    <definedName name="y_inter2">'[28]LG Nonpublic 2018 V5.0'!$W$56</definedName>
    <definedName name="y_inter3">'[28]LG Nonpublic 2018 V5.0'!$Y$55</definedName>
    <definedName name="y_inter4">'[28]LG Nonpublic 2018 V5.0'!$Y$56</definedName>
    <definedName name="YearMonth" localSheetId="4">'[17]Yakima BS'!#REF!</definedName>
    <definedName name="YearMonth" localSheetId="3">'[17]Yakima BS'!#REF!</definedName>
    <definedName name="YearMonth">'[18]Vashon BS'!#REF!</definedName>
    <definedName name="YWMedWasteDisp">#N/A</definedName>
    <definedName name="yy" localSheetId="4">#REF!</definedName>
    <definedName name="yy" localSheetId="3">#REF!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D121" i="14" l="1"/>
  <c r="D124" i="14"/>
  <c r="D123" i="14"/>
  <c r="C124" i="14"/>
  <c r="C123" i="14"/>
  <c r="D118" i="14"/>
  <c r="D119" i="14"/>
  <c r="C119" i="14"/>
  <c r="C118" i="14"/>
  <c r="Y94" i="17" l="1"/>
  <c r="Y95" i="17"/>
  <c r="Y96" i="17"/>
  <c r="Y97" i="17"/>
  <c r="Y98" i="17"/>
  <c r="Y99" i="17"/>
  <c r="Y93" i="17"/>
  <c r="Y53" i="17"/>
  <c r="Y54" i="17"/>
  <c r="Y55" i="17"/>
  <c r="Y56" i="17"/>
  <c r="Y57" i="17"/>
  <c r="Y58" i="17"/>
  <c r="Y59" i="17"/>
  <c r="Y60" i="17"/>
  <c r="Y61" i="17"/>
  <c r="Y62" i="17"/>
  <c r="Y63" i="17"/>
  <c r="Y64" i="17"/>
  <c r="Y65" i="17"/>
  <c r="Y66" i="17"/>
  <c r="Y67" i="17"/>
  <c r="Y68" i="17"/>
  <c r="Y69" i="17"/>
  <c r="Y70" i="17"/>
  <c r="Y71" i="17"/>
  <c r="Y72" i="17"/>
  <c r="Y73" i="17"/>
  <c r="Y74" i="17"/>
  <c r="Y75" i="17"/>
  <c r="Y76" i="17"/>
  <c r="Y77" i="17"/>
  <c r="Y78" i="17"/>
  <c r="Y79" i="17"/>
  <c r="Y80" i="17"/>
  <c r="Y81" i="17"/>
  <c r="Y82" i="17"/>
  <c r="Y83" i="17"/>
  <c r="Y84" i="17"/>
  <c r="Y85" i="17"/>
  <c r="Y86" i="17"/>
  <c r="Y87" i="17"/>
  <c r="Y88" i="17"/>
  <c r="Y89" i="17"/>
  <c r="Y90" i="17"/>
  <c r="Y91" i="17"/>
  <c r="Y92" i="17"/>
  <c r="Y100" i="17"/>
  <c r="Y101" i="17"/>
  <c r="Y102" i="17"/>
  <c r="Y103" i="17"/>
  <c r="Y104" i="17"/>
  <c r="Y105" i="17"/>
  <c r="Y106" i="17"/>
  <c r="Y107" i="17"/>
  <c r="Y108" i="17"/>
  <c r="Y109" i="17"/>
  <c r="Y110" i="17"/>
  <c r="Y111" i="17"/>
  <c r="Y112" i="17"/>
  <c r="Y113" i="17"/>
  <c r="Y114" i="17"/>
  <c r="Y115" i="17"/>
  <c r="Y116" i="17"/>
  <c r="Y117" i="17"/>
  <c r="Y118" i="17"/>
  <c r="Y119" i="17"/>
  <c r="Y120" i="17"/>
  <c r="Y121" i="17"/>
  <c r="Y122" i="17"/>
  <c r="Y123" i="17"/>
  <c r="Y124" i="17"/>
  <c r="Y52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7" i="17"/>
  <c r="B101" i="14" l="1"/>
  <c r="B102" i="14"/>
  <c r="B103" i="14"/>
  <c r="B104" i="14"/>
  <c r="B105" i="14"/>
  <c r="B106" i="14"/>
  <c r="B100" i="14"/>
  <c r="B40" i="14" l="1"/>
  <c r="B41" i="14"/>
  <c r="B42" i="14"/>
  <c r="B43" i="14"/>
  <c r="B44" i="14"/>
  <c r="B45" i="14"/>
  <c r="B46" i="14"/>
  <c r="B47" i="14"/>
  <c r="B39" i="14"/>
  <c r="B38" i="14" l="1"/>
  <c r="B32" i="14"/>
  <c r="B33" i="14"/>
  <c r="B34" i="14"/>
  <c r="B35" i="14"/>
  <c r="B36" i="14"/>
  <c r="B37" i="14"/>
  <c r="B31" i="14"/>
  <c r="B60" i="4" l="1"/>
  <c r="M136" i="17"/>
  <c r="M135" i="17"/>
  <c r="M134" i="17"/>
  <c r="M133" i="17"/>
  <c r="M132" i="17"/>
  <c r="M131" i="17"/>
  <c r="H131" i="17"/>
  <c r="H132" i="17"/>
  <c r="H133" i="17"/>
  <c r="H134" i="17"/>
  <c r="H135" i="17"/>
  <c r="H136" i="17"/>
  <c r="H137" i="17"/>
  <c r="G132" i="17"/>
  <c r="G133" i="17"/>
  <c r="G134" i="17"/>
  <c r="G135" i="17"/>
  <c r="G136" i="17"/>
  <c r="G131" i="17"/>
  <c r="E136" i="17"/>
  <c r="E135" i="17"/>
  <c r="E134" i="17"/>
  <c r="E133" i="17"/>
  <c r="D155" i="17"/>
  <c r="F19" i="19"/>
  <c r="E19" i="19"/>
  <c r="E10" i="17" l="1"/>
  <c r="G10" i="17"/>
  <c r="M10" i="17"/>
  <c r="O124" i="17"/>
  <c r="M124" i="17"/>
  <c r="G124" i="17"/>
  <c r="M120" i="17"/>
  <c r="G120" i="17"/>
  <c r="E120" i="17"/>
  <c r="M98" i="17"/>
  <c r="G98" i="17"/>
  <c r="E98" i="17"/>
  <c r="M113" i="17"/>
  <c r="G113" i="17"/>
  <c r="E113" i="17"/>
  <c r="M50" i="17"/>
  <c r="M25" i="17"/>
  <c r="M8" i="17"/>
  <c r="G50" i="17"/>
  <c r="E50" i="17"/>
  <c r="E25" i="17"/>
  <c r="G25" i="17"/>
  <c r="G8" i="17"/>
  <c r="E8" i="17"/>
  <c r="A152" i="18"/>
  <c r="B152" i="18"/>
  <c r="A57" i="18"/>
  <c r="B57" i="18"/>
  <c r="U224" i="18" l="1"/>
  <c r="B22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E9" i="19" l="1"/>
  <c r="F9" i="19"/>
  <c r="E8" i="19"/>
  <c r="F8" i="19"/>
  <c r="E12" i="19"/>
  <c r="F12" i="19"/>
  <c r="E16" i="19"/>
  <c r="F16" i="19"/>
  <c r="E13" i="19"/>
  <c r="F13" i="19"/>
  <c r="E17" i="19"/>
  <c r="F17" i="19"/>
  <c r="F10" i="19"/>
  <c r="E10" i="19"/>
  <c r="E14" i="19"/>
  <c r="F14" i="19"/>
  <c r="F18" i="19"/>
  <c r="E18" i="19"/>
  <c r="F7" i="19"/>
  <c r="E7" i="19"/>
  <c r="F11" i="19"/>
  <c r="E11" i="19"/>
  <c r="F15" i="19"/>
  <c r="E15" i="19"/>
  <c r="B236" i="18" l="1"/>
  <c r="AG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B234" i="18"/>
  <c r="AD232" i="18"/>
  <c r="AC232" i="18"/>
  <c r="AB232" i="18"/>
  <c r="AA232" i="18"/>
  <c r="Z232" i="18"/>
  <c r="Y232" i="18"/>
  <c r="X232" i="18"/>
  <c r="W232" i="18"/>
  <c r="V232" i="18"/>
  <c r="U232" i="18"/>
  <c r="S232" i="18"/>
  <c r="AF232" i="18"/>
  <c r="B232" i="18"/>
  <c r="A232" i="18"/>
  <c r="AD231" i="18"/>
  <c r="AC231" i="18"/>
  <c r="AB231" i="18"/>
  <c r="AA231" i="18"/>
  <c r="Z231" i="18"/>
  <c r="Y231" i="18"/>
  <c r="X231" i="18"/>
  <c r="W231" i="18"/>
  <c r="V231" i="18"/>
  <c r="U231" i="18"/>
  <c r="S231" i="18"/>
  <c r="AF231" i="18"/>
  <c r="B231" i="18"/>
  <c r="A231" i="18"/>
  <c r="AD230" i="18"/>
  <c r="AC230" i="18"/>
  <c r="AB230" i="18"/>
  <c r="AA230" i="18"/>
  <c r="Z230" i="18"/>
  <c r="Y230" i="18"/>
  <c r="X230" i="18"/>
  <c r="W230" i="18"/>
  <c r="V230" i="18"/>
  <c r="U230" i="18"/>
  <c r="S230" i="18"/>
  <c r="AF230" i="18"/>
  <c r="B230" i="18"/>
  <c r="A230" i="18"/>
  <c r="AD229" i="18"/>
  <c r="AC229" i="18"/>
  <c r="AC234" i="18" s="1"/>
  <c r="AB229" i="18"/>
  <c r="AA229" i="18"/>
  <c r="Z229" i="18"/>
  <c r="Y229" i="18"/>
  <c r="Y234" i="18" s="1"/>
  <c r="X229" i="18"/>
  <c r="W229" i="18"/>
  <c r="V229" i="18"/>
  <c r="U229" i="18"/>
  <c r="U234" i="18" s="1"/>
  <c r="S229" i="18"/>
  <c r="S234" i="18" s="1"/>
  <c r="AF229" i="18"/>
  <c r="B229" i="18"/>
  <c r="A229" i="18"/>
  <c r="B228" i="18"/>
  <c r="AG226" i="18"/>
  <c r="V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B226" i="18"/>
  <c r="AD224" i="18"/>
  <c r="AD226" i="18" s="1"/>
  <c r="AC224" i="18"/>
  <c r="AC226" i="18" s="1"/>
  <c r="AB224" i="18"/>
  <c r="AB226" i="18" s="1"/>
  <c r="AA224" i="18"/>
  <c r="AA226" i="18" s="1"/>
  <c r="Z224" i="18"/>
  <c r="Z226" i="18" s="1"/>
  <c r="Y224" i="18"/>
  <c r="Y226" i="18" s="1"/>
  <c r="X224" i="18"/>
  <c r="X226" i="18" s="1"/>
  <c r="W224" i="18"/>
  <c r="W226" i="18" s="1"/>
  <c r="V224" i="18"/>
  <c r="U226" i="18"/>
  <c r="S224" i="18"/>
  <c r="S226" i="18" s="1"/>
  <c r="AE224" i="18"/>
  <c r="AE226" i="18" s="1"/>
  <c r="B224" i="18"/>
  <c r="A224" i="18"/>
  <c r="B223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B221" i="18"/>
  <c r="AD219" i="18"/>
  <c r="AC219" i="18"/>
  <c r="AB219" i="18"/>
  <c r="AA219" i="18"/>
  <c r="Z219" i="18"/>
  <c r="Y219" i="18"/>
  <c r="X219" i="18"/>
  <c r="W219" i="18"/>
  <c r="V219" i="18"/>
  <c r="U219" i="18"/>
  <c r="S219" i="18"/>
  <c r="B219" i="18"/>
  <c r="A219" i="18"/>
  <c r="AD218" i="18"/>
  <c r="AC218" i="18"/>
  <c r="AB218" i="18"/>
  <c r="AA218" i="18"/>
  <c r="Z218" i="18"/>
  <c r="Y218" i="18"/>
  <c r="X218" i="18"/>
  <c r="W218" i="18"/>
  <c r="V218" i="18"/>
  <c r="U218" i="18"/>
  <c r="S218" i="18"/>
  <c r="AE218" i="18"/>
  <c r="B218" i="18"/>
  <c r="A218" i="18"/>
  <c r="AD217" i="18"/>
  <c r="AC217" i="18"/>
  <c r="AB217" i="18"/>
  <c r="AA217" i="18"/>
  <c r="Z217" i="18"/>
  <c r="Y217" i="18"/>
  <c r="X217" i="18"/>
  <c r="W217" i="18"/>
  <c r="V217" i="18"/>
  <c r="U217" i="18"/>
  <c r="S217" i="18"/>
  <c r="AD216" i="18"/>
  <c r="AC216" i="18"/>
  <c r="AB216" i="18"/>
  <c r="AA216" i="18"/>
  <c r="Z216" i="18"/>
  <c r="Y216" i="18"/>
  <c r="X216" i="18"/>
  <c r="W216" i="18"/>
  <c r="V216" i="18"/>
  <c r="U216" i="18"/>
  <c r="S216" i="18"/>
  <c r="AE216" i="18"/>
  <c r="B216" i="18"/>
  <c r="A216" i="18"/>
  <c r="AD215" i="18"/>
  <c r="AC215" i="18"/>
  <c r="AB215" i="18"/>
  <c r="AA215" i="18"/>
  <c r="Z215" i="18"/>
  <c r="Y215" i="18"/>
  <c r="X215" i="18"/>
  <c r="W215" i="18"/>
  <c r="V215" i="18"/>
  <c r="U215" i="18"/>
  <c r="S215" i="18"/>
  <c r="B215" i="18"/>
  <c r="A215" i="18"/>
  <c r="AD214" i="18"/>
  <c r="AC214" i="18"/>
  <c r="AB214" i="18"/>
  <c r="AA214" i="18"/>
  <c r="Z214" i="18"/>
  <c r="Y214" i="18"/>
  <c r="X214" i="18"/>
  <c r="W214" i="18"/>
  <c r="V214" i="18"/>
  <c r="U214" i="18"/>
  <c r="S214" i="18"/>
  <c r="AF214" i="18"/>
  <c r="B214" i="18"/>
  <c r="A214" i="18"/>
  <c r="AD213" i="18"/>
  <c r="AC213" i="18"/>
  <c r="AB213" i="18"/>
  <c r="AA213" i="18"/>
  <c r="Z213" i="18"/>
  <c r="Y213" i="18"/>
  <c r="X213" i="18"/>
  <c r="W213" i="18"/>
  <c r="V213" i="18"/>
  <c r="U213" i="18"/>
  <c r="S213" i="18"/>
  <c r="B213" i="18"/>
  <c r="A213" i="18"/>
  <c r="AD212" i="18"/>
  <c r="AC212" i="18"/>
  <c r="AB212" i="18"/>
  <c r="AA212" i="18"/>
  <c r="Z212" i="18"/>
  <c r="Y212" i="18"/>
  <c r="X212" i="18"/>
  <c r="W212" i="18"/>
  <c r="V212" i="18"/>
  <c r="U212" i="18"/>
  <c r="S212" i="18"/>
  <c r="AE212" i="18"/>
  <c r="B212" i="18"/>
  <c r="A212" i="18"/>
  <c r="AD211" i="18"/>
  <c r="AC211" i="18"/>
  <c r="AB211" i="18"/>
  <c r="AA211" i="18"/>
  <c r="Z211" i="18"/>
  <c r="Y211" i="18"/>
  <c r="X211" i="18"/>
  <c r="W211" i="18"/>
  <c r="V211" i="18"/>
  <c r="U211" i="18"/>
  <c r="S211" i="18"/>
  <c r="B211" i="18"/>
  <c r="A211" i="18"/>
  <c r="AD210" i="18"/>
  <c r="AC210" i="18"/>
  <c r="AB210" i="18"/>
  <c r="AA210" i="18"/>
  <c r="Z210" i="18"/>
  <c r="Y210" i="18"/>
  <c r="X210" i="18"/>
  <c r="W210" i="18"/>
  <c r="V210" i="18"/>
  <c r="U210" i="18"/>
  <c r="S210" i="18"/>
  <c r="AF210" i="18"/>
  <c r="B210" i="18"/>
  <c r="A210" i="18"/>
  <c r="AD209" i="18"/>
  <c r="AC209" i="18"/>
  <c r="AB209" i="18"/>
  <c r="AA209" i="18"/>
  <c r="Z209" i="18"/>
  <c r="Y209" i="18"/>
  <c r="X209" i="18"/>
  <c r="W209" i="18"/>
  <c r="V209" i="18"/>
  <c r="U209" i="18"/>
  <c r="S209" i="18"/>
  <c r="B209" i="18"/>
  <c r="A209" i="18"/>
  <c r="AD208" i="18"/>
  <c r="AC208" i="18"/>
  <c r="AB208" i="18"/>
  <c r="AA208" i="18"/>
  <c r="Z208" i="18"/>
  <c r="Y208" i="18"/>
  <c r="X208" i="18"/>
  <c r="W208" i="18"/>
  <c r="V208" i="18"/>
  <c r="U208" i="18"/>
  <c r="S208" i="18"/>
  <c r="AE208" i="18"/>
  <c r="B208" i="18"/>
  <c r="A208" i="18"/>
  <c r="AD207" i="18"/>
  <c r="AC207" i="18"/>
  <c r="AB207" i="18"/>
  <c r="AA207" i="18"/>
  <c r="Z207" i="18"/>
  <c r="Y207" i="18"/>
  <c r="X207" i="18"/>
  <c r="W207" i="18"/>
  <c r="V207" i="18"/>
  <c r="U207" i="18"/>
  <c r="S207" i="18"/>
  <c r="B207" i="18"/>
  <c r="A207" i="18"/>
  <c r="AD206" i="18"/>
  <c r="AC206" i="18"/>
  <c r="AB206" i="18"/>
  <c r="AA206" i="18"/>
  <c r="Z206" i="18"/>
  <c r="Y206" i="18"/>
  <c r="X206" i="18"/>
  <c r="W206" i="18"/>
  <c r="V206" i="18"/>
  <c r="U206" i="18"/>
  <c r="S206" i="18"/>
  <c r="AF206" i="18"/>
  <c r="B206" i="18"/>
  <c r="A206" i="18"/>
  <c r="AD205" i="18"/>
  <c r="AC205" i="18"/>
  <c r="AB205" i="18"/>
  <c r="AA205" i="18"/>
  <c r="Z205" i="18"/>
  <c r="Y205" i="18"/>
  <c r="X205" i="18"/>
  <c r="W205" i="18"/>
  <c r="V205" i="18"/>
  <c r="U205" i="18"/>
  <c r="S205" i="18"/>
  <c r="B205" i="18"/>
  <c r="A205" i="18"/>
  <c r="AD204" i="18"/>
  <c r="AC204" i="18"/>
  <c r="AB204" i="18"/>
  <c r="AA204" i="18"/>
  <c r="Z204" i="18"/>
  <c r="Y204" i="18"/>
  <c r="X204" i="18"/>
  <c r="W204" i="18"/>
  <c r="V204" i="18"/>
  <c r="U204" i="18"/>
  <c r="S204" i="18"/>
  <c r="AE204" i="18"/>
  <c r="B204" i="18"/>
  <c r="A204" i="18"/>
  <c r="AD203" i="18"/>
  <c r="AC203" i="18"/>
  <c r="AB203" i="18"/>
  <c r="AA203" i="18"/>
  <c r="Z203" i="18"/>
  <c r="Y203" i="18"/>
  <c r="X203" i="18"/>
  <c r="W203" i="18"/>
  <c r="V203" i="18"/>
  <c r="U203" i="18"/>
  <c r="S203" i="18"/>
  <c r="B203" i="18"/>
  <c r="A203" i="18"/>
  <c r="AD202" i="18"/>
  <c r="AC202" i="18"/>
  <c r="AB202" i="18"/>
  <c r="AA202" i="18"/>
  <c r="Z202" i="18"/>
  <c r="Y202" i="18"/>
  <c r="X202" i="18"/>
  <c r="W202" i="18"/>
  <c r="V202" i="18"/>
  <c r="U202" i="18"/>
  <c r="S202" i="18"/>
  <c r="AF202" i="18"/>
  <c r="B202" i="18"/>
  <c r="A202" i="18"/>
  <c r="AD201" i="18"/>
  <c r="AC201" i="18"/>
  <c r="AB201" i="18"/>
  <c r="AA201" i="18"/>
  <c r="Z201" i="18"/>
  <c r="Y201" i="18"/>
  <c r="X201" i="18"/>
  <c r="W201" i="18"/>
  <c r="V201" i="18"/>
  <c r="U201" i="18"/>
  <c r="S201" i="18"/>
  <c r="B201" i="18"/>
  <c r="A201" i="18"/>
  <c r="AD200" i="18"/>
  <c r="AC200" i="18"/>
  <c r="AB200" i="18"/>
  <c r="AA200" i="18"/>
  <c r="Z200" i="18"/>
  <c r="Y200" i="18"/>
  <c r="X200" i="18"/>
  <c r="W200" i="18"/>
  <c r="V200" i="18"/>
  <c r="U200" i="18"/>
  <c r="S200" i="18"/>
  <c r="AE200" i="18"/>
  <c r="B200" i="18"/>
  <c r="A200" i="18"/>
  <c r="AD199" i="18"/>
  <c r="AC199" i="18"/>
  <c r="AB199" i="18"/>
  <c r="AA199" i="18"/>
  <c r="Z199" i="18"/>
  <c r="Y199" i="18"/>
  <c r="X199" i="18"/>
  <c r="W199" i="18"/>
  <c r="V199" i="18"/>
  <c r="U199" i="18"/>
  <c r="S199" i="18"/>
  <c r="AF199" i="18"/>
  <c r="B199" i="18"/>
  <c r="A199" i="18"/>
  <c r="AD198" i="18"/>
  <c r="AC198" i="18"/>
  <c r="AB198" i="18"/>
  <c r="AA198" i="18"/>
  <c r="Z198" i="18"/>
  <c r="Y198" i="18"/>
  <c r="X198" i="18"/>
  <c r="W198" i="18"/>
  <c r="V198" i="18"/>
  <c r="U198" i="18"/>
  <c r="S198" i="18"/>
  <c r="AF198" i="18"/>
  <c r="B198" i="18"/>
  <c r="A198" i="18"/>
  <c r="AD197" i="18"/>
  <c r="AC197" i="18"/>
  <c r="AB197" i="18"/>
  <c r="AA197" i="18"/>
  <c r="Z197" i="18"/>
  <c r="Y197" i="18"/>
  <c r="X197" i="18"/>
  <c r="W197" i="18"/>
  <c r="V197" i="18"/>
  <c r="U197" i="18"/>
  <c r="S197" i="18"/>
  <c r="AF197" i="18"/>
  <c r="B197" i="18"/>
  <c r="A197" i="18"/>
  <c r="AD196" i="18"/>
  <c r="AC196" i="18"/>
  <c r="AB196" i="18"/>
  <c r="AA196" i="18"/>
  <c r="Z196" i="18"/>
  <c r="Y196" i="18"/>
  <c r="X196" i="18"/>
  <c r="W196" i="18"/>
  <c r="V196" i="18"/>
  <c r="U196" i="18"/>
  <c r="S196" i="18"/>
  <c r="AF196" i="18"/>
  <c r="B196" i="18"/>
  <c r="A196" i="18"/>
  <c r="AD195" i="18"/>
  <c r="AC195" i="18"/>
  <c r="AB195" i="18"/>
  <c r="AA195" i="18"/>
  <c r="Z195" i="18"/>
  <c r="Y195" i="18"/>
  <c r="X195" i="18"/>
  <c r="W195" i="18"/>
  <c r="V195" i="18"/>
  <c r="U195" i="18"/>
  <c r="S195" i="18"/>
  <c r="B195" i="18"/>
  <c r="A195" i="18"/>
  <c r="AD194" i="18"/>
  <c r="AC194" i="18"/>
  <c r="AB194" i="18"/>
  <c r="AA194" i="18"/>
  <c r="Z194" i="18"/>
  <c r="Y194" i="18"/>
  <c r="X194" i="18"/>
  <c r="W194" i="18"/>
  <c r="V194" i="18"/>
  <c r="U194" i="18"/>
  <c r="S194" i="18"/>
  <c r="AF194" i="18"/>
  <c r="B194" i="18"/>
  <c r="A194" i="18"/>
  <c r="AD193" i="18"/>
  <c r="AC193" i="18"/>
  <c r="AB193" i="18"/>
  <c r="AA193" i="18"/>
  <c r="Z193" i="18"/>
  <c r="Y193" i="18"/>
  <c r="X193" i="18"/>
  <c r="W193" i="18"/>
  <c r="V193" i="18"/>
  <c r="U193" i="18"/>
  <c r="S193" i="18"/>
  <c r="AF193" i="18"/>
  <c r="B193" i="18"/>
  <c r="A193" i="18"/>
  <c r="AD192" i="18"/>
  <c r="AC192" i="18"/>
  <c r="AB192" i="18"/>
  <c r="AA192" i="18"/>
  <c r="Z192" i="18"/>
  <c r="Y192" i="18"/>
  <c r="X192" i="18"/>
  <c r="W192" i="18"/>
  <c r="V192" i="18"/>
  <c r="U192" i="18"/>
  <c r="S192" i="18"/>
  <c r="AF192" i="18"/>
  <c r="B192" i="18"/>
  <c r="A192" i="18"/>
  <c r="AD191" i="18"/>
  <c r="AC191" i="18"/>
  <c r="AB191" i="18"/>
  <c r="AA191" i="18"/>
  <c r="Z191" i="18"/>
  <c r="Y191" i="18"/>
  <c r="X191" i="18"/>
  <c r="W191" i="18"/>
  <c r="V191" i="18"/>
  <c r="U191" i="18"/>
  <c r="S191" i="18"/>
  <c r="AF191" i="18"/>
  <c r="B191" i="18"/>
  <c r="A191" i="18"/>
  <c r="AD190" i="18"/>
  <c r="AC190" i="18"/>
  <c r="AB190" i="18"/>
  <c r="AA190" i="18"/>
  <c r="Z190" i="18"/>
  <c r="Y190" i="18"/>
  <c r="X190" i="18"/>
  <c r="W190" i="18"/>
  <c r="V190" i="18"/>
  <c r="U190" i="18"/>
  <c r="S190" i="18"/>
  <c r="AF190" i="18"/>
  <c r="B190" i="18"/>
  <c r="A190" i="18"/>
  <c r="AD189" i="18"/>
  <c r="AC189" i="18"/>
  <c r="AB189" i="18"/>
  <c r="AA189" i="18"/>
  <c r="Z189" i="18"/>
  <c r="Y189" i="18"/>
  <c r="X189" i="18"/>
  <c r="W189" i="18"/>
  <c r="V189" i="18"/>
  <c r="U189" i="18"/>
  <c r="S189" i="18"/>
  <c r="AF189" i="18"/>
  <c r="B189" i="18"/>
  <c r="A189" i="18"/>
  <c r="AD188" i="18"/>
  <c r="AC188" i="18"/>
  <c r="AB188" i="18"/>
  <c r="AA188" i="18"/>
  <c r="Z188" i="18"/>
  <c r="Y188" i="18"/>
  <c r="X188" i="18"/>
  <c r="W188" i="18"/>
  <c r="V188" i="18"/>
  <c r="U188" i="18"/>
  <c r="S188" i="18"/>
  <c r="AF188" i="18"/>
  <c r="B188" i="18"/>
  <c r="A188" i="18"/>
  <c r="AD187" i="18"/>
  <c r="AC187" i="18"/>
  <c r="AB187" i="18"/>
  <c r="AA187" i="18"/>
  <c r="Z187" i="18"/>
  <c r="Y187" i="18"/>
  <c r="X187" i="18"/>
  <c r="W187" i="18"/>
  <c r="V187" i="18"/>
  <c r="U187" i="18"/>
  <c r="S187" i="18"/>
  <c r="AF187" i="18"/>
  <c r="B187" i="18"/>
  <c r="A187" i="18"/>
  <c r="AD186" i="18"/>
  <c r="AC186" i="18"/>
  <c r="AB186" i="18"/>
  <c r="AA186" i="18"/>
  <c r="Z186" i="18"/>
  <c r="Y186" i="18"/>
  <c r="X186" i="18"/>
  <c r="W186" i="18"/>
  <c r="V186" i="18"/>
  <c r="U186" i="18"/>
  <c r="S186" i="18"/>
  <c r="AF186" i="18"/>
  <c r="B186" i="18"/>
  <c r="A186" i="18"/>
  <c r="AD185" i="18"/>
  <c r="AC185" i="18"/>
  <c r="AB185" i="18"/>
  <c r="AA185" i="18"/>
  <c r="Z185" i="18"/>
  <c r="Y185" i="18"/>
  <c r="X185" i="18"/>
  <c r="W185" i="18"/>
  <c r="V185" i="18"/>
  <c r="U185" i="18"/>
  <c r="S185" i="18"/>
  <c r="AF185" i="18"/>
  <c r="B185" i="18"/>
  <c r="A185" i="18"/>
  <c r="AD184" i="18"/>
  <c r="AC184" i="18"/>
  <c r="AB184" i="18"/>
  <c r="AA184" i="18"/>
  <c r="Z184" i="18"/>
  <c r="Y184" i="18"/>
  <c r="X184" i="18"/>
  <c r="W184" i="18"/>
  <c r="V184" i="18"/>
  <c r="U184" i="18"/>
  <c r="S184" i="18"/>
  <c r="AF184" i="18"/>
  <c r="B184" i="18"/>
  <c r="A184" i="18"/>
  <c r="B183" i="18"/>
  <c r="AF182" i="18"/>
  <c r="AE182" i="18"/>
  <c r="AD182" i="18"/>
  <c r="AC182" i="18"/>
  <c r="AB182" i="18"/>
  <c r="AA182" i="18"/>
  <c r="Z182" i="18"/>
  <c r="Y182" i="18"/>
  <c r="X182" i="18"/>
  <c r="W182" i="18"/>
  <c r="V182" i="18"/>
  <c r="U182" i="18"/>
  <c r="B182" i="18"/>
  <c r="AF181" i="18"/>
  <c r="AE181" i="18"/>
  <c r="AD181" i="18"/>
  <c r="AC181" i="18"/>
  <c r="AB181" i="18"/>
  <c r="AA181" i="18"/>
  <c r="Z181" i="18"/>
  <c r="Y181" i="18"/>
  <c r="X181" i="18"/>
  <c r="W181" i="18"/>
  <c r="V181" i="18"/>
  <c r="U181" i="18"/>
  <c r="B181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AD177" i="18"/>
  <c r="AC177" i="18"/>
  <c r="AB177" i="18"/>
  <c r="AA177" i="18"/>
  <c r="Z177" i="18"/>
  <c r="Y177" i="18"/>
  <c r="X177" i="18"/>
  <c r="W177" i="18"/>
  <c r="V177" i="18"/>
  <c r="U177" i="18"/>
  <c r="S177" i="18"/>
  <c r="AE177" i="18"/>
  <c r="B177" i="18"/>
  <c r="A177" i="18"/>
  <c r="AD176" i="18"/>
  <c r="AC176" i="18"/>
  <c r="AB176" i="18"/>
  <c r="AA176" i="18"/>
  <c r="Z176" i="18"/>
  <c r="Y176" i="18"/>
  <c r="X176" i="18"/>
  <c r="W176" i="18"/>
  <c r="V176" i="18"/>
  <c r="U176" i="18"/>
  <c r="S176" i="18"/>
  <c r="B176" i="18"/>
  <c r="A176" i="18"/>
  <c r="AD175" i="18"/>
  <c r="AC175" i="18"/>
  <c r="AB175" i="18"/>
  <c r="AA175" i="18"/>
  <c r="Z175" i="18"/>
  <c r="Y175" i="18"/>
  <c r="X175" i="18"/>
  <c r="W175" i="18"/>
  <c r="V175" i="18"/>
  <c r="U175" i="18"/>
  <c r="S175" i="18"/>
  <c r="AF175" i="18"/>
  <c r="B175" i="18"/>
  <c r="A175" i="18"/>
  <c r="AD174" i="18"/>
  <c r="AC174" i="18"/>
  <c r="AB174" i="18"/>
  <c r="AA174" i="18"/>
  <c r="Z174" i="18"/>
  <c r="Y174" i="18"/>
  <c r="X174" i="18"/>
  <c r="W174" i="18"/>
  <c r="V174" i="18"/>
  <c r="U174" i="18"/>
  <c r="S174" i="18"/>
  <c r="B174" i="18"/>
  <c r="A174" i="18"/>
  <c r="AD173" i="18"/>
  <c r="AC173" i="18"/>
  <c r="AB173" i="18"/>
  <c r="AA173" i="18"/>
  <c r="Z173" i="18"/>
  <c r="Y173" i="18"/>
  <c r="X173" i="18"/>
  <c r="W173" i="18"/>
  <c r="V173" i="18"/>
  <c r="U173" i="18"/>
  <c r="S173" i="18"/>
  <c r="AE173" i="18"/>
  <c r="B173" i="18"/>
  <c r="A173" i="18"/>
  <c r="AD172" i="18"/>
  <c r="AC172" i="18"/>
  <c r="AB172" i="18"/>
  <c r="AA172" i="18"/>
  <c r="Z172" i="18"/>
  <c r="Y172" i="18"/>
  <c r="X172" i="18"/>
  <c r="W172" i="18"/>
  <c r="V172" i="18"/>
  <c r="U172" i="18"/>
  <c r="S172" i="18"/>
  <c r="B172" i="18"/>
  <c r="A172" i="18"/>
  <c r="AD171" i="18"/>
  <c r="AC171" i="18"/>
  <c r="AB171" i="18"/>
  <c r="AA171" i="18"/>
  <c r="Z171" i="18"/>
  <c r="Y171" i="18"/>
  <c r="X171" i="18"/>
  <c r="W171" i="18"/>
  <c r="V171" i="18"/>
  <c r="U171" i="18"/>
  <c r="S171" i="18"/>
  <c r="AE171" i="18"/>
  <c r="B171" i="18"/>
  <c r="A171" i="18"/>
  <c r="AD170" i="18"/>
  <c r="AC170" i="18"/>
  <c r="AB170" i="18"/>
  <c r="AA170" i="18"/>
  <c r="Z170" i="18"/>
  <c r="Y170" i="18"/>
  <c r="X170" i="18"/>
  <c r="W170" i="18"/>
  <c r="V170" i="18"/>
  <c r="U170" i="18"/>
  <c r="S170" i="18"/>
  <c r="B170" i="18"/>
  <c r="A170" i="18"/>
  <c r="AD169" i="18"/>
  <c r="AC169" i="18"/>
  <c r="AB169" i="18"/>
  <c r="AA169" i="18"/>
  <c r="Z169" i="18"/>
  <c r="Y169" i="18"/>
  <c r="X169" i="18"/>
  <c r="W169" i="18"/>
  <c r="V169" i="18"/>
  <c r="U169" i="18"/>
  <c r="S169" i="18"/>
  <c r="AE169" i="18"/>
  <c r="B169" i="18"/>
  <c r="A169" i="18"/>
  <c r="AD168" i="18"/>
  <c r="AC168" i="18"/>
  <c r="AB168" i="18"/>
  <c r="AA168" i="18"/>
  <c r="Z168" i="18"/>
  <c r="Y168" i="18"/>
  <c r="X168" i="18"/>
  <c r="W168" i="18"/>
  <c r="V168" i="18"/>
  <c r="U168" i="18"/>
  <c r="S168" i="18"/>
  <c r="B168" i="18"/>
  <c r="A168" i="18"/>
  <c r="AD167" i="18"/>
  <c r="AC167" i="18"/>
  <c r="AB167" i="18"/>
  <c r="AA167" i="18"/>
  <c r="Z167" i="18"/>
  <c r="Y167" i="18"/>
  <c r="X167" i="18"/>
  <c r="W167" i="18"/>
  <c r="V167" i="18"/>
  <c r="U167" i="18"/>
  <c r="S167" i="18"/>
  <c r="AE167" i="18"/>
  <c r="B167" i="18"/>
  <c r="A167" i="18"/>
  <c r="AD166" i="18"/>
  <c r="AC166" i="18"/>
  <c r="AB166" i="18"/>
  <c r="AA166" i="18"/>
  <c r="Z166" i="18"/>
  <c r="Y166" i="18"/>
  <c r="X166" i="18"/>
  <c r="W166" i="18"/>
  <c r="V166" i="18"/>
  <c r="U166" i="18"/>
  <c r="S166" i="18"/>
  <c r="B166" i="18"/>
  <c r="A166" i="18"/>
  <c r="AD165" i="18"/>
  <c r="AC165" i="18"/>
  <c r="AB165" i="18"/>
  <c r="AA165" i="18"/>
  <c r="Z165" i="18"/>
  <c r="Y165" i="18"/>
  <c r="X165" i="18"/>
  <c r="W165" i="18"/>
  <c r="V165" i="18"/>
  <c r="U165" i="18"/>
  <c r="S165" i="18"/>
  <c r="AE165" i="18"/>
  <c r="B165" i="18"/>
  <c r="A165" i="18"/>
  <c r="AD164" i="18"/>
  <c r="AC164" i="18"/>
  <c r="AB164" i="18"/>
  <c r="AA164" i="18"/>
  <c r="Z164" i="18"/>
  <c r="Y164" i="18"/>
  <c r="X164" i="18"/>
  <c r="W164" i="18"/>
  <c r="V164" i="18"/>
  <c r="U164" i="18"/>
  <c r="S164" i="18"/>
  <c r="B164" i="18"/>
  <c r="A164" i="18"/>
  <c r="AD163" i="18"/>
  <c r="AC163" i="18"/>
  <c r="AB163" i="18"/>
  <c r="AA163" i="18"/>
  <c r="Z163" i="18"/>
  <c r="Y163" i="18"/>
  <c r="X163" i="18"/>
  <c r="W163" i="18"/>
  <c r="V163" i="18"/>
  <c r="U163" i="18"/>
  <c r="S163" i="18"/>
  <c r="AE163" i="18"/>
  <c r="B163" i="18"/>
  <c r="A163" i="18"/>
  <c r="AD162" i="18"/>
  <c r="AC162" i="18"/>
  <c r="AB162" i="18"/>
  <c r="AA162" i="18"/>
  <c r="Z162" i="18"/>
  <c r="Y162" i="18"/>
  <c r="X162" i="18"/>
  <c r="W162" i="18"/>
  <c r="V162" i="18"/>
  <c r="U162" i="18"/>
  <c r="S162" i="18"/>
  <c r="B162" i="18"/>
  <c r="A162" i="18"/>
  <c r="AD161" i="18"/>
  <c r="AC161" i="18"/>
  <c r="AB161" i="18"/>
  <c r="AA161" i="18"/>
  <c r="Z161" i="18"/>
  <c r="Y161" i="18"/>
  <c r="X161" i="18"/>
  <c r="W161" i="18"/>
  <c r="V161" i="18"/>
  <c r="U161" i="18"/>
  <c r="S161" i="18"/>
  <c r="AE161" i="18"/>
  <c r="B161" i="18"/>
  <c r="A161" i="18"/>
  <c r="AD160" i="18"/>
  <c r="AC160" i="18"/>
  <c r="AB160" i="18"/>
  <c r="AA160" i="18"/>
  <c r="Z160" i="18"/>
  <c r="Y160" i="18"/>
  <c r="X160" i="18"/>
  <c r="W160" i="18"/>
  <c r="V160" i="18"/>
  <c r="U160" i="18"/>
  <c r="S160" i="18"/>
  <c r="B160" i="18"/>
  <c r="A160" i="18"/>
  <c r="AD159" i="18"/>
  <c r="AC159" i="18"/>
  <c r="AB159" i="18"/>
  <c r="AA159" i="18"/>
  <c r="Z159" i="18"/>
  <c r="Y159" i="18"/>
  <c r="X159" i="18"/>
  <c r="W159" i="18"/>
  <c r="V159" i="18"/>
  <c r="U159" i="18"/>
  <c r="S159" i="18"/>
  <c r="AE159" i="18"/>
  <c r="B159" i="18"/>
  <c r="A159" i="18"/>
  <c r="AD158" i="18"/>
  <c r="AC158" i="18"/>
  <c r="AB158" i="18"/>
  <c r="AA158" i="18"/>
  <c r="Z158" i="18"/>
  <c r="Y158" i="18"/>
  <c r="X158" i="18"/>
  <c r="W158" i="18"/>
  <c r="V158" i="18"/>
  <c r="U158" i="18"/>
  <c r="S158" i="18"/>
  <c r="B158" i="18"/>
  <c r="A158" i="18"/>
  <c r="AD157" i="18"/>
  <c r="AC157" i="18"/>
  <c r="AB157" i="18"/>
  <c r="AA157" i="18"/>
  <c r="Z157" i="18"/>
  <c r="Y157" i="18"/>
  <c r="X157" i="18"/>
  <c r="W157" i="18"/>
  <c r="V157" i="18"/>
  <c r="U157" i="18"/>
  <c r="S157" i="18"/>
  <c r="AE157" i="18"/>
  <c r="B157" i="18"/>
  <c r="A157" i="18"/>
  <c r="AD156" i="18"/>
  <c r="AC156" i="18"/>
  <c r="AB156" i="18"/>
  <c r="AA156" i="18"/>
  <c r="Z156" i="18"/>
  <c r="Y156" i="18"/>
  <c r="X156" i="18"/>
  <c r="W156" i="18"/>
  <c r="V156" i="18"/>
  <c r="U156" i="18"/>
  <c r="S156" i="18"/>
  <c r="B156" i="18"/>
  <c r="A156" i="18"/>
  <c r="AD151" i="18"/>
  <c r="AC151" i="18"/>
  <c r="AB151" i="18"/>
  <c r="AA151" i="18"/>
  <c r="Z151" i="18"/>
  <c r="Y151" i="18"/>
  <c r="X151" i="18"/>
  <c r="W151" i="18"/>
  <c r="V151" i="18"/>
  <c r="U151" i="18"/>
  <c r="S151" i="18"/>
  <c r="AE151" i="18"/>
  <c r="B151" i="18"/>
  <c r="A151" i="18"/>
  <c r="AD150" i="18"/>
  <c r="AC150" i="18"/>
  <c r="AB150" i="18"/>
  <c r="AA150" i="18"/>
  <c r="Z150" i="18"/>
  <c r="Y150" i="18"/>
  <c r="X150" i="18"/>
  <c r="W150" i="18"/>
  <c r="V150" i="18"/>
  <c r="U150" i="18"/>
  <c r="S150" i="18"/>
  <c r="B150" i="18"/>
  <c r="A150" i="18"/>
  <c r="AD149" i="18"/>
  <c r="AC149" i="18"/>
  <c r="AB149" i="18"/>
  <c r="AA149" i="18"/>
  <c r="Z149" i="18"/>
  <c r="Y149" i="18"/>
  <c r="X149" i="18"/>
  <c r="W149" i="18"/>
  <c r="V149" i="18"/>
  <c r="U149" i="18"/>
  <c r="S149" i="18"/>
  <c r="AE149" i="18"/>
  <c r="B149" i="18"/>
  <c r="A149" i="18"/>
  <c r="AD155" i="18"/>
  <c r="AC155" i="18"/>
  <c r="AB155" i="18"/>
  <c r="AA155" i="18"/>
  <c r="Z155" i="18"/>
  <c r="Y155" i="18"/>
  <c r="X155" i="18"/>
  <c r="W155" i="18"/>
  <c r="V155" i="18"/>
  <c r="U155" i="18"/>
  <c r="S155" i="18"/>
  <c r="B155" i="18"/>
  <c r="A155" i="18"/>
  <c r="AD148" i="18"/>
  <c r="AC148" i="18"/>
  <c r="AB148" i="18"/>
  <c r="AA148" i="18"/>
  <c r="Z148" i="18"/>
  <c r="Y148" i="18"/>
  <c r="X148" i="18"/>
  <c r="W148" i="18"/>
  <c r="V148" i="18"/>
  <c r="U148" i="18"/>
  <c r="S148" i="18"/>
  <c r="AE148" i="18"/>
  <c r="B148" i="18"/>
  <c r="A148" i="18"/>
  <c r="AD147" i="18"/>
  <c r="AC147" i="18"/>
  <c r="AB147" i="18"/>
  <c r="AA147" i="18"/>
  <c r="Z147" i="18"/>
  <c r="Y147" i="18"/>
  <c r="X147" i="18"/>
  <c r="W147" i="18"/>
  <c r="V147" i="18"/>
  <c r="U147" i="18"/>
  <c r="S147" i="18"/>
  <c r="B147" i="18"/>
  <c r="A147" i="18"/>
  <c r="AD146" i="18"/>
  <c r="AC146" i="18"/>
  <c r="AB146" i="18"/>
  <c r="AA146" i="18"/>
  <c r="Z146" i="18"/>
  <c r="Y146" i="18"/>
  <c r="X146" i="18"/>
  <c r="W146" i="18"/>
  <c r="V146" i="18"/>
  <c r="U146" i="18"/>
  <c r="S146" i="18"/>
  <c r="AE146" i="18"/>
  <c r="B146" i="18"/>
  <c r="A146" i="18"/>
  <c r="AD145" i="18"/>
  <c r="AC145" i="18"/>
  <c r="AB145" i="18"/>
  <c r="AA145" i="18"/>
  <c r="Z145" i="18"/>
  <c r="Y145" i="18"/>
  <c r="X145" i="18"/>
  <c r="W145" i="18"/>
  <c r="V145" i="18"/>
  <c r="U145" i="18"/>
  <c r="S145" i="18"/>
  <c r="B145" i="18"/>
  <c r="A145" i="18"/>
  <c r="AD144" i="18"/>
  <c r="AC144" i="18"/>
  <c r="AB144" i="18"/>
  <c r="AA144" i="18"/>
  <c r="Z144" i="18"/>
  <c r="Y144" i="18"/>
  <c r="X144" i="18"/>
  <c r="W144" i="18"/>
  <c r="V144" i="18"/>
  <c r="U144" i="18"/>
  <c r="S144" i="18"/>
  <c r="AE144" i="18"/>
  <c r="B144" i="18"/>
  <c r="A144" i="18"/>
  <c r="AD143" i="18"/>
  <c r="AC143" i="18"/>
  <c r="AB143" i="18"/>
  <c r="AA143" i="18"/>
  <c r="Z143" i="18"/>
  <c r="Y143" i="18"/>
  <c r="X143" i="18"/>
  <c r="W143" i="18"/>
  <c r="V143" i="18"/>
  <c r="U143" i="18"/>
  <c r="S143" i="18"/>
  <c r="B143" i="18"/>
  <c r="A143" i="18"/>
  <c r="AD142" i="18"/>
  <c r="AC142" i="18"/>
  <c r="AB142" i="18"/>
  <c r="AA142" i="18"/>
  <c r="Z142" i="18"/>
  <c r="Y142" i="18"/>
  <c r="X142" i="18"/>
  <c r="W142" i="18"/>
  <c r="V142" i="18"/>
  <c r="U142" i="18"/>
  <c r="S142" i="18"/>
  <c r="AE142" i="18"/>
  <c r="B142" i="18"/>
  <c r="A142" i="18"/>
  <c r="AD141" i="18"/>
  <c r="AC141" i="18"/>
  <c r="AB141" i="18"/>
  <c r="AA141" i="18"/>
  <c r="Z141" i="18"/>
  <c r="Y141" i="18"/>
  <c r="X141" i="18"/>
  <c r="W141" i="18"/>
  <c r="V141" i="18"/>
  <c r="U141" i="18"/>
  <c r="S141" i="18"/>
  <c r="AF141" i="18"/>
  <c r="B141" i="18"/>
  <c r="A141" i="18"/>
  <c r="AD140" i="18"/>
  <c r="AC140" i="18"/>
  <c r="AB140" i="18"/>
  <c r="AA140" i="18"/>
  <c r="Z140" i="18"/>
  <c r="Y140" i="18"/>
  <c r="X140" i="18"/>
  <c r="W140" i="18"/>
  <c r="V140" i="18"/>
  <c r="U140" i="18"/>
  <c r="S140" i="18"/>
  <c r="B140" i="18"/>
  <c r="A140" i="18"/>
  <c r="AD139" i="18"/>
  <c r="AC139" i="18"/>
  <c r="AB139" i="18"/>
  <c r="AA139" i="18"/>
  <c r="Z139" i="18"/>
  <c r="Y139" i="18"/>
  <c r="X139" i="18"/>
  <c r="W139" i="18"/>
  <c r="V139" i="18"/>
  <c r="U139" i="18"/>
  <c r="S139" i="18"/>
  <c r="AF139" i="18"/>
  <c r="B139" i="18"/>
  <c r="A139" i="18"/>
  <c r="AD138" i="18"/>
  <c r="AC138" i="18"/>
  <c r="AB138" i="18"/>
  <c r="AA138" i="18"/>
  <c r="Z138" i="18"/>
  <c r="Y138" i="18"/>
  <c r="X138" i="18"/>
  <c r="W138" i="18"/>
  <c r="V138" i="18"/>
  <c r="U138" i="18"/>
  <c r="S138" i="18"/>
  <c r="AF138" i="18"/>
  <c r="B138" i="18"/>
  <c r="A138" i="18"/>
  <c r="AD137" i="18"/>
  <c r="AC137" i="18"/>
  <c r="AB137" i="18"/>
  <c r="AA137" i="18"/>
  <c r="Z137" i="18"/>
  <c r="Y137" i="18"/>
  <c r="X137" i="18"/>
  <c r="W137" i="18"/>
  <c r="V137" i="18"/>
  <c r="U137" i="18"/>
  <c r="S137" i="18"/>
  <c r="AF137" i="18"/>
  <c r="B137" i="18"/>
  <c r="A137" i="18"/>
  <c r="AD136" i="18"/>
  <c r="AC136" i="18"/>
  <c r="AB136" i="18"/>
  <c r="AA136" i="18"/>
  <c r="Z136" i="18"/>
  <c r="Y136" i="18"/>
  <c r="X136" i="18"/>
  <c r="W136" i="18"/>
  <c r="V136" i="18"/>
  <c r="U136" i="18"/>
  <c r="S136" i="18"/>
  <c r="AF136" i="18"/>
  <c r="B136" i="18"/>
  <c r="A136" i="18"/>
  <c r="AD135" i="18"/>
  <c r="AC135" i="18"/>
  <c r="AB135" i="18"/>
  <c r="AA135" i="18"/>
  <c r="Z135" i="18"/>
  <c r="Y135" i="18"/>
  <c r="X135" i="18"/>
  <c r="W135" i="18"/>
  <c r="V135" i="18"/>
  <c r="U135" i="18"/>
  <c r="S135" i="18"/>
  <c r="AF135" i="18"/>
  <c r="B135" i="18"/>
  <c r="A135" i="18"/>
  <c r="AD134" i="18"/>
  <c r="AC134" i="18"/>
  <c r="AB134" i="18"/>
  <c r="AA134" i="18"/>
  <c r="Z134" i="18"/>
  <c r="Y134" i="18"/>
  <c r="X134" i="18"/>
  <c r="W134" i="18"/>
  <c r="V134" i="18"/>
  <c r="U134" i="18"/>
  <c r="S134" i="18"/>
  <c r="AF134" i="18"/>
  <c r="B134" i="18"/>
  <c r="A134" i="18"/>
  <c r="AD133" i="18"/>
  <c r="AC133" i="18"/>
  <c r="AB133" i="18"/>
  <c r="AA133" i="18"/>
  <c r="Z133" i="18"/>
  <c r="Y133" i="18"/>
  <c r="X133" i="18"/>
  <c r="W133" i="18"/>
  <c r="V133" i="18"/>
  <c r="U133" i="18"/>
  <c r="S133" i="18"/>
  <c r="AF133" i="18"/>
  <c r="B133" i="18"/>
  <c r="A133" i="18"/>
  <c r="AD132" i="18"/>
  <c r="AC132" i="18"/>
  <c r="AB132" i="18"/>
  <c r="AA132" i="18"/>
  <c r="Z132" i="18"/>
  <c r="Y132" i="18"/>
  <c r="X132" i="18"/>
  <c r="W132" i="18"/>
  <c r="V132" i="18"/>
  <c r="U132" i="18"/>
  <c r="S132" i="18"/>
  <c r="AF132" i="18"/>
  <c r="B132" i="18"/>
  <c r="A132" i="18"/>
  <c r="AD131" i="18"/>
  <c r="AC131" i="18"/>
  <c r="AB131" i="18"/>
  <c r="AA131" i="18"/>
  <c r="Z131" i="18"/>
  <c r="Y131" i="18"/>
  <c r="X131" i="18"/>
  <c r="W131" i="18"/>
  <c r="V131" i="18"/>
  <c r="U131" i="18"/>
  <c r="S131" i="18"/>
  <c r="AF131" i="18"/>
  <c r="B131" i="18"/>
  <c r="A131" i="18"/>
  <c r="AD130" i="18"/>
  <c r="AC130" i="18"/>
  <c r="AB130" i="18"/>
  <c r="AA130" i="18"/>
  <c r="Z130" i="18"/>
  <c r="Y130" i="18"/>
  <c r="X130" i="18"/>
  <c r="W130" i="18"/>
  <c r="V130" i="18"/>
  <c r="U130" i="18"/>
  <c r="S130" i="18"/>
  <c r="AF130" i="18"/>
  <c r="B130" i="18"/>
  <c r="A130" i="18"/>
  <c r="AD129" i="18"/>
  <c r="AC129" i="18"/>
  <c r="AB129" i="18"/>
  <c r="AA129" i="18"/>
  <c r="Z129" i="18"/>
  <c r="Y129" i="18"/>
  <c r="X129" i="18"/>
  <c r="W129" i="18"/>
  <c r="V129" i="18"/>
  <c r="U129" i="18"/>
  <c r="S129" i="18"/>
  <c r="AF129" i="18"/>
  <c r="B129" i="18"/>
  <c r="A129" i="18"/>
  <c r="AD128" i="18"/>
  <c r="AC128" i="18"/>
  <c r="AB128" i="18"/>
  <c r="AA128" i="18"/>
  <c r="Z128" i="18"/>
  <c r="Y128" i="18"/>
  <c r="X128" i="18"/>
  <c r="W128" i="18"/>
  <c r="V128" i="18"/>
  <c r="U128" i="18"/>
  <c r="S128" i="18"/>
  <c r="B128" i="18"/>
  <c r="A128" i="18"/>
  <c r="AD127" i="18"/>
  <c r="AC127" i="18"/>
  <c r="AB127" i="18"/>
  <c r="AA127" i="18"/>
  <c r="Z127" i="18"/>
  <c r="Y127" i="18"/>
  <c r="X127" i="18"/>
  <c r="W127" i="18"/>
  <c r="V127" i="18"/>
  <c r="U127" i="18"/>
  <c r="S127" i="18"/>
  <c r="AF127" i="18"/>
  <c r="B127" i="18"/>
  <c r="A127" i="18"/>
  <c r="AD126" i="18"/>
  <c r="AC126" i="18"/>
  <c r="AB126" i="18"/>
  <c r="AA126" i="18"/>
  <c r="Z126" i="18"/>
  <c r="Y126" i="18"/>
  <c r="X126" i="18"/>
  <c r="W126" i="18"/>
  <c r="V126" i="18"/>
  <c r="U126" i="18"/>
  <c r="S126" i="18"/>
  <c r="AF126" i="18"/>
  <c r="B126" i="18"/>
  <c r="A126" i="18"/>
  <c r="AD125" i="18"/>
  <c r="AC125" i="18"/>
  <c r="AB125" i="18"/>
  <c r="AA125" i="18"/>
  <c r="Z125" i="18"/>
  <c r="Y125" i="18"/>
  <c r="X125" i="18"/>
  <c r="W125" i="18"/>
  <c r="V125" i="18"/>
  <c r="U125" i="18"/>
  <c r="S125" i="18"/>
  <c r="AF125" i="18"/>
  <c r="B125" i="18"/>
  <c r="A125" i="18"/>
  <c r="AD124" i="18"/>
  <c r="AC124" i="18"/>
  <c r="AB124" i="18"/>
  <c r="AA124" i="18"/>
  <c r="Z124" i="18"/>
  <c r="Y124" i="18"/>
  <c r="X124" i="18"/>
  <c r="W124" i="18"/>
  <c r="V124" i="18"/>
  <c r="U124" i="18"/>
  <c r="S124" i="18"/>
  <c r="AF124" i="18"/>
  <c r="B124" i="18"/>
  <c r="A124" i="18"/>
  <c r="AD123" i="18"/>
  <c r="AC123" i="18"/>
  <c r="AB123" i="18"/>
  <c r="AA123" i="18"/>
  <c r="Z123" i="18"/>
  <c r="Y123" i="18"/>
  <c r="X123" i="18"/>
  <c r="W123" i="18"/>
  <c r="V123" i="18"/>
  <c r="U123" i="18"/>
  <c r="S123" i="18"/>
  <c r="AF123" i="18"/>
  <c r="B123" i="18"/>
  <c r="A123" i="18"/>
  <c r="AD122" i="18"/>
  <c r="AC122" i="18"/>
  <c r="AB122" i="18"/>
  <c r="AA122" i="18"/>
  <c r="Z122" i="18"/>
  <c r="Y122" i="18"/>
  <c r="X122" i="18"/>
  <c r="W122" i="18"/>
  <c r="V122" i="18"/>
  <c r="U122" i="18"/>
  <c r="S122" i="18"/>
  <c r="AF122" i="18"/>
  <c r="B122" i="18"/>
  <c r="A122" i="18"/>
  <c r="AD121" i="18"/>
  <c r="AC121" i="18"/>
  <c r="AB121" i="18"/>
  <c r="AA121" i="18"/>
  <c r="Z121" i="18"/>
  <c r="Y121" i="18"/>
  <c r="X121" i="18"/>
  <c r="W121" i="18"/>
  <c r="V121" i="18"/>
  <c r="U121" i="18"/>
  <c r="S121" i="18"/>
  <c r="AF121" i="18"/>
  <c r="B121" i="18"/>
  <c r="A121" i="18"/>
  <c r="AD120" i="18"/>
  <c r="AC120" i="18"/>
  <c r="AB120" i="18"/>
  <c r="AA120" i="18"/>
  <c r="Z120" i="18"/>
  <c r="Y120" i="18"/>
  <c r="X120" i="18"/>
  <c r="W120" i="18"/>
  <c r="V120" i="18"/>
  <c r="U120" i="18"/>
  <c r="S120" i="18"/>
  <c r="AF120" i="18"/>
  <c r="B120" i="18"/>
  <c r="A120" i="18"/>
  <c r="AD119" i="18"/>
  <c r="AC119" i="18"/>
  <c r="AB119" i="18"/>
  <c r="AA119" i="18"/>
  <c r="Z119" i="18"/>
  <c r="Y119" i="18"/>
  <c r="X119" i="18"/>
  <c r="W119" i="18"/>
  <c r="V119" i="18"/>
  <c r="U119" i="18"/>
  <c r="S119" i="18"/>
  <c r="AF119" i="18"/>
  <c r="B119" i="18"/>
  <c r="A119" i="18"/>
  <c r="AD118" i="18"/>
  <c r="AC118" i="18"/>
  <c r="AB118" i="18"/>
  <c r="AA118" i="18"/>
  <c r="Z118" i="18"/>
  <c r="Y118" i="18"/>
  <c r="X118" i="18"/>
  <c r="W118" i="18"/>
  <c r="V118" i="18"/>
  <c r="U118" i="18"/>
  <c r="S118" i="18"/>
  <c r="AF118" i="18"/>
  <c r="B118" i="18"/>
  <c r="A118" i="18"/>
  <c r="AD117" i="18"/>
  <c r="AC117" i="18"/>
  <c r="AB117" i="18"/>
  <c r="AA117" i="18"/>
  <c r="Z117" i="18"/>
  <c r="Y117" i="18"/>
  <c r="X117" i="18"/>
  <c r="W117" i="18"/>
  <c r="V117" i="18"/>
  <c r="U117" i="18"/>
  <c r="S117" i="18"/>
  <c r="AF117" i="18"/>
  <c r="B117" i="18"/>
  <c r="A117" i="18"/>
  <c r="AD116" i="18"/>
  <c r="AC116" i="18"/>
  <c r="AB116" i="18"/>
  <c r="AA116" i="18"/>
  <c r="Z116" i="18"/>
  <c r="Y116" i="18"/>
  <c r="X116" i="18"/>
  <c r="W116" i="18"/>
  <c r="V116" i="18"/>
  <c r="U116" i="18"/>
  <c r="S116" i="18"/>
  <c r="AF116" i="18"/>
  <c r="B116" i="18"/>
  <c r="A116" i="18"/>
  <c r="AD115" i="18"/>
  <c r="AC115" i="18"/>
  <c r="AB115" i="18"/>
  <c r="AA115" i="18"/>
  <c r="Z115" i="18"/>
  <c r="Y115" i="18"/>
  <c r="X115" i="18"/>
  <c r="W115" i="18"/>
  <c r="V115" i="18"/>
  <c r="U115" i="18"/>
  <c r="S115" i="18"/>
  <c r="AF115" i="18"/>
  <c r="B115" i="18"/>
  <c r="A115" i="18"/>
  <c r="AD114" i="18"/>
  <c r="AC114" i="18"/>
  <c r="AB114" i="18"/>
  <c r="AA114" i="18"/>
  <c r="Z114" i="18"/>
  <c r="Y114" i="18"/>
  <c r="X114" i="18"/>
  <c r="W114" i="18"/>
  <c r="V114" i="18"/>
  <c r="U114" i="18"/>
  <c r="S114" i="18"/>
  <c r="AF114" i="18"/>
  <c r="B114" i="18"/>
  <c r="A114" i="18"/>
  <c r="AD113" i="18"/>
  <c r="AC113" i="18"/>
  <c r="AB113" i="18"/>
  <c r="AA113" i="18"/>
  <c r="Z113" i="18"/>
  <c r="Y113" i="18"/>
  <c r="X113" i="18"/>
  <c r="W113" i="18"/>
  <c r="V113" i="18"/>
  <c r="U113" i="18"/>
  <c r="S113" i="18"/>
  <c r="AF113" i="18"/>
  <c r="B113" i="18"/>
  <c r="A113" i="18"/>
  <c r="AD112" i="18"/>
  <c r="AC112" i="18"/>
  <c r="AB112" i="18"/>
  <c r="AA112" i="18"/>
  <c r="Z112" i="18"/>
  <c r="Y112" i="18"/>
  <c r="X112" i="18"/>
  <c r="W112" i="18"/>
  <c r="V112" i="18"/>
  <c r="U112" i="18"/>
  <c r="S112" i="18"/>
  <c r="AF112" i="18"/>
  <c r="B112" i="18"/>
  <c r="A112" i="18"/>
  <c r="AD111" i="18"/>
  <c r="AC111" i="18"/>
  <c r="AB111" i="18"/>
  <c r="AA111" i="18"/>
  <c r="Z111" i="18"/>
  <c r="Y111" i="18"/>
  <c r="X111" i="18"/>
  <c r="W111" i="18"/>
  <c r="V111" i="18"/>
  <c r="U111" i="18"/>
  <c r="S111" i="18"/>
  <c r="AF111" i="18"/>
  <c r="B111" i="18"/>
  <c r="A111" i="18"/>
  <c r="AD110" i="18"/>
  <c r="AC110" i="18"/>
  <c r="AB110" i="18"/>
  <c r="AA110" i="18"/>
  <c r="Z110" i="18"/>
  <c r="Y110" i="18"/>
  <c r="X110" i="18"/>
  <c r="W110" i="18"/>
  <c r="V110" i="18"/>
  <c r="U110" i="18"/>
  <c r="S110" i="18"/>
  <c r="AF110" i="18"/>
  <c r="B110" i="18"/>
  <c r="A110" i="18"/>
  <c r="AD109" i="18"/>
  <c r="AC109" i="18"/>
  <c r="AB109" i="18"/>
  <c r="AA109" i="18"/>
  <c r="Z109" i="18"/>
  <c r="Y109" i="18"/>
  <c r="X109" i="18"/>
  <c r="W109" i="18"/>
  <c r="V109" i="18"/>
  <c r="U109" i="18"/>
  <c r="S109" i="18"/>
  <c r="AF109" i="18"/>
  <c r="B109" i="18"/>
  <c r="A109" i="18"/>
  <c r="AD108" i="18"/>
  <c r="AC108" i="18"/>
  <c r="AB108" i="18"/>
  <c r="AA108" i="18"/>
  <c r="Z108" i="18"/>
  <c r="Y108" i="18"/>
  <c r="X108" i="18"/>
  <c r="W108" i="18"/>
  <c r="V108" i="18"/>
  <c r="U108" i="18"/>
  <c r="S108" i="18"/>
  <c r="AF108" i="18"/>
  <c r="B108" i="18"/>
  <c r="A108" i="18"/>
  <c r="AD107" i="18"/>
  <c r="AC107" i="18"/>
  <c r="AB107" i="18"/>
  <c r="AA107" i="18"/>
  <c r="Z107" i="18"/>
  <c r="Y107" i="18"/>
  <c r="X107" i="18"/>
  <c r="W107" i="18"/>
  <c r="V107" i="18"/>
  <c r="U107" i="18"/>
  <c r="S107" i="18"/>
  <c r="AF107" i="18"/>
  <c r="B107" i="18"/>
  <c r="A107" i="18"/>
  <c r="AD106" i="18"/>
  <c r="AC106" i="18"/>
  <c r="AB106" i="18"/>
  <c r="AA106" i="18"/>
  <c r="Z106" i="18"/>
  <c r="Y106" i="18"/>
  <c r="X106" i="18"/>
  <c r="W106" i="18"/>
  <c r="V106" i="18"/>
  <c r="U106" i="18"/>
  <c r="S106" i="18"/>
  <c r="AF106" i="18"/>
  <c r="B106" i="18"/>
  <c r="A106" i="18"/>
  <c r="AD105" i="18"/>
  <c r="AC105" i="18"/>
  <c r="AB105" i="18"/>
  <c r="AA105" i="18"/>
  <c r="Z105" i="18"/>
  <c r="Y105" i="18"/>
  <c r="X105" i="18"/>
  <c r="W105" i="18"/>
  <c r="V105" i="18"/>
  <c r="U105" i="18"/>
  <c r="S105" i="18"/>
  <c r="AF105" i="18"/>
  <c r="B105" i="18"/>
  <c r="A105" i="18"/>
  <c r="AD104" i="18"/>
  <c r="AC104" i="18"/>
  <c r="AB104" i="18"/>
  <c r="AA104" i="18"/>
  <c r="Z104" i="18"/>
  <c r="Y104" i="18"/>
  <c r="X104" i="18"/>
  <c r="W104" i="18"/>
  <c r="V104" i="18"/>
  <c r="U104" i="18"/>
  <c r="S104" i="18"/>
  <c r="B104" i="18"/>
  <c r="A104" i="18"/>
  <c r="AD103" i="18"/>
  <c r="AC103" i="18"/>
  <c r="AB103" i="18"/>
  <c r="AA103" i="18"/>
  <c r="Z103" i="18"/>
  <c r="Y103" i="18"/>
  <c r="X103" i="18"/>
  <c r="W103" i="18"/>
  <c r="V103" i="18"/>
  <c r="U103" i="18"/>
  <c r="S103" i="18"/>
  <c r="B103" i="18"/>
  <c r="A103" i="18"/>
  <c r="AD102" i="18"/>
  <c r="AC102" i="18"/>
  <c r="AB102" i="18"/>
  <c r="AA102" i="18"/>
  <c r="Z102" i="18"/>
  <c r="Y102" i="18"/>
  <c r="X102" i="18"/>
  <c r="W102" i="18"/>
  <c r="V102" i="18"/>
  <c r="U102" i="18"/>
  <c r="S102" i="18"/>
  <c r="B102" i="18"/>
  <c r="A102" i="18"/>
  <c r="AD101" i="18"/>
  <c r="AC101" i="18"/>
  <c r="AB101" i="18"/>
  <c r="AA101" i="18"/>
  <c r="Z101" i="18"/>
  <c r="Y101" i="18"/>
  <c r="X101" i="18"/>
  <c r="W101" i="18"/>
  <c r="V101" i="18"/>
  <c r="U101" i="18"/>
  <c r="S101" i="18"/>
  <c r="B101" i="18"/>
  <c r="A101" i="18"/>
  <c r="AD100" i="18"/>
  <c r="AC100" i="18"/>
  <c r="AB100" i="18"/>
  <c r="AA100" i="18"/>
  <c r="Z100" i="18"/>
  <c r="Y100" i="18"/>
  <c r="X100" i="18"/>
  <c r="W100" i="18"/>
  <c r="V100" i="18"/>
  <c r="U100" i="18"/>
  <c r="S100" i="18"/>
  <c r="B100" i="18"/>
  <c r="A100" i="18"/>
  <c r="AD99" i="18"/>
  <c r="AC99" i="18"/>
  <c r="AB99" i="18"/>
  <c r="AA99" i="18"/>
  <c r="Z99" i="18"/>
  <c r="Y99" i="18"/>
  <c r="X99" i="18"/>
  <c r="W99" i="18"/>
  <c r="V99" i="18"/>
  <c r="U99" i="18"/>
  <c r="S99" i="18"/>
  <c r="B99" i="18"/>
  <c r="A99" i="18"/>
  <c r="AD98" i="18"/>
  <c r="AC98" i="18"/>
  <c r="AB98" i="18"/>
  <c r="AA98" i="18"/>
  <c r="Z98" i="18"/>
  <c r="Y98" i="18"/>
  <c r="X98" i="18"/>
  <c r="W98" i="18"/>
  <c r="V98" i="18"/>
  <c r="U98" i="18"/>
  <c r="S98" i="18"/>
  <c r="B98" i="18"/>
  <c r="A98" i="18"/>
  <c r="AD97" i="18"/>
  <c r="AC97" i="18"/>
  <c r="AB97" i="18"/>
  <c r="AA97" i="18"/>
  <c r="Z97" i="18"/>
  <c r="Y97" i="18"/>
  <c r="X97" i="18"/>
  <c r="W97" i="18"/>
  <c r="V97" i="18"/>
  <c r="U97" i="18"/>
  <c r="S97" i="18"/>
  <c r="AF97" i="18"/>
  <c r="B97" i="18"/>
  <c r="A97" i="18"/>
  <c r="AD96" i="18"/>
  <c r="AC96" i="18"/>
  <c r="AB96" i="18"/>
  <c r="AA96" i="18"/>
  <c r="Z96" i="18"/>
  <c r="Y96" i="18"/>
  <c r="X96" i="18"/>
  <c r="W96" i="18"/>
  <c r="V96" i="18"/>
  <c r="U96" i="18"/>
  <c r="S96" i="18"/>
  <c r="B96" i="18"/>
  <c r="A96" i="18"/>
  <c r="AD95" i="18"/>
  <c r="AC95" i="18"/>
  <c r="AB95" i="18"/>
  <c r="AA95" i="18"/>
  <c r="Z95" i="18"/>
  <c r="Y95" i="18"/>
  <c r="X95" i="18"/>
  <c r="W95" i="18"/>
  <c r="V95" i="18"/>
  <c r="U95" i="18"/>
  <c r="S95" i="18"/>
  <c r="AF95" i="18"/>
  <c r="B95" i="18"/>
  <c r="A95" i="18"/>
  <c r="AD94" i="18"/>
  <c r="AC94" i="18"/>
  <c r="AB94" i="18"/>
  <c r="AA94" i="18"/>
  <c r="Z94" i="18"/>
  <c r="Y94" i="18"/>
  <c r="X94" i="18"/>
  <c r="W94" i="18"/>
  <c r="V94" i="18"/>
  <c r="U94" i="18"/>
  <c r="S94" i="18"/>
  <c r="AF94" i="18"/>
  <c r="B94" i="18"/>
  <c r="A94" i="18"/>
  <c r="AD93" i="18"/>
  <c r="AC93" i="18"/>
  <c r="AB93" i="18"/>
  <c r="AA93" i="18"/>
  <c r="Z93" i="18"/>
  <c r="Y93" i="18"/>
  <c r="X93" i="18"/>
  <c r="W93" i="18"/>
  <c r="V93" i="18"/>
  <c r="U93" i="18"/>
  <c r="S93" i="18"/>
  <c r="AF93" i="18"/>
  <c r="B93" i="18"/>
  <c r="A93" i="18"/>
  <c r="AD92" i="18"/>
  <c r="AC92" i="18"/>
  <c r="AB92" i="18"/>
  <c r="AA92" i="18"/>
  <c r="Z92" i="18"/>
  <c r="Y92" i="18"/>
  <c r="X92" i="18"/>
  <c r="W92" i="18"/>
  <c r="V92" i="18"/>
  <c r="U92" i="18"/>
  <c r="S92" i="18"/>
  <c r="AF92" i="18"/>
  <c r="B92" i="18"/>
  <c r="A92" i="18"/>
  <c r="AD91" i="18"/>
  <c r="AC91" i="18"/>
  <c r="AB91" i="18"/>
  <c r="AA91" i="18"/>
  <c r="Z91" i="18"/>
  <c r="Y91" i="18"/>
  <c r="X91" i="18"/>
  <c r="W91" i="18"/>
  <c r="V91" i="18"/>
  <c r="U91" i="18"/>
  <c r="S91" i="18"/>
  <c r="AF91" i="18"/>
  <c r="B91" i="18"/>
  <c r="A91" i="18"/>
  <c r="AD90" i="18"/>
  <c r="AC90" i="18"/>
  <c r="AB90" i="18"/>
  <c r="AA90" i="18"/>
  <c r="Z90" i="18"/>
  <c r="Y90" i="18"/>
  <c r="X90" i="18"/>
  <c r="W90" i="18"/>
  <c r="V90" i="18"/>
  <c r="U90" i="18"/>
  <c r="S90" i="18"/>
  <c r="AF90" i="18"/>
  <c r="B90" i="18"/>
  <c r="A90" i="18"/>
  <c r="AD89" i="18"/>
  <c r="AC89" i="18"/>
  <c r="AB89" i="18"/>
  <c r="AA89" i="18"/>
  <c r="Z89" i="18"/>
  <c r="Y89" i="18"/>
  <c r="X89" i="18"/>
  <c r="W89" i="18"/>
  <c r="V89" i="18"/>
  <c r="U89" i="18"/>
  <c r="S89" i="18"/>
  <c r="AF89" i="18"/>
  <c r="B89" i="18"/>
  <c r="A89" i="18"/>
  <c r="AD88" i="18"/>
  <c r="AC88" i="18"/>
  <c r="AB88" i="18"/>
  <c r="AA88" i="18"/>
  <c r="Z88" i="18"/>
  <c r="Y88" i="18"/>
  <c r="X88" i="18"/>
  <c r="W88" i="18"/>
  <c r="V88" i="18"/>
  <c r="U88" i="18"/>
  <c r="S88" i="18"/>
  <c r="AF88" i="18"/>
  <c r="B88" i="18"/>
  <c r="A88" i="18"/>
  <c r="AD87" i="18"/>
  <c r="AC87" i="18"/>
  <c r="AB87" i="18"/>
  <c r="AA87" i="18"/>
  <c r="Z87" i="18"/>
  <c r="Y87" i="18"/>
  <c r="X87" i="18"/>
  <c r="W87" i="18"/>
  <c r="V87" i="18"/>
  <c r="U87" i="18"/>
  <c r="S87" i="18"/>
  <c r="AF87" i="18"/>
  <c r="B87" i="18"/>
  <c r="A87" i="18"/>
  <c r="B86" i="18"/>
  <c r="B85" i="18"/>
  <c r="B84" i="18"/>
  <c r="B83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B82" i="18"/>
  <c r="AD80" i="18"/>
  <c r="AC80" i="18"/>
  <c r="AB80" i="18"/>
  <c r="AA80" i="18"/>
  <c r="Z80" i="18"/>
  <c r="Y80" i="18"/>
  <c r="X80" i="18"/>
  <c r="W80" i="18"/>
  <c r="V80" i="18"/>
  <c r="U80" i="18"/>
  <c r="S80" i="18"/>
  <c r="B80" i="18"/>
  <c r="A80" i="18"/>
  <c r="AD79" i="18"/>
  <c r="AC79" i="18"/>
  <c r="AB79" i="18"/>
  <c r="AA79" i="18"/>
  <c r="Z79" i="18"/>
  <c r="Y79" i="18"/>
  <c r="X79" i="18"/>
  <c r="W79" i="18"/>
  <c r="V79" i="18"/>
  <c r="U79" i="18"/>
  <c r="S79" i="18"/>
  <c r="AF79" i="18"/>
  <c r="B79" i="18"/>
  <c r="A79" i="18"/>
  <c r="B78" i="18"/>
  <c r="B77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B76" i="18"/>
  <c r="AD74" i="18"/>
  <c r="AC74" i="18"/>
  <c r="AB74" i="18"/>
  <c r="AA74" i="18"/>
  <c r="Z74" i="18"/>
  <c r="Y74" i="18"/>
  <c r="X74" i="18"/>
  <c r="W74" i="18"/>
  <c r="V74" i="18"/>
  <c r="U74" i="18"/>
  <c r="S74" i="18"/>
  <c r="AE74" i="18"/>
  <c r="B74" i="18"/>
  <c r="A74" i="18"/>
  <c r="AD73" i="18"/>
  <c r="AC73" i="18"/>
  <c r="AB73" i="18"/>
  <c r="AA73" i="18"/>
  <c r="Z73" i="18"/>
  <c r="Y73" i="18"/>
  <c r="X73" i="18"/>
  <c r="W73" i="18"/>
  <c r="V73" i="18"/>
  <c r="U73" i="18"/>
  <c r="S73" i="18"/>
  <c r="B73" i="18"/>
  <c r="A73" i="18"/>
  <c r="AD72" i="18"/>
  <c r="AC72" i="18"/>
  <c r="AB72" i="18"/>
  <c r="AA72" i="18"/>
  <c r="Z72" i="18"/>
  <c r="Y72" i="18"/>
  <c r="X72" i="18"/>
  <c r="W72" i="18"/>
  <c r="V72" i="18"/>
  <c r="U72" i="18"/>
  <c r="S72" i="18"/>
  <c r="AE72" i="18"/>
  <c r="B72" i="18"/>
  <c r="A72" i="18"/>
  <c r="AD71" i="18"/>
  <c r="AC71" i="18"/>
  <c r="AB71" i="18"/>
  <c r="AA71" i="18"/>
  <c r="Z71" i="18"/>
  <c r="Y71" i="18"/>
  <c r="X71" i="18"/>
  <c r="W71" i="18"/>
  <c r="V71" i="18"/>
  <c r="U71" i="18"/>
  <c r="S71" i="18"/>
  <c r="B71" i="18"/>
  <c r="A71" i="18"/>
  <c r="AD70" i="18"/>
  <c r="AC70" i="18"/>
  <c r="AB70" i="18"/>
  <c r="AA70" i="18"/>
  <c r="Z70" i="18"/>
  <c r="Y70" i="18"/>
  <c r="X70" i="18"/>
  <c r="W70" i="18"/>
  <c r="V70" i="18"/>
  <c r="U70" i="18"/>
  <c r="S70" i="18"/>
  <c r="AE70" i="18"/>
  <c r="B70" i="18"/>
  <c r="A70" i="18"/>
  <c r="AD69" i="18"/>
  <c r="AC69" i="18"/>
  <c r="AB69" i="18"/>
  <c r="AA69" i="18"/>
  <c r="Z69" i="18"/>
  <c r="Y69" i="18"/>
  <c r="X69" i="18"/>
  <c r="W69" i="18"/>
  <c r="V69" i="18"/>
  <c r="U69" i="18"/>
  <c r="S69" i="18"/>
  <c r="B69" i="18"/>
  <c r="A69" i="18"/>
  <c r="AD68" i="18"/>
  <c r="AC68" i="18"/>
  <c r="AB68" i="18"/>
  <c r="AA68" i="18"/>
  <c r="Z68" i="18"/>
  <c r="Y68" i="18"/>
  <c r="X68" i="18"/>
  <c r="W68" i="18"/>
  <c r="V68" i="18"/>
  <c r="U68" i="18"/>
  <c r="S68" i="18"/>
  <c r="AE68" i="18"/>
  <c r="B68" i="18"/>
  <c r="A68" i="18"/>
  <c r="AD67" i="18"/>
  <c r="AC67" i="18"/>
  <c r="AB67" i="18"/>
  <c r="AA67" i="18"/>
  <c r="Z67" i="18"/>
  <c r="Y67" i="18"/>
  <c r="X67" i="18"/>
  <c r="W67" i="18"/>
  <c r="V67" i="18"/>
  <c r="U67" i="18"/>
  <c r="S67" i="18"/>
  <c r="B67" i="18"/>
  <c r="A67" i="18"/>
  <c r="AD66" i="18"/>
  <c r="AC66" i="18"/>
  <c r="AB66" i="18"/>
  <c r="AA66" i="18"/>
  <c r="Z66" i="18"/>
  <c r="Y66" i="18"/>
  <c r="X66" i="18"/>
  <c r="W66" i="18"/>
  <c r="V66" i="18"/>
  <c r="U66" i="18"/>
  <c r="S66" i="18"/>
  <c r="AE66" i="18"/>
  <c r="B66" i="18"/>
  <c r="A66" i="18"/>
  <c r="AD65" i="18"/>
  <c r="AC65" i="18"/>
  <c r="AB65" i="18"/>
  <c r="AA65" i="18"/>
  <c r="Z65" i="18"/>
  <c r="Y65" i="18"/>
  <c r="X65" i="18"/>
  <c r="W65" i="18"/>
  <c r="V65" i="18"/>
  <c r="U65" i="18"/>
  <c r="S65" i="18"/>
  <c r="AE65" i="18"/>
  <c r="B65" i="18"/>
  <c r="A65" i="18"/>
  <c r="AD64" i="18"/>
  <c r="AC64" i="18"/>
  <c r="AB64" i="18"/>
  <c r="AA64" i="18"/>
  <c r="Z64" i="18"/>
  <c r="Y64" i="18"/>
  <c r="X64" i="18"/>
  <c r="W64" i="18"/>
  <c r="V64" i="18"/>
  <c r="U64" i="18"/>
  <c r="S64" i="18"/>
  <c r="B64" i="18"/>
  <c r="A64" i="18"/>
  <c r="AD63" i="18"/>
  <c r="AC63" i="18"/>
  <c r="AB63" i="18"/>
  <c r="AA63" i="18"/>
  <c r="Z63" i="18"/>
  <c r="Y63" i="18"/>
  <c r="X63" i="18"/>
  <c r="W63" i="18"/>
  <c r="V63" i="18"/>
  <c r="U63" i="18"/>
  <c r="S63" i="18"/>
  <c r="AE63" i="18"/>
  <c r="B63" i="18"/>
  <c r="A63" i="18"/>
  <c r="AD62" i="18"/>
  <c r="AC62" i="18"/>
  <c r="AB62" i="18"/>
  <c r="AA62" i="18"/>
  <c r="Z62" i="18"/>
  <c r="Y62" i="18"/>
  <c r="X62" i="18"/>
  <c r="W62" i="18"/>
  <c r="V62" i="18"/>
  <c r="U62" i="18"/>
  <c r="S62" i="18"/>
  <c r="B62" i="18"/>
  <c r="A62" i="18"/>
  <c r="AD61" i="18"/>
  <c r="AC61" i="18"/>
  <c r="AB61" i="18"/>
  <c r="AA61" i="18"/>
  <c r="Z61" i="18"/>
  <c r="Y61" i="18"/>
  <c r="X61" i="18"/>
  <c r="W61" i="18"/>
  <c r="V61" i="18"/>
  <c r="U61" i="18"/>
  <c r="S61" i="18"/>
  <c r="B61" i="18"/>
  <c r="A61" i="18"/>
  <c r="AD60" i="18"/>
  <c r="AC60" i="18"/>
  <c r="AB60" i="18"/>
  <c r="AA60" i="18"/>
  <c r="Z60" i="18"/>
  <c r="Y60" i="18"/>
  <c r="X60" i="18"/>
  <c r="W60" i="18"/>
  <c r="V60" i="18"/>
  <c r="U60" i="18"/>
  <c r="S60" i="18"/>
  <c r="B60" i="18"/>
  <c r="A60" i="18"/>
  <c r="AD59" i="18"/>
  <c r="AC59" i="18"/>
  <c r="AB59" i="18"/>
  <c r="AA59" i="18"/>
  <c r="Z59" i="18"/>
  <c r="Y59" i="18"/>
  <c r="X59" i="18"/>
  <c r="W59" i="18"/>
  <c r="V59" i="18"/>
  <c r="U59" i="18"/>
  <c r="S59" i="18"/>
  <c r="AE59" i="18"/>
  <c r="B59" i="18"/>
  <c r="A59" i="18"/>
  <c r="AD56" i="18"/>
  <c r="AC56" i="18"/>
  <c r="AB56" i="18"/>
  <c r="AA56" i="18"/>
  <c r="Z56" i="18"/>
  <c r="Y56" i="18"/>
  <c r="X56" i="18"/>
  <c r="W56" i="18"/>
  <c r="V56" i="18"/>
  <c r="U56" i="18"/>
  <c r="S56" i="18"/>
  <c r="B56" i="18"/>
  <c r="A56" i="18"/>
  <c r="AD55" i="18"/>
  <c r="AC55" i="18"/>
  <c r="AB55" i="18"/>
  <c r="AA55" i="18"/>
  <c r="Z55" i="18"/>
  <c r="Y55" i="18"/>
  <c r="X55" i="18"/>
  <c r="W55" i="18"/>
  <c r="V55" i="18"/>
  <c r="U55" i="18"/>
  <c r="S55" i="18"/>
  <c r="AF55" i="18"/>
  <c r="B55" i="18"/>
  <c r="A55" i="18"/>
  <c r="AD54" i="18"/>
  <c r="AC54" i="18"/>
  <c r="AB54" i="18"/>
  <c r="AA54" i="18"/>
  <c r="Z54" i="18"/>
  <c r="Y54" i="18"/>
  <c r="X54" i="18"/>
  <c r="W54" i="18"/>
  <c r="V54" i="18"/>
  <c r="U54" i="18"/>
  <c r="S54" i="18"/>
  <c r="AE54" i="18"/>
  <c r="B54" i="18"/>
  <c r="A54" i="18"/>
  <c r="AD53" i="18"/>
  <c r="AC53" i="18"/>
  <c r="AB53" i="18"/>
  <c r="AA53" i="18"/>
  <c r="Z53" i="18"/>
  <c r="Y53" i="18"/>
  <c r="X53" i="18"/>
  <c r="W53" i="18"/>
  <c r="V53" i="18"/>
  <c r="U53" i="18"/>
  <c r="S53" i="18"/>
  <c r="B53" i="18"/>
  <c r="A53" i="18"/>
  <c r="AD52" i="18"/>
  <c r="AC52" i="18"/>
  <c r="AB52" i="18"/>
  <c r="AA52" i="18"/>
  <c r="Z52" i="18"/>
  <c r="Y52" i="18"/>
  <c r="X52" i="18"/>
  <c r="W52" i="18"/>
  <c r="V52" i="18"/>
  <c r="U52" i="18"/>
  <c r="S52" i="18"/>
  <c r="B52" i="18"/>
  <c r="A52" i="18"/>
  <c r="AD51" i="18"/>
  <c r="AC51" i="18"/>
  <c r="AB51" i="18"/>
  <c r="AA51" i="18"/>
  <c r="Z51" i="18"/>
  <c r="Y51" i="18"/>
  <c r="X51" i="18"/>
  <c r="W51" i="18"/>
  <c r="V51" i="18"/>
  <c r="U51" i="18"/>
  <c r="S51" i="18"/>
  <c r="AE51" i="18"/>
  <c r="B51" i="18"/>
  <c r="A51" i="18"/>
  <c r="AD50" i="18"/>
  <c r="AC50" i="18"/>
  <c r="AB50" i="18"/>
  <c r="AA50" i="18"/>
  <c r="Z50" i="18"/>
  <c r="Y50" i="18"/>
  <c r="X50" i="18"/>
  <c r="W50" i="18"/>
  <c r="V50" i="18"/>
  <c r="U50" i="18"/>
  <c r="S50" i="18"/>
  <c r="AE50" i="18"/>
  <c r="B50" i="18"/>
  <c r="A50" i="18"/>
  <c r="AD49" i="18"/>
  <c r="AC49" i="18"/>
  <c r="AB49" i="18"/>
  <c r="AA49" i="18"/>
  <c r="Z49" i="18"/>
  <c r="Y49" i="18"/>
  <c r="X49" i="18"/>
  <c r="W49" i="18"/>
  <c r="V49" i="18"/>
  <c r="U49" i="18"/>
  <c r="S49" i="18"/>
  <c r="B49" i="18"/>
  <c r="A49" i="18"/>
  <c r="AD48" i="18"/>
  <c r="AC48" i="18"/>
  <c r="AB48" i="18"/>
  <c r="AA48" i="18"/>
  <c r="Z48" i="18"/>
  <c r="Y48" i="18"/>
  <c r="X48" i="18"/>
  <c r="W48" i="18"/>
  <c r="V48" i="18"/>
  <c r="U48" i="18"/>
  <c r="S48" i="18"/>
  <c r="AF48" i="18"/>
  <c r="B48" i="18"/>
  <c r="A48" i="18"/>
  <c r="AD47" i="18"/>
  <c r="AC47" i="18"/>
  <c r="AB47" i="18"/>
  <c r="AA47" i="18"/>
  <c r="Z47" i="18"/>
  <c r="Y47" i="18"/>
  <c r="X47" i="18"/>
  <c r="W47" i="18"/>
  <c r="V47" i="18"/>
  <c r="U47" i="18"/>
  <c r="S47" i="18"/>
  <c r="B47" i="18"/>
  <c r="A47" i="18"/>
  <c r="AD46" i="18"/>
  <c r="AC46" i="18"/>
  <c r="AB46" i="18"/>
  <c r="AA46" i="18"/>
  <c r="Z46" i="18"/>
  <c r="Y46" i="18"/>
  <c r="X46" i="18"/>
  <c r="W46" i="18"/>
  <c r="V46" i="18"/>
  <c r="U46" i="18"/>
  <c r="S46" i="18"/>
  <c r="B46" i="18"/>
  <c r="A46" i="18"/>
  <c r="AD45" i="18"/>
  <c r="AC45" i="18"/>
  <c r="AB45" i="18"/>
  <c r="AA45" i="18"/>
  <c r="Z45" i="18"/>
  <c r="Y45" i="18"/>
  <c r="X45" i="18"/>
  <c r="W45" i="18"/>
  <c r="V45" i="18"/>
  <c r="U45" i="18"/>
  <c r="S45" i="18"/>
  <c r="B45" i="18"/>
  <c r="A45" i="18"/>
  <c r="AD44" i="18"/>
  <c r="AC44" i="18"/>
  <c r="AB44" i="18"/>
  <c r="AA44" i="18"/>
  <c r="Z44" i="18"/>
  <c r="Y44" i="18"/>
  <c r="X44" i="18"/>
  <c r="W44" i="18"/>
  <c r="V44" i="18"/>
  <c r="U44" i="18"/>
  <c r="S44" i="18"/>
  <c r="AF44" i="18"/>
  <c r="B44" i="18"/>
  <c r="A44" i="18"/>
  <c r="AD43" i="18"/>
  <c r="AC43" i="18"/>
  <c r="AB43" i="18"/>
  <c r="AA43" i="18"/>
  <c r="Z43" i="18"/>
  <c r="Y43" i="18"/>
  <c r="X43" i="18"/>
  <c r="W43" i="18"/>
  <c r="V43" i="18"/>
  <c r="U43" i="18"/>
  <c r="S43" i="18"/>
  <c r="AF43" i="18"/>
  <c r="B43" i="18"/>
  <c r="A43" i="18"/>
  <c r="AD42" i="18"/>
  <c r="AC42" i="18"/>
  <c r="AB42" i="18"/>
  <c r="AA42" i="18"/>
  <c r="Z42" i="18"/>
  <c r="Y42" i="18"/>
  <c r="X42" i="18"/>
  <c r="W42" i="18"/>
  <c r="V42" i="18"/>
  <c r="U42" i="18"/>
  <c r="S42" i="18"/>
  <c r="AF42" i="18"/>
  <c r="B42" i="18"/>
  <c r="A42" i="18"/>
  <c r="AD41" i="18"/>
  <c r="AC41" i="18"/>
  <c r="AB41" i="18"/>
  <c r="AA41" i="18"/>
  <c r="Z41" i="18"/>
  <c r="Y41" i="18"/>
  <c r="X41" i="18"/>
  <c r="W41" i="18"/>
  <c r="V41" i="18"/>
  <c r="U41" i="18"/>
  <c r="S41" i="18"/>
  <c r="AE41" i="18"/>
  <c r="B41" i="18"/>
  <c r="A41" i="18"/>
  <c r="AD40" i="18"/>
  <c r="AC40" i="18"/>
  <c r="AB40" i="18"/>
  <c r="AA40" i="18"/>
  <c r="Z40" i="18"/>
  <c r="Y40" i="18"/>
  <c r="X40" i="18"/>
  <c r="W40" i="18"/>
  <c r="V40" i="18"/>
  <c r="U40" i="18"/>
  <c r="S40" i="18"/>
  <c r="B40" i="18"/>
  <c r="A40" i="18"/>
  <c r="AD39" i="18"/>
  <c r="AC39" i="18"/>
  <c r="AB39" i="18"/>
  <c r="AA39" i="18"/>
  <c r="Z39" i="18"/>
  <c r="Y39" i="18"/>
  <c r="X39" i="18"/>
  <c r="W39" i="18"/>
  <c r="V39" i="18"/>
  <c r="U39" i="18"/>
  <c r="S39" i="18"/>
  <c r="B39" i="18"/>
  <c r="A39" i="18"/>
  <c r="AD38" i="18"/>
  <c r="AC38" i="18"/>
  <c r="AB38" i="18"/>
  <c r="AA38" i="18"/>
  <c r="Z38" i="18"/>
  <c r="Y38" i="18"/>
  <c r="X38" i="18"/>
  <c r="W38" i="18"/>
  <c r="V38" i="18"/>
  <c r="U38" i="18"/>
  <c r="S38" i="18"/>
  <c r="AE38" i="18"/>
  <c r="B38" i="18"/>
  <c r="A38" i="18"/>
  <c r="AD37" i="18"/>
  <c r="AC37" i="18"/>
  <c r="AB37" i="18"/>
  <c r="AA37" i="18"/>
  <c r="Z37" i="18"/>
  <c r="Y37" i="18"/>
  <c r="X37" i="18"/>
  <c r="W37" i="18"/>
  <c r="V37" i="18"/>
  <c r="U37" i="18"/>
  <c r="S37" i="18"/>
  <c r="AE37" i="18"/>
  <c r="B37" i="18"/>
  <c r="A37" i="18"/>
  <c r="AD36" i="18"/>
  <c r="AC36" i="18"/>
  <c r="AB36" i="18"/>
  <c r="AA36" i="18"/>
  <c r="Z36" i="18"/>
  <c r="Y36" i="18"/>
  <c r="X36" i="18"/>
  <c r="W36" i="18"/>
  <c r="V36" i="18"/>
  <c r="U36" i="18"/>
  <c r="S36" i="18"/>
  <c r="B36" i="18"/>
  <c r="A36" i="18"/>
  <c r="AD35" i="18"/>
  <c r="AC35" i="18"/>
  <c r="AB35" i="18"/>
  <c r="AA35" i="18"/>
  <c r="Z35" i="18"/>
  <c r="Y35" i="18"/>
  <c r="X35" i="18"/>
  <c r="W35" i="18"/>
  <c r="V35" i="18"/>
  <c r="U35" i="18"/>
  <c r="S35" i="18"/>
  <c r="B35" i="18"/>
  <c r="A35" i="18"/>
  <c r="AD34" i="18"/>
  <c r="AC34" i="18"/>
  <c r="AB34" i="18"/>
  <c r="AA34" i="18"/>
  <c r="Z34" i="18"/>
  <c r="Y34" i="18"/>
  <c r="X34" i="18"/>
  <c r="W34" i="18"/>
  <c r="V34" i="18"/>
  <c r="U34" i="18"/>
  <c r="S34" i="18"/>
  <c r="B34" i="18"/>
  <c r="A34" i="18"/>
  <c r="AD33" i="18"/>
  <c r="AC33" i="18"/>
  <c r="AB33" i="18"/>
  <c r="AA33" i="18"/>
  <c r="Z33" i="18"/>
  <c r="Y33" i="18"/>
  <c r="X33" i="18"/>
  <c r="W33" i="18"/>
  <c r="V33" i="18"/>
  <c r="U33" i="18"/>
  <c r="S33" i="18"/>
  <c r="AF33" i="18"/>
  <c r="B33" i="18"/>
  <c r="A33" i="18"/>
  <c r="AD32" i="18"/>
  <c r="AC32" i="18"/>
  <c r="AB32" i="18"/>
  <c r="AA32" i="18"/>
  <c r="Z32" i="18"/>
  <c r="Y32" i="18"/>
  <c r="X32" i="18"/>
  <c r="W32" i="18"/>
  <c r="V32" i="18"/>
  <c r="U32" i="18"/>
  <c r="S32" i="18"/>
  <c r="AF32" i="18"/>
  <c r="B32" i="18"/>
  <c r="A32" i="18"/>
  <c r="AD31" i="18"/>
  <c r="AC31" i="18"/>
  <c r="AB31" i="18"/>
  <c r="AA31" i="18"/>
  <c r="Z31" i="18"/>
  <c r="Y31" i="18"/>
  <c r="X31" i="18"/>
  <c r="W31" i="18"/>
  <c r="V31" i="18"/>
  <c r="U31" i="18"/>
  <c r="S31" i="18"/>
  <c r="AF31" i="18"/>
  <c r="B31" i="18"/>
  <c r="A31" i="18"/>
  <c r="AD30" i="18"/>
  <c r="AC30" i="18"/>
  <c r="AB30" i="18"/>
  <c r="AA30" i="18"/>
  <c r="Z30" i="18"/>
  <c r="Y30" i="18"/>
  <c r="X30" i="18"/>
  <c r="W30" i="18"/>
  <c r="V30" i="18"/>
  <c r="U30" i="18"/>
  <c r="S30" i="18"/>
  <c r="B30" i="18"/>
  <c r="A30" i="18"/>
  <c r="AD29" i="18"/>
  <c r="AC29" i="18"/>
  <c r="AB29" i="18"/>
  <c r="AA29" i="18"/>
  <c r="Z29" i="18"/>
  <c r="Y29" i="18"/>
  <c r="X29" i="18"/>
  <c r="W29" i="18"/>
  <c r="V29" i="18"/>
  <c r="U29" i="18"/>
  <c r="S29" i="18"/>
  <c r="B29" i="18"/>
  <c r="A29" i="18"/>
  <c r="AD28" i="18"/>
  <c r="AC28" i="18"/>
  <c r="AB28" i="18"/>
  <c r="AA28" i="18"/>
  <c r="Z28" i="18"/>
  <c r="Y28" i="18"/>
  <c r="X28" i="18"/>
  <c r="W28" i="18"/>
  <c r="V28" i="18"/>
  <c r="U28" i="18"/>
  <c r="S28" i="18"/>
  <c r="B28" i="18"/>
  <c r="A28" i="18"/>
  <c r="AD27" i="18"/>
  <c r="AC27" i="18"/>
  <c r="AB27" i="18"/>
  <c r="AA27" i="18"/>
  <c r="Z27" i="18"/>
  <c r="Y27" i="18"/>
  <c r="X27" i="18"/>
  <c r="W27" i="18"/>
  <c r="V27" i="18"/>
  <c r="U27" i="18"/>
  <c r="S27" i="18"/>
  <c r="B27" i="18"/>
  <c r="A27" i="18"/>
  <c r="AD26" i="18"/>
  <c r="AC26" i="18"/>
  <c r="AB26" i="18"/>
  <c r="AA26" i="18"/>
  <c r="Z26" i="18"/>
  <c r="Y26" i="18"/>
  <c r="X26" i="18"/>
  <c r="W26" i="18"/>
  <c r="V26" i="18"/>
  <c r="U26" i="18"/>
  <c r="S26" i="18"/>
  <c r="AF26" i="18"/>
  <c r="B26" i="18"/>
  <c r="A26" i="18"/>
  <c r="AD25" i="18"/>
  <c r="AC25" i="18"/>
  <c r="AB25" i="18"/>
  <c r="AA25" i="18"/>
  <c r="Z25" i="18"/>
  <c r="Y25" i="18"/>
  <c r="X25" i="18"/>
  <c r="W25" i="18"/>
  <c r="V25" i="18"/>
  <c r="U25" i="18"/>
  <c r="S25" i="18"/>
  <c r="B25" i="18"/>
  <c r="A25" i="18"/>
  <c r="AD24" i="18"/>
  <c r="AC24" i="18"/>
  <c r="AB24" i="18"/>
  <c r="AA24" i="18"/>
  <c r="Z24" i="18"/>
  <c r="Y24" i="18"/>
  <c r="X24" i="18"/>
  <c r="W24" i="18"/>
  <c r="V24" i="18"/>
  <c r="U24" i="18"/>
  <c r="S24" i="18"/>
  <c r="B24" i="18"/>
  <c r="A24" i="18"/>
  <c r="AD23" i="18"/>
  <c r="AC23" i="18"/>
  <c r="AB23" i="18"/>
  <c r="AA23" i="18"/>
  <c r="Z23" i="18"/>
  <c r="Y23" i="18"/>
  <c r="X23" i="18"/>
  <c r="W23" i="18"/>
  <c r="V23" i="18"/>
  <c r="U23" i="18"/>
  <c r="S23" i="18"/>
  <c r="B23" i="18"/>
  <c r="A23" i="18"/>
  <c r="AD22" i="18"/>
  <c r="AC22" i="18"/>
  <c r="AB22" i="18"/>
  <c r="AA22" i="18"/>
  <c r="Z22" i="18"/>
  <c r="Y22" i="18"/>
  <c r="X22" i="18"/>
  <c r="W22" i="18"/>
  <c r="V22" i="18"/>
  <c r="U22" i="18"/>
  <c r="S22" i="18"/>
  <c r="AF22" i="18"/>
  <c r="B22" i="18"/>
  <c r="A22" i="18"/>
  <c r="AD21" i="18"/>
  <c r="AC21" i="18"/>
  <c r="AB21" i="18"/>
  <c r="AA21" i="18"/>
  <c r="Z21" i="18"/>
  <c r="Y21" i="18"/>
  <c r="X21" i="18"/>
  <c r="W21" i="18"/>
  <c r="V21" i="18"/>
  <c r="U21" i="18"/>
  <c r="S21" i="18"/>
  <c r="AF21" i="18"/>
  <c r="B21" i="18"/>
  <c r="A21" i="18"/>
  <c r="AD20" i="18"/>
  <c r="AC20" i="18"/>
  <c r="AB20" i="18"/>
  <c r="AA20" i="18"/>
  <c r="Z20" i="18"/>
  <c r="Y20" i="18"/>
  <c r="X20" i="18"/>
  <c r="W20" i="18"/>
  <c r="V20" i="18"/>
  <c r="U20" i="18"/>
  <c r="S20" i="18"/>
  <c r="B20" i="18"/>
  <c r="A20" i="18"/>
  <c r="AD19" i="18"/>
  <c r="AC19" i="18"/>
  <c r="AB19" i="18"/>
  <c r="AA19" i="18"/>
  <c r="Z19" i="18"/>
  <c r="Y19" i="18"/>
  <c r="X19" i="18"/>
  <c r="W19" i="18"/>
  <c r="V19" i="18"/>
  <c r="U19" i="18"/>
  <c r="S19" i="18"/>
  <c r="AE19" i="18"/>
  <c r="B19" i="18"/>
  <c r="A19" i="18"/>
  <c r="AD18" i="18"/>
  <c r="AC18" i="18"/>
  <c r="AB18" i="18"/>
  <c r="AA18" i="18"/>
  <c r="Z18" i="18"/>
  <c r="Y18" i="18"/>
  <c r="X18" i="18"/>
  <c r="W18" i="18"/>
  <c r="V18" i="18"/>
  <c r="U18" i="18"/>
  <c r="S18" i="18"/>
  <c r="B18" i="18"/>
  <c r="A18" i="18"/>
  <c r="AD17" i="18"/>
  <c r="AC17" i="18"/>
  <c r="AB17" i="18"/>
  <c r="AA17" i="18"/>
  <c r="Z17" i="18"/>
  <c r="Y17" i="18"/>
  <c r="X17" i="18"/>
  <c r="W17" i="18"/>
  <c r="V17" i="18"/>
  <c r="U17" i="18"/>
  <c r="S17" i="18"/>
  <c r="AE17" i="18"/>
  <c r="B17" i="18"/>
  <c r="A17" i="18"/>
  <c r="AD16" i="18"/>
  <c r="AC16" i="18"/>
  <c r="AB16" i="18"/>
  <c r="AA16" i="18"/>
  <c r="Z16" i="18"/>
  <c r="Y16" i="18"/>
  <c r="X16" i="18"/>
  <c r="W16" i="18"/>
  <c r="V16" i="18"/>
  <c r="U16" i="18"/>
  <c r="S16" i="18"/>
  <c r="AF16" i="18"/>
  <c r="B16" i="18"/>
  <c r="A16" i="18"/>
  <c r="AD15" i="18"/>
  <c r="AC15" i="18"/>
  <c r="AB15" i="18"/>
  <c r="AA15" i="18"/>
  <c r="Z15" i="18"/>
  <c r="Y15" i="18"/>
  <c r="X15" i="18"/>
  <c r="W15" i="18"/>
  <c r="V15" i="18"/>
  <c r="U15" i="18"/>
  <c r="S15" i="18"/>
  <c r="AE15" i="18"/>
  <c r="B15" i="18"/>
  <c r="A15" i="18"/>
  <c r="AD14" i="18"/>
  <c r="AC14" i="18"/>
  <c r="AB14" i="18"/>
  <c r="AA14" i="18"/>
  <c r="Z14" i="18"/>
  <c r="Y14" i="18"/>
  <c r="X14" i="18"/>
  <c r="W14" i="18"/>
  <c r="V14" i="18"/>
  <c r="U14" i="18"/>
  <c r="S14" i="18"/>
  <c r="AF14" i="18"/>
  <c r="B14" i="18"/>
  <c r="A14" i="18"/>
  <c r="AD13" i="18"/>
  <c r="AC13" i="18"/>
  <c r="AB13" i="18"/>
  <c r="AA13" i="18"/>
  <c r="Z13" i="18"/>
  <c r="Y13" i="18"/>
  <c r="X13" i="18"/>
  <c r="W13" i="18"/>
  <c r="V13" i="18"/>
  <c r="U13" i="18"/>
  <c r="S13" i="18"/>
  <c r="AE13" i="18"/>
  <c r="B13" i="18"/>
  <c r="A13" i="18"/>
  <c r="AD12" i="18"/>
  <c r="AC12" i="18"/>
  <c r="AB12" i="18"/>
  <c r="AA12" i="18"/>
  <c r="Z12" i="18"/>
  <c r="Y12" i="18"/>
  <c r="X12" i="18"/>
  <c r="W12" i="18"/>
  <c r="V12" i="18"/>
  <c r="U12" i="18"/>
  <c r="S12" i="18"/>
  <c r="AF12" i="18"/>
  <c r="B12" i="18"/>
  <c r="A12" i="18"/>
  <c r="AD5" i="18"/>
  <c r="AC5" i="18"/>
  <c r="AB5" i="18"/>
  <c r="AA5" i="18"/>
  <c r="Z5" i="18"/>
  <c r="Y5" i="18"/>
  <c r="X5" i="18"/>
  <c r="W5" i="18"/>
  <c r="V5" i="18"/>
  <c r="U5" i="18"/>
  <c r="Q5" i="18"/>
  <c r="AE5" i="18" s="1"/>
  <c r="W221" i="18" l="1"/>
  <c r="AA221" i="18"/>
  <c r="X234" i="18"/>
  <c r="AB234" i="18"/>
  <c r="S221" i="18"/>
  <c r="V234" i="18"/>
  <c r="Z234" i="18"/>
  <c r="AD234" i="18"/>
  <c r="V82" i="18"/>
  <c r="Z82" i="18"/>
  <c r="AD82" i="18"/>
  <c r="S82" i="18"/>
  <c r="X82" i="18"/>
  <c r="AB82" i="18"/>
  <c r="AB221" i="18"/>
  <c r="X221" i="18"/>
  <c r="Y221" i="18"/>
  <c r="AC221" i="18"/>
  <c r="I236" i="18"/>
  <c r="M236" i="18"/>
  <c r="Q236" i="18"/>
  <c r="Y82" i="18"/>
  <c r="AC82" i="18"/>
  <c r="W82" i="18"/>
  <c r="AA82" i="18"/>
  <c r="G236" i="18"/>
  <c r="W234" i="18"/>
  <c r="AA234" i="18"/>
  <c r="AF204" i="18"/>
  <c r="V76" i="18"/>
  <c r="Z76" i="18"/>
  <c r="AD76" i="18"/>
  <c r="H236" i="18"/>
  <c r="L236" i="18"/>
  <c r="P236" i="18"/>
  <c r="W179" i="18"/>
  <c r="AA179" i="18"/>
  <c r="U183" i="18"/>
  <c r="Y183" i="18"/>
  <c r="AC183" i="18"/>
  <c r="AF208" i="18"/>
  <c r="AF200" i="18"/>
  <c r="AI200" i="18" s="1"/>
  <c r="AF216" i="18"/>
  <c r="AF212" i="18"/>
  <c r="AF218" i="18"/>
  <c r="K236" i="18"/>
  <c r="O236" i="18"/>
  <c r="V179" i="18"/>
  <c r="Z179" i="18"/>
  <c r="AD179" i="18"/>
  <c r="AE230" i="18"/>
  <c r="AI230" i="18" s="1"/>
  <c r="AF234" i="18"/>
  <c r="AE231" i="18"/>
  <c r="AI231" i="18" s="1"/>
  <c r="AE232" i="18"/>
  <c r="AI232" i="18" s="1"/>
  <c r="AF15" i="18"/>
  <c r="AF38" i="18"/>
  <c r="AI38" i="18" s="1"/>
  <c r="AF63" i="18"/>
  <c r="AI63" i="18" s="1"/>
  <c r="W183" i="18"/>
  <c r="AA183" i="18"/>
  <c r="AE183" i="18"/>
  <c r="AF72" i="18"/>
  <c r="AI72" i="18" s="1"/>
  <c r="AF146" i="18"/>
  <c r="AF157" i="18"/>
  <c r="AF165" i="18"/>
  <c r="AF173" i="18"/>
  <c r="AE202" i="18"/>
  <c r="AE206" i="18"/>
  <c r="AE210" i="18"/>
  <c r="AE214" i="18"/>
  <c r="AI15" i="18"/>
  <c r="AH15" i="18" s="1"/>
  <c r="D8" i="17" s="1"/>
  <c r="AF51" i="18"/>
  <c r="AI51" i="18" s="1"/>
  <c r="AH51" i="18" s="1"/>
  <c r="D45" i="17" s="1"/>
  <c r="AF65" i="18"/>
  <c r="AF66" i="18"/>
  <c r="AI66" i="18" s="1"/>
  <c r="AF74" i="18"/>
  <c r="AF148" i="18"/>
  <c r="AF159" i="18"/>
  <c r="AF167" i="18"/>
  <c r="AI167" i="18" s="1"/>
  <c r="AI218" i="18"/>
  <c r="AF13" i="18"/>
  <c r="AF19" i="18"/>
  <c r="AG19" i="18" s="1"/>
  <c r="AF68" i="18"/>
  <c r="AF142" i="18"/>
  <c r="AI142" i="18" s="1"/>
  <c r="AH142" i="18" s="1"/>
  <c r="D115" i="17" s="1"/>
  <c r="AF149" i="18"/>
  <c r="AF161" i="18"/>
  <c r="AF169" i="18"/>
  <c r="AF177" i="18"/>
  <c r="AG13" i="18"/>
  <c r="AF59" i="18"/>
  <c r="AI59" i="18" s="1"/>
  <c r="AF70" i="18"/>
  <c r="AI70" i="18" s="1"/>
  <c r="AF144" i="18"/>
  <c r="AF151" i="18"/>
  <c r="AF163" i="18"/>
  <c r="AF171" i="18"/>
  <c r="AI177" i="18"/>
  <c r="AF183" i="18"/>
  <c r="AF23" i="18"/>
  <c r="AB76" i="18"/>
  <c r="AE24" i="18"/>
  <c r="AF29" i="18"/>
  <c r="AE29" i="18"/>
  <c r="AG29" i="18" s="1"/>
  <c r="AF45" i="18"/>
  <c r="AE45" i="18"/>
  <c r="AE23" i="18"/>
  <c r="AI23" i="18" s="1"/>
  <c r="AH23" i="18" s="1"/>
  <c r="D17" i="17" s="1"/>
  <c r="R5" i="18"/>
  <c r="AF5" i="18" s="1"/>
  <c r="S76" i="18"/>
  <c r="X76" i="18"/>
  <c r="U76" i="18"/>
  <c r="Y76" i="18"/>
  <c r="AC76" i="18"/>
  <c r="AI13" i="18"/>
  <c r="AE14" i="18"/>
  <c r="AG14" i="18" s="1"/>
  <c r="AF24" i="18"/>
  <c r="AF34" i="18"/>
  <c r="AE34" i="18"/>
  <c r="AE16" i="18"/>
  <c r="AG16" i="18" s="1"/>
  <c r="AF18" i="18"/>
  <c r="AE18" i="18"/>
  <c r="AE21" i="18"/>
  <c r="AG21" i="18" s="1"/>
  <c r="AF27" i="18"/>
  <c r="AE27" i="18"/>
  <c r="AF47" i="18"/>
  <c r="AE47" i="18"/>
  <c r="AF61" i="18"/>
  <c r="AE61" i="18"/>
  <c r="AF36" i="18"/>
  <c r="AE36" i="18"/>
  <c r="AF40" i="18"/>
  <c r="AE40" i="18"/>
  <c r="AF52" i="18"/>
  <c r="AE52" i="18"/>
  <c r="W76" i="18"/>
  <c r="W236" i="18" s="1"/>
  <c r="AA76" i="18"/>
  <c r="AA236" i="18" s="1"/>
  <c r="AE12" i="18"/>
  <c r="AG12" i="18" s="1"/>
  <c r="AI16" i="18"/>
  <c r="AH16" i="18" s="1"/>
  <c r="AF17" i="18"/>
  <c r="AI17" i="18" s="1"/>
  <c r="AH17" i="18" s="1"/>
  <c r="D11" i="17" s="1"/>
  <c r="AF20" i="18"/>
  <c r="AE22" i="18"/>
  <c r="AI22" i="18" s="1"/>
  <c r="AH22" i="18" s="1"/>
  <c r="D16" i="17" s="1"/>
  <c r="AF25" i="18"/>
  <c r="AF28" i="18"/>
  <c r="AF30" i="18"/>
  <c r="AE32" i="18"/>
  <c r="AI32" i="18" s="1"/>
  <c r="AH32" i="18" s="1"/>
  <c r="D26" i="17" s="1"/>
  <c r="AF35" i="18"/>
  <c r="AF37" i="18"/>
  <c r="AI37" i="18" s="1"/>
  <c r="AH37" i="18" s="1"/>
  <c r="D25" i="17" s="1"/>
  <c r="AF39" i="18"/>
  <c r="AF41" i="18"/>
  <c r="AI41" i="18" s="1"/>
  <c r="AH41" i="18" s="1"/>
  <c r="D34" i="17" s="1"/>
  <c r="AE43" i="18"/>
  <c r="AI43" i="18" s="1"/>
  <c r="AH43" i="18" s="1"/>
  <c r="D36" i="17" s="1"/>
  <c r="AF46" i="18"/>
  <c r="AE48" i="18"/>
  <c r="AI48" i="18" s="1"/>
  <c r="AH48" i="18" s="1"/>
  <c r="D41" i="17" s="1"/>
  <c r="AF50" i="18"/>
  <c r="AI50" i="18" s="1"/>
  <c r="AH50" i="18" s="1"/>
  <c r="D43" i="17" s="1"/>
  <c r="AF54" i="18"/>
  <c r="AI54" i="18" s="1"/>
  <c r="AH54" i="18" s="1"/>
  <c r="D48" i="17" s="1"/>
  <c r="AE55" i="18"/>
  <c r="AI55" i="18" s="1"/>
  <c r="AH55" i="18" s="1"/>
  <c r="D49" i="17" s="1"/>
  <c r="AI65" i="18"/>
  <c r="AF69" i="18"/>
  <c r="AE69" i="18"/>
  <c r="AI74" i="18"/>
  <c r="AF67" i="18"/>
  <c r="AE67" i="18"/>
  <c r="AE26" i="18"/>
  <c r="AI26" i="18" s="1"/>
  <c r="AH26" i="18" s="1"/>
  <c r="D20" i="17" s="1"/>
  <c r="AE31" i="18"/>
  <c r="AI31" i="18" s="1"/>
  <c r="AH31" i="18" s="1"/>
  <c r="D24" i="17" s="1"/>
  <c r="AE33" i="18"/>
  <c r="AI33" i="18" s="1"/>
  <c r="AH33" i="18" s="1"/>
  <c r="D27" i="17" s="1"/>
  <c r="AG38" i="18"/>
  <c r="AE42" i="18"/>
  <c r="AI42" i="18" s="1"/>
  <c r="AH42" i="18" s="1"/>
  <c r="D35" i="17" s="1"/>
  <c r="AE44" i="18"/>
  <c r="AI44" i="18" s="1"/>
  <c r="AH44" i="18" s="1"/>
  <c r="D37" i="17" s="1"/>
  <c r="AE49" i="18"/>
  <c r="AE53" i="18"/>
  <c r="AF56" i="18"/>
  <c r="AE56" i="18"/>
  <c r="AE60" i="18"/>
  <c r="AF64" i="18"/>
  <c r="AE64" i="18"/>
  <c r="AF73" i="18"/>
  <c r="AE73" i="18"/>
  <c r="AE20" i="18"/>
  <c r="AE25" i="18"/>
  <c r="AG25" i="18" s="1"/>
  <c r="AE28" i="18"/>
  <c r="AG28" i="18" s="1"/>
  <c r="AE30" i="18"/>
  <c r="AE35" i="18"/>
  <c r="AI35" i="18" s="1"/>
  <c r="AH35" i="18" s="1"/>
  <c r="D29" i="17" s="1"/>
  <c r="AE39" i="18"/>
  <c r="AE46" i="18"/>
  <c r="AF49" i="18"/>
  <c r="AF53" i="18"/>
  <c r="AF60" i="18"/>
  <c r="AF62" i="18"/>
  <c r="AE62" i="18"/>
  <c r="AI68" i="18"/>
  <c r="AF71" i="18"/>
  <c r="AE71" i="18"/>
  <c r="U82" i="18"/>
  <c r="AF80" i="18"/>
  <c r="AF82" i="18" s="1"/>
  <c r="AE80" i="18"/>
  <c r="U179" i="18"/>
  <c r="Y179" i="18"/>
  <c r="AC179" i="18"/>
  <c r="AE88" i="18"/>
  <c r="AI88" i="18" s="1"/>
  <c r="AH88" i="18" s="1"/>
  <c r="AE90" i="18"/>
  <c r="AI90" i="18" s="1"/>
  <c r="AH90" i="18" s="1"/>
  <c r="AE92" i="18"/>
  <c r="AG92" i="18" s="1"/>
  <c r="AE94" i="18"/>
  <c r="AI94" i="18" s="1"/>
  <c r="AH94" i="18" s="1"/>
  <c r="AF99" i="18"/>
  <c r="AF101" i="18"/>
  <c r="AF103" i="18"/>
  <c r="AE96" i="18"/>
  <c r="AE98" i="18"/>
  <c r="AE100" i="18"/>
  <c r="AE102" i="18"/>
  <c r="AE104" i="18"/>
  <c r="AE87" i="18"/>
  <c r="AI87" i="18" s="1"/>
  <c r="AE89" i="18"/>
  <c r="AG89" i="18" s="1"/>
  <c r="AE91" i="18"/>
  <c r="AG91" i="18" s="1"/>
  <c r="AE93" i="18"/>
  <c r="AG93" i="18" s="1"/>
  <c r="AF96" i="18"/>
  <c r="AF98" i="18"/>
  <c r="AF100" i="18"/>
  <c r="AF102" i="18"/>
  <c r="AF104" i="18"/>
  <c r="J236" i="18"/>
  <c r="N236" i="18"/>
  <c r="R236" i="18"/>
  <c r="AE79" i="18"/>
  <c r="S179" i="18"/>
  <c r="X179" i="18"/>
  <c r="AB179" i="18"/>
  <c r="AE95" i="18"/>
  <c r="AI95" i="18" s="1"/>
  <c r="AH95" i="18" s="1"/>
  <c r="AE97" i="18"/>
  <c r="AG97" i="18" s="1"/>
  <c r="AE99" i="18"/>
  <c r="AG99" i="18" s="1"/>
  <c r="AE101" i="18"/>
  <c r="AE103" i="18"/>
  <c r="AF145" i="18"/>
  <c r="AE145" i="18"/>
  <c r="AF155" i="18"/>
  <c r="AE155" i="18"/>
  <c r="AE105" i="18"/>
  <c r="AG105" i="18" s="1"/>
  <c r="AE107" i="18"/>
  <c r="AI107" i="18" s="1"/>
  <c r="AH107" i="18" s="1"/>
  <c r="D112" i="17" s="1"/>
  <c r="AE109" i="18"/>
  <c r="AI109" i="18" s="1"/>
  <c r="AH109" i="18" s="1"/>
  <c r="D74" i="17" s="1"/>
  <c r="D73" i="17" s="1"/>
  <c r="AE111" i="18"/>
  <c r="AG111" i="18" s="1"/>
  <c r="AE113" i="18"/>
  <c r="AI113" i="18" s="1"/>
  <c r="AH113" i="18" s="1"/>
  <c r="D82" i="17" s="1"/>
  <c r="D81" i="17" s="1"/>
  <c r="AE115" i="18"/>
  <c r="AG115" i="18" s="1"/>
  <c r="AE117" i="18"/>
  <c r="AI117" i="18" s="1"/>
  <c r="AH117" i="18" s="1"/>
  <c r="D113" i="17" s="1"/>
  <c r="F113" i="17" s="1"/>
  <c r="AE119" i="18"/>
  <c r="AI119" i="18" s="1"/>
  <c r="AH119" i="18" s="1"/>
  <c r="D92" i="17" s="1"/>
  <c r="D91" i="17" s="1"/>
  <c r="AE121" i="18"/>
  <c r="AI121" i="18" s="1"/>
  <c r="AH121" i="18" s="1"/>
  <c r="D95" i="17" s="1"/>
  <c r="AE123" i="18"/>
  <c r="AG123" i="18" s="1"/>
  <c r="AE125" i="18"/>
  <c r="AI125" i="18" s="1"/>
  <c r="AH125" i="18" s="1"/>
  <c r="D97" i="17" s="1"/>
  <c r="AE127" i="18"/>
  <c r="AI127" i="18" s="1"/>
  <c r="AH127" i="18" s="1"/>
  <c r="D99" i="17" s="1"/>
  <c r="AI144" i="18"/>
  <c r="AH144" i="18" s="1"/>
  <c r="D116" i="17" s="1"/>
  <c r="AF147" i="18"/>
  <c r="AE147" i="18"/>
  <c r="AI149" i="18"/>
  <c r="AH149" i="18" s="1"/>
  <c r="D124" i="17" s="1"/>
  <c r="F124" i="17" s="1"/>
  <c r="AI157" i="18"/>
  <c r="AI161" i="18"/>
  <c r="AI165" i="18"/>
  <c r="AI169" i="18"/>
  <c r="AI173" i="18"/>
  <c r="AF156" i="18"/>
  <c r="AE156" i="18"/>
  <c r="AF160" i="18"/>
  <c r="AE160" i="18"/>
  <c r="AF164" i="18"/>
  <c r="AE164" i="18"/>
  <c r="AF168" i="18"/>
  <c r="AE168" i="18"/>
  <c r="AF172" i="18"/>
  <c r="AE172" i="18"/>
  <c r="AE106" i="18"/>
  <c r="AG106" i="18" s="1"/>
  <c r="AE108" i="18"/>
  <c r="AI108" i="18" s="1"/>
  <c r="AH108" i="18" s="1"/>
  <c r="D72" i="17" s="1"/>
  <c r="D71" i="17" s="1"/>
  <c r="AE110" i="18"/>
  <c r="AG110" i="18" s="1"/>
  <c r="AE112" i="18"/>
  <c r="AI112" i="18" s="1"/>
  <c r="AH112" i="18" s="1"/>
  <c r="D80" i="17" s="1"/>
  <c r="D79" i="17" s="1"/>
  <c r="AE114" i="18"/>
  <c r="AG114" i="18" s="1"/>
  <c r="AE116" i="18"/>
  <c r="AI116" i="18" s="1"/>
  <c r="AH116" i="18" s="1"/>
  <c r="D88" i="17" s="1"/>
  <c r="D87" i="17" s="1"/>
  <c r="AE118" i="18"/>
  <c r="AI118" i="18" s="1"/>
  <c r="AH118" i="18" s="1"/>
  <c r="D90" i="17" s="1"/>
  <c r="D89" i="17" s="1"/>
  <c r="AE120" i="18"/>
  <c r="AG120" i="18" s="1"/>
  <c r="AE122" i="18"/>
  <c r="AI122" i="18" s="1"/>
  <c r="AH122" i="18" s="1"/>
  <c r="D94" i="17" s="1"/>
  <c r="AE124" i="18"/>
  <c r="AI124" i="18" s="1"/>
  <c r="AH124" i="18" s="1"/>
  <c r="AE126" i="18"/>
  <c r="AI126" i="18" s="1"/>
  <c r="AH126" i="18" s="1"/>
  <c r="D98" i="17" s="1"/>
  <c r="AE128" i="18"/>
  <c r="AF143" i="18"/>
  <c r="AE143" i="18"/>
  <c r="AI148" i="18"/>
  <c r="AH148" i="18" s="1"/>
  <c r="D120" i="17" s="1"/>
  <c r="F120" i="17" s="1"/>
  <c r="AI151" i="18"/>
  <c r="AH151" i="18" s="1"/>
  <c r="D122" i="17" s="1"/>
  <c r="AI159" i="18"/>
  <c r="AI163" i="18"/>
  <c r="AI171" i="18"/>
  <c r="AF128" i="18"/>
  <c r="AE129" i="18"/>
  <c r="AI129" i="18" s="1"/>
  <c r="AH129" i="18" s="1"/>
  <c r="AE130" i="18"/>
  <c r="AG130" i="18" s="1"/>
  <c r="AE131" i="18"/>
  <c r="AI131" i="18" s="1"/>
  <c r="AH131" i="18" s="1"/>
  <c r="D104" i="17" s="1"/>
  <c r="AE132" i="18"/>
  <c r="AI132" i="18" s="1"/>
  <c r="AH132" i="18" s="1"/>
  <c r="AE133" i="18"/>
  <c r="AG133" i="18" s="1"/>
  <c r="AE134" i="18"/>
  <c r="AI134" i="18" s="1"/>
  <c r="AH134" i="18" s="1"/>
  <c r="D103" i="17" s="1"/>
  <c r="AE135" i="18"/>
  <c r="AG135" i="18" s="1"/>
  <c r="AE136" i="18"/>
  <c r="AI136" i="18" s="1"/>
  <c r="AH136" i="18" s="1"/>
  <c r="D106" i="17" s="1"/>
  <c r="AE137" i="18"/>
  <c r="AI137" i="18" s="1"/>
  <c r="AH137" i="18" s="1"/>
  <c r="D107" i="17" s="1"/>
  <c r="AE138" i="18"/>
  <c r="AG138" i="18" s="1"/>
  <c r="AE139" i="18"/>
  <c r="AI139" i="18" s="1"/>
  <c r="AH139" i="18" s="1"/>
  <c r="D109" i="17" s="1"/>
  <c r="AF140" i="18"/>
  <c r="AE140" i="18"/>
  <c r="AI146" i="18"/>
  <c r="AH146" i="18" s="1"/>
  <c r="D118" i="17" s="1"/>
  <c r="AI160" i="18"/>
  <c r="AF176" i="18"/>
  <c r="AE176" i="18"/>
  <c r="X183" i="18"/>
  <c r="AB183" i="18"/>
  <c r="AE150" i="18"/>
  <c r="AE158" i="18"/>
  <c r="AE162" i="18"/>
  <c r="AE166" i="18"/>
  <c r="AE170" i="18"/>
  <c r="AE174" i="18"/>
  <c r="AE184" i="18"/>
  <c r="AE185" i="18"/>
  <c r="AG185" i="18" s="1"/>
  <c r="AE186" i="18"/>
  <c r="AG186" i="18" s="1"/>
  <c r="AE187" i="18"/>
  <c r="AG187" i="18" s="1"/>
  <c r="AE188" i="18"/>
  <c r="AG188" i="18" s="1"/>
  <c r="AE189" i="18"/>
  <c r="AG189" i="18" s="1"/>
  <c r="AE190" i="18"/>
  <c r="AG190" i="18" s="1"/>
  <c r="AE191" i="18"/>
  <c r="AG191" i="18" s="1"/>
  <c r="AE192" i="18"/>
  <c r="AG192" i="18" s="1"/>
  <c r="AE193" i="18"/>
  <c r="AG193" i="18" s="1"/>
  <c r="AE194" i="18"/>
  <c r="AG194" i="18" s="1"/>
  <c r="AF195" i="18"/>
  <c r="AE195" i="18"/>
  <c r="AE141" i="18"/>
  <c r="AI141" i="18" s="1"/>
  <c r="AH141" i="18" s="1"/>
  <c r="D123" i="17" s="1"/>
  <c r="AF150" i="18"/>
  <c r="AF158" i="18"/>
  <c r="AF162" i="18"/>
  <c r="AF166" i="18"/>
  <c r="AF170" i="18"/>
  <c r="AF174" i="18"/>
  <c r="AE175" i="18"/>
  <c r="AI175" i="18" s="1"/>
  <c r="V183" i="18"/>
  <c r="Z183" i="18"/>
  <c r="AD183" i="18"/>
  <c r="U221" i="18"/>
  <c r="AI184" i="18"/>
  <c r="AI186" i="18"/>
  <c r="AI187" i="18"/>
  <c r="AI188" i="18"/>
  <c r="AI192" i="18"/>
  <c r="AE229" i="18"/>
  <c r="AI229" i="18" s="1"/>
  <c r="V221" i="18"/>
  <c r="V236" i="18" s="1"/>
  <c r="Z221" i="18"/>
  <c r="Z236" i="18" s="1"/>
  <c r="AD221" i="18"/>
  <c r="AD236" i="18" s="1"/>
  <c r="AF217" i="18"/>
  <c r="AE217" i="18"/>
  <c r="AI202" i="18"/>
  <c r="AI204" i="18"/>
  <c r="AI206" i="18"/>
  <c r="AI208" i="18"/>
  <c r="AI210" i="18"/>
  <c r="AI212" i="18"/>
  <c r="AI214" i="18"/>
  <c r="AI216" i="18"/>
  <c r="AF201" i="18"/>
  <c r="AE201" i="18"/>
  <c r="AF203" i="18"/>
  <c r="AE203" i="18"/>
  <c r="AF205" i="18"/>
  <c r="AE205" i="18"/>
  <c r="AF207" i="18"/>
  <c r="AE207" i="18"/>
  <c r="AF209" i="18"/>
  <c r="AE209" i="18"/>
  <c r="AF211" i="18"/>
  <c r="AE211" i="18"/>
  <c r="AF213" i="18"/>
  <c r="AE213" i="18"/>
  <c r="AF215" i="18"/>
  <c r="AE215" i="18"/>
  <c r="AF219" i="18"/>
  <c r="AE219" i="18"/>
  <c r="AE196" i="18"/>
  <c r="AG196" i="18" s="1"/>
  <c r="AE198" i="18"/>
  <c r="AI198" i="18" s="1"/>
  <c r="AF224" i="18"/>
  <c r="AF226" i="18" s="1"/>
  <c r="AE197" i="18"/>
  <c r="AG197" i="18" s="1"/>
  <c r="AE199" i="18"/>
  <c r="AI199" i="18" s="1"/>
  <c r="Q124" i="17" l="1"/>
  <c r="P124" i="17"/>
  <c r="R124" i="17" s="1"/>
  <c r="H124" i="17"/>
  <c r="AH87" i="18"/>
  <c r="AI24" i="18"/>
  <c r="AH24" i="18" s="1"/>
  <c r="D18" i="17" s="1"/>
  <c r="H113" i="17"/>
  <c r="P113" i="17"/>
  <c r="H120" i="17"/>
  <c r="P120" i="17"/>
  <c r="P98" i="17"/>
  <c r="F98" i="17"/>
  <c r="H98" i="17" s="1"/>
  <c r="F8" i="17"/>
  <c r="H8" i="17" s="1"/>
  <c r="P8" i="17"/>
  <c r="F25" i="17"/>
  <c r="H25" i="17" s="1"/>
  <c r="P25" i="17"/>
  <c r="AI29" i="18"/>
  <c r="AH29" i="18" s="1"/>
  <c r="D22" i="17" s="1"/>
  <c r="AI155" i="18"/>
  <c r="AG32" i="18"/>
  <c r="AI61" i="18"/>
  <c r="AG34" i="18"/>
  <c r="AG127" i="18"/>
  <c r="AI164" i="18"/>
  <c r="AI20" i="18"/>
  <c r="AH20" i="18" s="1"/>
  <c r="D14" i="17" s="1"/>
  <c r="AI21" i="18"/>
  <c r="AH21" i="18" s="1"/>
  <c r="D15" i="17" s="1"/>
  <c r="AI14" i="18"/>
  <c r="AH14" i="18" s="1"/>
  <c r="AI47" i="18"/>
  <c r="AH47" i="18" s="1"/>
  <c r="D40" i="17" s="1"/>
  <c r="AG23" i="18"/>
  <c r="AY38" i="18"/>
  <c r="AH38" i="18"/>
  <c r="D31" i="17" s="1"/>
  <c r="AI34" i="18"/>
  <c r="AH34" i="18" s="1"/>
  <c r="D28" i="17" s="1"/>
  <c r="AI46" i="18"/>
  <c r="AH46" i="18" s="1"/>
  <c r="D39" i="17" s="1"/>
  <c r="AI36" i="18"/>
  <c r="AH36" i="18" s="1"/>
  <c r="D30" i="17" s="1"/>
  <c r="AI12" i="18"/>
  <c r="AH12" i="18" s="1"/>
  <c r="D7" i="17" s="1"/>
  <c r="AY13" i="18"/>
  <c r="AH13" i="18"/>
  <c r="D9" i="17" s="1"/>
  <c r="AG24" i="18"/>
  <c r="AI19" i="18"/>
  <c r="AH19" i="18" s="1"/>
  <c r="D13" i="17" s="1"/>
  <c r="AI60" i="18"/>
  <c r="AI219" i="18"/>
  <c r="AI213" i="18"/>
  <c r="AI205" i="18"/>
  <c r="AI194" i="18"/>
  <c r="AG195" i="18"/>
  <c r="AG94" i="18"/>
  <c r="AG80" i="18"/>
  <c r="AG45" i="18"/>
  <c r="AI190" i="18"/>
  <c r="AI168" i="18"/>
  <c r="AI234" i="18"/>
  <c r="AI211" i="18"/>
  <c r="AI203" i="18"/>
  <c r="AG43" i="18"/>
  <c r="AI45" i="18"/>
  <c r="AH45" i="18" s="1"/>
  <c r="D38" i="17" s="1"/>
  <c r="AE234" i="18"/>
  <c r="AI191" i="18"/>
  <c r="AI30" i="18"/>
  <c r="AH30" i="18" s="1"/>
  <c r="D23" i="17" s="1"/>
  <c r="AI40" i="18"/>
  <c r="AH40" i="18" s="1"/>
  <c r="D33" i="17" s="1"/>
  <c r="AI27" i="18"/>
  <c r="AH27" i="18" s="1"/>
  <c r="D21" i="17" s="1"/>
  <c r="AI101" i="18"/>
  <c r="AH101" i="18" s="1"/>
  <c r="AI56" i="18"/>
  <c r="AH56" i="18" s="1"/>
  <c r="D47" i="17" s="1"/>
  <c r="AI217" i="18"/>
  <c r="AG90" i="18"/>
  <c r="AI39" i="18"/>
  <c r="AH39" i="18" s="1"/>
  <c r="D32" i="17" s="1"/>
  <c r="AI64" i="18"/>
  <c r="AI52" i="18"/>
  <c r="AH52" i="18" s="1"/>
  <c r="D42" i="17" s="1"/>
  <c r="AI53" i="18"/>
  <c r="AH53" i="18" s="1"/>
  <c r="D46" i="17" s="1"/>
  <c r="AG36" i="18"/>
  <c r="AI18" i="18"/>
  <c r="AH18" i="18" s="1"/>
  <c r="D12" i="17" s="1"/>
  <c r="AI195" i="18"/>
  <c r="AI140" i="18"/>
  <c r="AH140" i="18" s="1"/>
  <c r="AI145" i="18"/>
  <c r="AH145" i="18" s="1"/>
  <c r="D117" i="17" s="1"/>
  <c r="AI69" i="18"/>
  <c r="AG198" i="18"/>
  <c r="AI166" i="18"/>
  <c r="AI172" i="18"/>
  <c r="AI156" i="18"/>
  <c r="AI147" i="18"/>
  <c r="AH147" i="18" s="1"/>
  <c r="D119" i="17" s="1"/>
  <c r="AI102" i="18"/>
  <c r="AH102" i="18" s="1"/>
  <c r="AI92" i="18"/>
  <c r="AH92" i="18" s="1"/>
  <c r="D110" i="17" s="1"/>
  <c r="AI71" i="18"/>
  <c r="AI73" i="18"/>
  <c r="AG199" i="18"/>
  <c r="AI162" i="18"/>
  <c r="AG100" i="18"/>
  <c r="AI49" i="18"/>
  <c r="AH49" i="18" s="1"/>
  <c r="D50" i="17" s="1"/>
  <c r="AI158" i="18"/>
  <c r="AI98" i="18"/>
  <c r="AH98" i="18" s="1"/>
  <c r="AG48" i="18"/>
  <c r="AF221" i="18"/>
  <c r="AI193" i="18"/>
  <c r="AI189" i="18"/>
  <c r="AI185" i="18"/>
  <c r="AI170" i="18"/>
  <c r="AI150" i="18"/>
  <c r="AH150" i="18" s="1"/>
  <c r="D121" i="17" s="1"/>
  <c r="AI176" i="18"/>
  <c r="AG128" i="18"/>
  <c r="AG103" i="18"/>
  <c r="AE82" i="18"/>
  <c r="AF179" i="18"/>
  <c r="AI104" i="18"/>
  <c r="AH104" i="18" s="1"/>
  <c r="AI96" i="18"/>
  <c r="AH96" i="18" s="1"/>
  <c r="D62" i="17" s="1"/>
  <c r="D61" i="17" s="1"/>
  <c r="AI93" i="18"/>
  <c r="AH93" i="18" s="1"/>
  <c r="D60" i="17" s="1"/>
  <c r="D59" i="17" s="1"/>
  <c r="AI62" i="18"/>
  <c r="AG40" i="18"/>
  <c r="AG47" i="18"/>
  <c r="AG27" i="18"/>
  <c r="AY30" i="18"/>
  <c r="AY33" i="18"/>
  <c r="AY23" i="18"/>
  <c r="AY26" i="18"/>
  <c r="AY41" i="18"/>
  <c r="AI224" i="18"/>
  <c r="AI226" i="18" s="1"/>
  <c r="AI215" i="18"/>
  <c r="AI207" i="18"/>
  <c r="AE221" i="18"/>
  <c r="AI197" i="18"/>
  <c r="AI143" i="18"/>
  <c r="AH143" i="18" s="1"/>
  <c r="D114" i="17" s="1"/>
  <c r="AI128" i="18"/>
  <c r="AH128" i="18" s="1"/>
  <c r="D100" i="17" s="1"/>
  <c r="AG136" i="18"/>
  <c r="AG125" i="18"/>
  <c r="AG104" i="18"/>
  <c r="AG141" i="18"/>
  <c r="AI133" i="18"/>
  <c r="AH133" i="18" s="1"/>
  <c r="D102" i="17" s="1"/>
  <c r="AG88" i="18"/>
  <c r="AI138" i="18"/>
  <c r="AH138" i="18" s="1"/>
  <c r="D108" i="17" s="1"/>
  <c r="AI130" i="18"/>
  <c r="AH130" i="18" s="1"/>
  <c r="D101" i="17" s="1"/>
  <c r="AI123" i="18"/>
  <c r="AH123" i="18" s="1"/>
  <c r="D96" i="17" s="1"/>
  <c r="AI135" i="18"/>
  <c r="AH135" i="18" s="1"/>
  <c r="D105" i="17" s="1"/>
  <c r="AG126" i="18"/>
  <c r="AG121" i="18"/>
  <c r="AG117" i="18"/>
  <c r="AG113" i="18"/>
  <c r="AG109" i="18"/>
  <c r="AI100" i="18"/>
  <c r="AH100" i="18" s="1"/>
  <c r="D111" i="17" s="1"/>
  <c r="AG96" i="18"/>
  <c r="AI114" i="18"/>
  <c r="AH114" i="18" s="1"/>
  <c r="D84" i="17" s="1"/>
  <c r="D83" i="17" s="1"/>
  <c r="AI80" i="18"/>
  <c r="AI115" i="18"/>
  <c r="AH115" i="18" s="1"/>
  <c r="D86" i="17" s="1"/>
  <c r="D85" i="17" s="1"/>
  <c r="AI97" i="18"/>
  <c r="AH97" i="18" s="1"/>
  <c r="D64" i="17" s="1"/>
  <c r="D63" i="17" s="1"/>
  <c r="AI89" i="18"/>
  <c r="AH89" i="18" s="1"/>
  <c r="D55" i="17" s="1"/>
  <c r="D54" i="17" s="1"/>
  <c r="AI120" i="18"/>
  <c r="AH120" i="18" s="1"/>
  <c r="D93" i="17" s="1"/>
  <c r="AY17" i="18"/>
  <c r="AE76" i="18"/>
  <c r="AG42" i="18"/>
  <c r="AG39" i="18"/>
  <c r="AG33" i="18"/>
  <c r="AG30" i="18"/>
  <c r="AC236" i="18"/>
  <c r="AG31" i="18"/>
  <c r="AB236" i="18"/>
  <c r="AG26" i="18"/>
  <c r="AG41" i="18"/>
  <c r="AG184" i="18"/>
  <c r="AG221" i="18" s="1"/>
  <c r="AG137" i="18"/>
  <c r="AG129" i="18"/>
  <c r="AG134" i="18"/>
  <c r="AG139" i="18"/>
  <c r="AG131" i="18"/>
  <c r="AG116" i="18"/>
  <c r="AG112" i="18"/>
  <c r="AG108" i="18"/>
  <c r="AI110" i="18"/>
  <c r="AH110" i="18" s="1"/>
  <c r="D76" i="17" s="1"/>
  <c r="D75" i="17" s="1"/>
  <c r="AI103" i="18"/>
  <c r="AH103" i="18" s="1"/>
  <c r="D68" i="17" s="1"/>
  <c r="D67" i="17" s="1"/>
  <c r="AI99" i="18"/>
  <c r="AH99" i="18" s="1"/>
  <c r="D58" i="17" s="1"/>
  <c r="AI111" i="18"/>
  <c r="AH111" i="18" s="1"/>
  <c r="D78" i="17" s="1"/>
  <c r="D77" i="17" s="1"/>
  <c r="AG102" i="18"/>
  <c r="AG98" i="18"/>
  <c r="AI25" i="18"/>
  <c r="AH25" i="18" s="1"/>
  <c r="D19" i="17" s="1"/>
  <c r="AG79" i="18"/>
  <c r="AG82" i="18" s="1"/>
  <c r="AG44" i="18"/>
  <c r="Y236" i="18"/>
  <c r="X236" i="18"/>
  <c r="AG22" i="18"/>
  <c r="AG17" i="18"/>
  <c r="AG46" i="18"/>
  <c r="AI196" i="18"/>
  <c r="AI174" i="18"/>
  <c r="AG132" i="18"/>
  <c r="AG122" i="18"/>
  <c r="AG119" i="18"/>
  <c r="AG107" i="18"/>
  <c r="AI106" i="18"/>
  <c r="AH106" i="18" s="1"/>
  <c r="AI91" i="18"/>
  <c r="AH91" i="18" s="1"/>
  <c r="D57" i="17" s="1"/>
  <c r="D56" i="17" s="1"/>
  <c r="AI67" i="18"/>
  <c r="AY47" i="18"/>
  <c r="AY21" i="18"/>
  <c r="AY14" i="18"/>
  <c r="AG35" i="18"/>
  <c r="U236" i="18"/>
  <c r="S236" i="18"/>
  <c r="AY19" i="18"/>
  <c r="AG20" i="18"/>
  <c r="AI209" i="18"/>
  <c r="AI201" i="18"/>
  <c r="AE179" i="18"/>
  <c r="AG124" i="18"/>
  <c r="AG101" i="18"/>
  <c r="AG95" i="18"/>
  <c r="AG118" i="18"/>
  <c r="AG87" i="18"/>
  <c r="AI79" i="18"/>
  <c r="AI105" i="18"/>
  <c r="AH105" i="18" s="1"/>
  <c r="D70" i="17" s="1"/>
  <c r="D69" i="17" s="1"/>
  <c r="AY44" i="18"/>
  <c r="AI28" i="18"/>
  <c r="AH28" i="18" s="1"/>
  <c r="D10" i="17" s="1"/>
  <c r="AG18" i="18"/>
  <c r="AF76" i="18"/>
  <c r="P10" i="17" l="1"/>
  <c r="F10" i="17"/>
  <c r="H10" i="17" s="1"/>
  <c r="D66" i="17"/>
  <c r="D65" i="17" s="1"/>
  <c r="P50" i="17"/>
  <c r="F50" i="17"/>
  <c r="H50" i="17" s="1"/>
  <c r="D51" i="17"/>
  <c r="AH152" i="18"/>
  <c r="D53" i="17"/>
  <c r="D52" i="17" s="1"/>
  <c r="AI152" i="18"/>
  <c r="AF236" i="18"/>
  <c r="AI57" i="18"/>
  <c r="AH57" i="18" s="1"/>
  <c r="AI179" i="18"/>
  <c r="AI221" i="18"/>
  <c r="AG76" i="18"/>
  <c r="AG179" i="18"/>
  <c r="AY25" i="18"/>
  <c r="AE236" i="18"/>
  <c r="AI76" i="18" l="1"/>
  <c r="AG236" i="18"/>
  <c r="AI236" i="18"/>
  <c r="C73" i="14" l="1"/>
  <c r="C72" i="14"/>
  <c r="C71" i="14"/>
  <c r="C70" i="14"/>
  <c r="X125" i="17" l="1"/>
  <c r="M99" i="17"/>
  <c r="M97" i="17"/>
  <c r="M96" i="17"/>
  <c r="G99" i="17" l="1"/>
  <c r="M107" i="17"/>
  <c r="M104" i="17"/>
  <c r="G107" i="17"/>
  <c r="G104" i="17"/>
  <c r="G97" i="17"/>
  <c r="G96" i="17"/>
  <c r="G29" i="17"/>
  <c r="E107" i="17"/>
  <c r="E106" i="17"/>
  <c r="E104" i="17"/>
  <c r="E100" i="17"/>
  <c r="E99" i="17"/>
  <c r="E97" i="17"/>
  <c r="E96" i="17"/>
  <c r="E95" i="17"/>
  <c r="E38" i="17"/>
  <c r="E35" i="17"/>
  <c r="E32" i="17"/>
  <c r="E29" i="17"/>
  <c r="E28" i="17"/>
  <c r="E24" i="17"/>
  <c r="M144" i="17" l="1"/>
  <c r="M143" i="17"/>
  <c r="M142" i="17"/>
  <c r="M141" i="17"/>
  <c r="M140" i="17"/>
  <c r="M139" i="17"/>
  <c r="M138" i="17"/>
  <c r="M137" i="17"/>
  <c r="G144" i="17"/>
  <c r="G143" i="17"/>
  <c r="G142" i="17"/>
  <c r="G141" i="17"/>
  <c r="G140" i="17"/>
  <c r="G139" i="17"/>
  <c r="G138" i="17"/>
  <c r="G137" i="17"/>
  <c r="E144" i="17"/>
  <c r="F144" i="17" s="1"/>
  <c r="H144" i="17" s="1"/>
  <c r="E143" i="17"/>
  <c r="F143" i="17" s="1"/>
  <c r="E142" i="17"/>
  <c r="F142" i="17" s="1"/>
  <c r="E141" i="17"/>
  <c r="F141" i="17" s="1"/>
  <c r="E140" i="17"/>
  <c r="F140" i="17" s="1"/>
  <c r="H140" i="17" s="1"/>
  <c r="E139" i="17"/>
  <c r="H139" i="17" s="1"/>
  <c r="E138" i="17"/>
  <c r="E137" i="17"/>
  <c r="G147" i="17"/>
  <c r="G146" i="17"/>
  <c r="G145" i="17"/>
  <c r="H143" i="17" l="1"/>
  <c r="H138" i="17"/>
  <c r="H142" i="17"/>
  <c r="H141" i="17"/>
  <c r="E147" i="17"/>
  <c r="F147" i="17" s="1"/>
  <c r="H147" i="17" s="1"/>
  <c r="E146" i="17"/>
  <c r="F146" i="17" s="1"/>
  <c r="H146" i="17" s="1"/>
  <c r="E145" i="17"/>
  <c r="F145" i="17" s="1"/>
  <c r="H145" i="17" s="1"/>
  <c r="M121" i="17"/>
  <c r="M122" i="17"/>
  <c r="M95" i="17"/>
  <c r="M94" i="17"/>
  <c r="M93" i="17"/>
  <c r="M109" i="17"/>
  <c r="M108" i="17"/>
  <c r="M106" i="17"/>
  <c r="M105" i="17"/>
  <c r="M103" i="17"/>
  <c r="M102" i="17"/>
  <c r="M101" i="17"/>
  <c r="M100" i="17"/>
  <c r="M92" i="17"/>
  <c r="M90" i="17"/>
  <c r="M91" i="17"/>
  <c r="M89" i="17"/>
  <c r="M88" i="17"/>
  <c r="M86" i="17"/>
  <c r="M84" i="17"/>
  <c r="M87" i="17"/>
  <c r="M85" i="17"/>
  <c r="M83" i="17"/>
  <c r="M82" i="17"/>
  <c r="M80" i="17"/>
  <c r="M78" i="17"/>
  <c r="M81" i="17"/>
  <c r="M79" i="17"/>
  <c r="M77" i="17"/>
  <c r="M76" i="17"/>
  <c r="M74" i="17"/>
  <c r="M75" i="17"/>
  <c r="M73" i="17"/>
  <c r="G91" i="17"/>
  <c r="G89" i="17"/>
  <c r="G90" i="17"/>
  <c r="G87" i="17"/>
  <c r="G85" i="17"/>
  <c r="G83" i="17"/>
  <c r="G81" i="17"/>
  <c r="G79" i="17"/>
  <c r="G77" i="17"/>
  <c r="G78" i="17"/>
  <c r="G75" i="17"/>
  <c r="G74" i="17"/>
  <c r="E91" i="17"/>
  <c r="E89" i="17"/>
  <c r="E87" i="17"/>
  <c r="E85" i="17"/>
  <c r="E83" i="17"/>
  <c r="E81" i="17"/>
  <c r="E79" i="17"/>
  <c r="E77" i="17"/>
  <c r="E75" i="17"/>
  <c r="E73" i="17"/>
  <c r="G73" i="17"/>
  <c r="M72" i="17"/>
  <c r="M71" i="17"/>
  <c r="E71" i="17"/>
  <c r="G71" i="17"/>
  <c r="G72" i="17"/>
  <c r="E69" i="17"/>
  <c r="G69" i="17"/>
  <c r="M69" i="17"/>
  <c r="E67" i="17"/>
  <c r="G67" i="17"/>
  <c r="M67" i="17"/>
  <c r="E65" i="17"/>
  <c r="G65" i="17"/>
  <c r="M65" i="17"/>
  <c r="E63" i="17"/>
  <c r="G63" i="17"/>
  <c r="M63" i="17"/>
  <c r="E61" i="17"/>
  <c r="G61" i="17"/>
  <c r="M61" i="17"/>
  <c r="E59" i="17"/>
  <c r="G59" i="17"/>
  <c r="M59" i="17"/>
  <c r="E56" i="17"/>
  <c r="G56" i="17"/>
  <c r="M56" i="17"/>
  <c r="E54" i="17"/>
  <c r="G54" i="17"/>
  <c r="M54" i="17"/>
  <c r="E52" i="17"/>
  <c r="G52" i="17"/>
  <c r="M52" i="17"/>
  <c r="M58" i="17"/>
  <c r="M60" i="17"/>
  <c r="M62" i="17"/>
  <c r="M64" i="17"/>
  <c r="M66" i="17"/>
  <c r="M68" i="17"/>
  <c r="M70" i="17"/>
  <c r="M55" i="17"/>
  <c r="M57" i="17"/>
  <c r="M53" i="17"/>
  <c r="M119" i="17"/>
  <c r="M118" i="17"/>
  <c r="M117" i="17"/>
  <c r="M116" i="17"/>
  <c r="M115" i="17"/>
  <c r="M114" i="17"/>
  <c r="E58" i="17"/>
  <c r="M123" i="17" l="1"/>
  <c r="G123" i="17"/>
  <c r="G122" i="17"/>
  <c r="E123" i="17"/>
  <c r="E122" i="17"/>
  <c r="E121" i="17"/>
  <c r="E109" i="17"/>
  <c r="E108" i="17"/>
  <c r="E103" i="17"/>
  <c r="E102" i="17"/>
  <c r="E92" i="17"/>
  <c r="E88" i="17"/>
  <c r="E82" i="17"/>
  <c r="E76" i="17"/>
  <c r="E70" i="17"/>
  <c r="E64" i="17"/>
  <c r="E57" i="17"/>
  <c r="E86" i="17"/>
  <c r="E80" i="17"/>
  <c r="E74" i="17"/>
  <c r="E68" i="17"/>
  <c r="E62" i="17"/>
  <c r="E55" i="17"/>
  <c r="E119" i="17"/>
  <c r="E118" i="17"/>
  <c r="E117" i="17"/>
  <c r="E116" i="17"/>
  <c r="E115" i="17"/>
  <c r="E114" i="17"/>
  <c r="E112" i="17"/>
  <c r="E111" i="17"/>
  <c r="E110" i="17"/>
  <c r="E105" i="17"/>
  <c r="E101" i="17"/>
  <c r="E94" i="17"/>
  <c r="E93" i="17"/>
  <c r="E90" i="17"/>
  <c r="E84" i="17"/>
  <c r="E78" i="17"/>
  <c r="E72" i="17"/>
  <c r="E66" i="17"/>
  <c r="E60" i="17"/>
  <c r="E53" i="17"/>
  <c r="G121" i="17"/>
  <c r="G119" i="17"/>
  <c r="G118" i="17"/>
  <c r="G117" i="17"/>
  <c r="G116" i="17"/>
  <c r="G115" i="17"/>
  <c r="G114" i="17"/>
  <c r="G112" i="17"/>
  <c r="G111" i="17"/>
  <c r="G110" i="17"/>
  <c r="G109" i="17"/>
  <c r="G108" i="17"/>
  <c r="G106" i="17"/>
  <c r="G105" i="17"/>
  <c r="G103" i="17"/>
  <c r="G102" i="17"/>
  <c r="G101" i="17"/>
  <c r="G100" i="17"/>
  <c r="G95" i="17"/>
  <c r="G94" i="17"/>
  <c r="G93" i="17"/>
  <c r="G92" i="17"/>
  <c r="G88" i="17"/>
  <c r="G86" i="17"/>
  <c r="G84" i="17"/>
  <c r="G82" i="17"/>
  <c r="G80" i="17"/>
  <c r="G76" i="17"/>
  <c r="G70" i="17"/>
  <c r="G68" i="17"/>
  <c r="G66" i="17"/>
  <c r="G64" i="17"/>
  <c r="G62" i="17"/>
  <c r="G60" i="17"/>
  <c r="G58" i="17"/>
  <c r="G57" i="17"/>
  <c r="G55" i="17"/>
  <c r="G53" i="17"/>
  <c r="M31" i="17"/>
  <c r="M45" i="17"/>
  <c r="G45" i="17"/>
  <c r="M42" i="17"/>
  <c r="M46" i="17"/>
  <c r="M43" i="17"/>
  <c r="M44" i="17"/>
  <c r="M47" i="17"/>
  <c r="M49" i="17"/>
  <c r="M48" i="17"/>
  <c r="M36" i="17"/>
  <c r="M38" i="17"/>
  <c r="M35" i="17"/>
  <c r="M32" i="17"/>
  <c r="M30" i="17"/>
  <c r="M29" i="17"/>
  <c r="M26" i="17"/>
  <c r="M22" i="17"/>
  <c r="M12" i="17"/>
  <c r="M34" i="17"/>
  <c r="M39" i="17"/>
  <c r="M41" i="17"/>
  <c r="M33" i="17"/>
  <c r="E39" i="17"/>
  <c r="G39" i="17"/>
  <c r="M40" i="17"/>
  <c r="M37" i="17"/>
  <c r="M23" i="17"/>
  <c r="M24" i="17"/>
  <c r="M28" i="17"/>
  <c r="M27" i="17"/>
  <c r="M11" i="17"/>
  <c r="M21" i="17"/>
  <c r="M20" i="17"/>
  <c r="M19" i="17"/>
  <c r="M18" i="17"/>
  <c r="M17" i="17"/>
  <c r="M15" i="17"/>
  <c r="M16" i="17"/>
  <c r="M13" i="17"/>
  <c r="M14" i="17"/>
  <c r="M9" i="17"/>
  <c r="M7" i="17"/>
  <c r="G47" i="17"/>
  <c r="G46" i="17"/>
  <c r="G44" i="17"/>
  <c r="G43" i="17"/>
  <c r="G42" i="17"/>
  <c r="G49" i="17"/>
  <c r="G48" i="17"/>
  <c r="E49" i="17"/>
  <c r="E48" i="17"/>
  <c r="E47" i="17"/>
  <c r="E46" i="17"/>
  <c r="E45" i="17"/>
  <c r="E44" i="17"/>
  <c r="E43" i="17"/>
  <c r="E42" i="17"/>
  <c r="D156" i="17"/>
  <c r="G41" i="17"/>
  <c r="G40" i="17"/>
  <c r="G38" i="17"/>
  <c r="G37" i="17"/>
  <c r="G36" i="17"/>
  <c r="G35" i="17"/>
  <c r="G34" i="17"/>
  <c r="G33" i="17"/>
  <c r="G32" i="17"/>
  <c r="G31" i="17"/>
  <c r="G30" i="17"/>
  <c r="G28" i="17"/>
  <c r="G27" i="17"/>
  <c r="G26" i="17"/>
  <c r="G24" i="17"/>
  <c r="G23" i="17"/>
  <c r="G22" i="17"/>
  <c r="G19" i="17"/>
  <c r="G18" i="17"/>
  <c r="G17" i="17"/>
  <c r="G16" i="17"/>
  <c r="G15" i="17"/>
  <c r="G21" i="17"/>
  <c r="G20" i="17"/>
  <c r="G14" i="17"/>
  <c r="G13" i="17"/>
  <c r="G12" i="17"/>
  <c r="G11" i="17"/>
  <c r="G9" i="17"/>
  <c r="G7" i="17"/>
  <c r="E41" i="17"/>
  <c r="E40" i="17"/>
  <c r="E34" i="17"/>
  <c r="E33" i="17"/>
  <c r="E31" i="17"/>
  <c r="E30" i="17"/>
  <c r="E21" i="17"/>
  <c r="E20" i="17"/>
  <c r="E19" i="17"/>
  <c r="E18" i="17"/>
  <c r="E17" i="17"/>
  <c r="E16" i="17"/>
  <c r="E15" i="17"/>
  <c r="E23" i="17"/>
  <c r="E22" i="17"/>
  <c r="E12" i="17"/>
  <c r="E11" i="17"/>
  <c r="E37" i="17"/>
  <c r="E36" i="17"/>
  <c r="E27" i="17"/>
  <c r="E26" i="17"/>
  <c r="E14" i="17"/>
  <c r="E13" i="17"/>
  <c r="E9" i="17"/>
  <c r="E7" i="17"/>
  <c r="M147" i="17" l="1"/>
  <c r="M146" i="17"/>
  <c r="M145" i="17"/>
  <c r="M112" i="17"/>
  <c r="M111" i="17"/>
  <c r="M110" i="17"/>
  <c r="F114" i="17" l="1"/>
  <c r="P114" i="17" s="1"/>
  <c r="F118" i="17"/>
  <c r="P118" i="17" s="1"/>
  <c r="F122" i="17"/>
  <c r="P122" i="17" s="1"/>
  <c r="F19" i="17"/>
  <c r="H19" i="17" s="1"/>
  <c r="F20" i="17"/>
  <c r="H20" i="17" s="1"/>
  <c r="P93" i="17"/>
  <c r="P19" i="17"/>
  <c r="F58" i="17"/>
  <c r="F61" i="17"/>
  <c r="F62" i="17" s="1"/>
  <c r="F65" i="17"/>
  <c r="F69" i="17"/>
  <c r="F75" i="17"/>
  <c r="F77" i="17"/>
  <c r="F83" i="17"/>
  <c r="F85" i="17"/>
  <c r="F91" i="17"/>
  <c r="H91" i="17" s="1"/>
  <c r="P95" i="17"/>
  <c r="F110" i="17"/>
  <c r="P110" i="17" s="1"/>
  <c r="F117" i="17"/>
  <c r="F121" i="17"/>
  <c r="F123" i="17"/>
  <c r="H122" i="17" l="1"/>
  <c r="F78" i="17"/>
  <c r="P78" i="17" s="1"/>
  <c r="H118" i="17"/>
  <c r="F97" i="17"/>
  <c r="H97" i="17" s="1"/>
  <c r="P97" i="17"/>
  <c r="F99" i="17"/>
  <c r="P99" i="17"/>
  <c r="F96" i="17"/>
  <c r="H96" i="17" s="1"/>
  <c r="P96" i="17"/>
  <c r="F76" i="17"/>
  <c r="F93" i="17"/>
  <c r="H93" i="17" s="1"/>
  <c r="H114" i="17"/>
  <c r="F86" i="17"/>
  <c r="P86" i="17" s="1"/>
  <c r="F70" i="17"/>
  <c r="H70" i="17" s="1"/>
  <c r="P20" i="17"/>
  <c r="P62" i="17"/>
  <c r="F16" i="17"/>
  <c r="H16" i="17" s="1"/>
  <c r="P16" i="17"/>
  <c r="F13" i="17"/>
  <c r="H13" i="17" s="1"/>
  <c r="P13" i="17"/>
  <c r="F67" i="17"/>
  <c r="F18" i="17"/>
  <c r="H18" i="17" s="1"/>
  <c r="P18" i="17"/>
  <c r="P91" i="17"/>
  <c r="H62" i="17"/>
  <c r="F29" i="17"/>
  <c r="H29" i="17" s="1"/>
  <c r="P29" i="17"/>
  <c r="F112" i="17"/>
  <c r="F87" i="17"/>
  <c r="F63" i="17"/>
  <c r="P12" i="17"/>
  <c r="F12" i="17"/>
  <c r="H12" i="17" s="1"/>
  <c r="P15" i="17"/>
  <c r="F15" i="17"/>
  <c r="H15" i="17" s="1"/>
  <c r="P14" i="17"/>
  <c r="F14" i="17"/>
  <c r="H14" i="17" s="1"/>
  <c r="P121" i="17"/>
  <c r="H121" i="17"/>
  <c r="H110" i="17"/>
  <c r="F95" i="17"/>
  <c r="H95" i="17" s="1"/>
  <c r="F84" i="17"/>
  <c r="H77" i="17"/>
  <c r="P77" i="17"/>
  <c r="F66" i="17"/>
  <c r="P61" i="17"/>
  <c r="H61" i="17"/>
  <c r="F54" i="17"/>
  <c r="F108" i="17"/>
  <c r="P108" i="17" s="1"/>
  <c r="P22" i="17"/>
  <c r="F22" i="17"/>
  <c r="H22" i="17" s="1"/>
  <c r="F103" i="17"/>
  <c r="P103" i="17" s="1"/>
  <c r="F79" i="17"/>
  <c r="F59" i="17"/>
  <c r="F89" i="17"/>
  <c r="F73" i="17"/>
  <c r="F56" i="17"/>
  <c r="F111" i="17"/>
  <c r="P117" i="17"/>
  <c r="H117" i="17"/>
  <c r="F107" i="17"/>
  <c r="P107" i="17" s="1"/>
  <c r="F102" i="17"/>
  <c r="P102" i="17" s="1"/>
  <c r="H83" i="17"/>
  <c r="P83" i="17"/>
  <c r="P70" i="17"/>
  <c r="H65" i="17"/>
  <c r="P65" i="17"/>
  <c r="F26" i="17"/>
  <c r="H26" i="17" s="1"/>
  <c r="P26" i="17"/>
  <c r="F81" i="17"/>
  <c r="F119" i="17"/>
  <c r="F105" i="17"/>
  <c r="P105" i="17" s="1"/>
  <c r="H76" i="17"/>
  <c r="P76" i="17"/>
  <c r="H123" i="17"/>
  <c r="P123" i="17"/>
  <c r="F116" i="17"/>
  <c r="F71" i="17"/>
  <c r="F21" i="17"/>
  <c r="H21" i="17" s="1"/>
  <c r="P21" i="17"/>
  <c r="F11" i="17"/>
  <c r="H11" i="17" s="1"/>
  <c r="P11" i="17"/>
  <c r="F17" i="17"/>
  <c r="H17" i="17" s="1"/>
  <c r="P17" i="17"/>
  <c r="H99" i="17"/>
  <c r="F115" i="17"/>
  <c r="F101" i="17"/>
  <c r="P101" i="17" s="1"/>
  <c r="F92" i="17"/>
  <c r="H85" i="17"/>
  <c r="P85" i="17"/>
  <c r="P75" i="17"/>
  <c r="H75" i="17"/>
  <c r="H69" i="17"/>
  <c r="P69" i="17"/>
  <c r="P58" i="17"/>
  <c r="H58" i="17"/>
  <c r="F9" i="17"/>
  <c r="H9" i="17" s="1"/>
  <c r="P9" i="17"/>
  <c r="F7" i="17"/>
  <c r="P7" i="17"/>
  <c r="P94" i="17"/>
  <c r="H78" i="17" l="1"/>
  <c r="H86" i="17"/>
  <c r="F64" i="17"/>
  <c r="H64" i="17" s="1"/>
  <c r="F74" i="17"/>
  <c r="P74" i="17" s="1"/>
  <c r="F60" i="17"/>
  <c r="F55" i="17"/>
  <c r="P55" i="17" s="1"/>
  <c r="F57" i="17"/>
  <c r="P57" i="17" s="1"/>
  <c r="F82" i="17"/>
  <c r="H82" i="17" s="1"/>
  <c r="F72" i="17"/>
  <c r="P72" i="17" s="1"/>
  <c r="P32" i="17"/>
  <c r="F32" i="17"/>
  <c r="H32" i="17" s="1"/>
  <c r="P41" i="17"/>
  <c r="F41" i="17"/>
  <c r="H41" i="17" s="1"/>
  <c r="H107" i="17"/>
  <c r="H103" i="17"/>
  <c r="P27" i="17"/>
  <c r="F27" i="17"/>
  <c r="H27" i="17" s="1"/>
  <c r="P33" i="17"/>
  <c r="F33" i="17"/>
  <c r="H33" i="17" s="1"/>
  <c r="H87" i="17"/>
  <c r="P87" i="17"/>
  <c r="F35" i="17"/>
  <c r="H35" i="17" s="1"/>
  <c r="P35" i="17"/>
  <c r="F104" i="17"/>
  <c r="P104" i="17" s="1"/>
  <c r="H101" i="17"/>
  <c r="F42" i="17"/>
  <c r="H42" i="17" s="1"/>
  <c r="P42" i="17"/>
  <c r="P24" i="17"/>
  <c r="F24" i="17"/>
  <c r="H24" i="17" s="1"/>
  <c r="F36" i="17"/>
  <c r="H36" i="17" s="1"/>
  <c r="P36" i="17"/>
  <c r="P71" i="17"/>
  <c r="H71" i="17"/>
  <c r="F45" i="17"/>
  <c r="H45" i="17" s="1"/>
  <c r="P45" i="17"/>
  <c r="H111" i="17"/>
  <c r="P111" i="17"/>
  <c r="F34" i="17"/>
  <c r="H34" i="17" s="1"/>
  <c r="P34" i="17"/>
  <c r="F90" i="17"/>
  <c r="F80" i="17"/>
  <c r="F28" i="17"/>
  <c r="H28" i="17" s="1"/>
  <c r="P28" i="17"/>
  <c r="F38" i="17"/>
  <c r="H38" i="17" s="1"/>
  <c r="P38" i="17"/>
  <c r="H63" i="17"/>
  <c r="P63" i="17"/>
  <c r="F94" i="17"/>
  <c r="H94" i="17" s="1"/>
  <c r="F106" i="17"/>
  <c r="P106" i="17" s="1"/>
  <c r="F100" i="17"/>
  <c r="P100" i="17" s="1"/>
  <c r="H7" i="17"/>
  <c r="P37" i="17"/>
  <c r="F37" i="17"/>
  <c r="H37" i="17" s="1"/>
  <c r="P48" i="17"/>
  <c r="F48" i="17"/>
  <c r="H48" i="17" s="1"/>
  <c r="H102" i="17"/>
  <c r="H89" i="17"/>
  <c r="P89" i="17"/>
  <c r="H59" i="17"/>
  <c r="P59" i="17"/>
  <c r="H79" i="17"/>
  <c r="P79" i="17"/>
  <c r="H108" i="17"/>
  <c r="P54" i="17"/>
  <c r="H54" i="17"/>
  <c r="H66" i="17"/>
  <c r="P66" i="17"/>
  <c r="H84" i="17"/>
  <c r="P84" i="17"/>
  <c r="F49" i="17"/>
  <c r="H49" i="17" s="1"/>
  <c r="P49" i="17"/>
  <c r="H112" i="17"/>
  <c r="P112" i="17"/>
  <c r="P67" i="17"/>
  <c r="H67" i="17"/>
  <c r="F109" i="17"/>
  <c r="P109" i="17" s="1"/>
  <c r="P92" i="17"/>
  <c r="H92" i="17"/>
  <c r="P30" i="17"/>
  <c r="F30" i="17"/>
  <c r="H30" i="17" s="1"/>
  <c r="P39" i="17"/>
  <c r="F39" i="17"/>
  <c r="H39" i="17" s="1"/>
  <c r="H115" i="17"/>
  <c r="P115" i="17"/>
  <c r="F23" i="17"/>
  <c r="H23" i="17" s="1"/>
  <c r="P23" i="17"/>
  <c r="H116" i="17"/>
  <c r="P116" i="17"/>
  <c r="H105" i="17"/>
  <c r="H119" i="17"/>
  <c r="P119" i="17"/>
  <c r="F52" i="17"/>
  <c r="F53" i="17" s="1"/>
  <c r="P81" i="17"/>
  <c r="H81" i="17"/>
  <c r="P56" i="17"/>
  <c r="H56" i="17"/>
  <c r="P73" i="17"/>
  <c r="H73" i="17"/>
  <c r="F88" i="17"/>
  <c r="F68" i="17"/>
  <c r="F31" i="17"/>
  <c r="H31" i="17" s="1"/>
  <c r="P31" i="17"/>
  <c r="B57" i="4"/>
  <c r="H74" i="17" l="1"/>
  <c r="P82" i="17"/>
  <c r="H55" i="17"/>
  <c r="H57" i="17"/>
  <c r="H72" i="17"/>
  <c r="P64" i="17"/>
  <c r="D126" i="17"/>
  <c r="P53" i="17"/>
  <c r="H53" i="17"/>
  <c r="F46" i="17"/>
  <c r="H46" i="17" s="1"/>
  <c r="P46" i="17"/>
  <c r="H88" i="17"/>
  <c r="P88" i="17"/>
  <c r="H52" i="17"/>
  <c r="P52" i="17"/>
  <c r="F126" i="17"/>
  <c r="H100" i="17"/>
  <c r="F43" i="17"/>
  <c r="H43" i="17" s="1"/>
  <c r="P43" i="17"/>
  <c r="H104" i="17"/>
  <c r="F44" i="17"/>
  <c r="H44" i="17" s="1"/>
  <c r="P44" i="17"/>
  <c r="H60" i="17"/>
  <c r="P60" i="17"/>
  <c r="F47" i="17"/>
  <c r="H47" i="17" s="1"/>
  <c r="P47" i="17"/>
  <c r="H80" i="17"/>
  <c r="P80" i="17"/>
  <c r="H68" i="17"/>
  <c r="P68" i="17"/>
  <c r="H109" i="17"/>
  <c r="H106" i="17"/>
  <c r="H90" i="17"/>
  <c r="P90" i="17"/>
  <c r="F40" i="17"/>
  <c r="H40" i="17" s="1"/>
  <c r="P40" i="17"/>
  <c r="P51" i="17" s="1"/>
  <c r="B7" i="4"/>
  <c r="B8" i="4"/>
  <c r="B9" i="4"/>
  <c r="B10" i="4"/>
  <c r="P126" i="17" l="1"/>
  <c r="P127" i="17" s="1"/>
  <c r="D127" i="17"/>
  <c r="F51" i="17"/>
  <c r="F127" i="17" s="1"/>
  <c r="D157" i="17" s="1"/>
  <c r="H51" i="17"/>
  <c r="H126" i="17"/>
  <c r="D9" i="4"/>
  <c r="C8" i="4"/>
  <c r="E8" i="4"/>
  <c r="G8" i="4"/>
  <c r="F9" i="4"/>
  <c r="C9" i="4"/>
  <c r="D8" i="4"/>
  <c r="F8" i="4"/>
  <c r="H8" i="4"/>
  <c r="C10" i="4"/>
  <c r="H10" i="4"/>
  <c r="E9" i="4"/>
  <c r="G9" i="4"/>
  <c r="H9" i="4"/>
  <c r="C7" i="4"/>
  <c r="D7" i="4"/>
  <c r="E7" i="4"/>
  <c r="F7" i="4"/>
  <c r="G7" i="4"/>
  <c r="H7" i="4"/>
  <c r="H127" i="17" l="1"/>
  <c r="G10" i="4"/>
  <c r="F10" i="4"/>
  <c r="E10" i="4"/>
  <c r="D10" i="4"/>
  <c r="D158" i="17" l="1"/>
  <c r="I17" i="17"/>
  <c r="I139" i="17"/>
  <c r="I27" i="17"/>
  <c r="I92" i="17"/>
  <c r="I89" i="17"/>
  <c r="I7" i="17"/>
  <c r="I117" i="17"/>
  <c r="I110" i="17"/>
  <c r="I26" i="17"/>
  <c r="I145" i="17"/>
  <c r="I106" i="17"/>
  <c r="I140" i="17"/>
  <c r="I30" i="17"/>
  <c r="I55" i="17"/>
  <c r="I66" i="17"/>
  <c r="I56" i="17"/>
  <c r="I107" i="17"/>
  <c r="I35" i="17"/>
  <c r="I119" i="17"/>
  <c r="I54" i="17"/>
  <c r="I108" i="17"/>
  <c r="I18" i="17"/>
  <c r="I123" i="17"/>
  <c r="I86" i="17"/>
  <c r="I12" i="17"/>
  <c r="I70" i="17"/>
  <c r="I19" i="17"/>
  <c r="I144" i="17"/>
  <c r="I65" i="17"/>
  <c r="I58" i="17"/>
  <c r="I93" i="17"/>
  <c r="I142" i="17"/>
  <c r="I146" i="17"/>
  <c r="I100" i="17"/>
  <c r="I43" i="17"/>
  <c r="I80" i="17"/>
  <c r="I88" i="17"/>
  <c r="I90" i="17"/>
  <c r="I121" i="17"/>
  <c r="I13" i="17"/>
  <c r="I11" i="17"/>
  <c r="I9" i="17"/>
  <c r="I118" i="17"/>
  <c r="I122" i="17"/>
  <c r="I138" i="17"/>
  <c r="I137" i="17"/>
  <c r="I143" i="17"/>
  <c r="I68" i="17"/>
  <c r="I44" i="17"/>
  <c r="I52" i="17"/>
  <c r="I53" i="17"/>
  <c r="I60" i="17"/>
  <c r="I109" i="17"/>
  <c r="I47" i="17"/>
  <c r="G53" i="4"/>
  <c r="C53" i="4"/>
  <c r="B13" i="4"/>
  <c r="B12" i="4"/>
  <c r="B11" i="4"/>
  <c r="I132" i="17" l="1"/>
  <c r="I135" i="17"/>
  <c r="I136" i="17"/>
  <c r="I133" i="17"/>
  <c r="I131" i="17"/>
  <c r="I134" i="17"/>
  <c r="I113" i="17"/>
  <c r="I124" i="17"/>
  <c r="I91" i="17"/>
  <c r="I120" i="17"/>
  <c r="I98" i="17"/>
  <c r="I50" i="17"/>
  <c r="I8" i="17"/>
  <c r="I25" i="17"/>
  <c r="I16" i="17"/>
  <c r="I57" i="17"/>
  <c r="I102" i="17"/>
  <c r="I104" i="17"/>
  <c r="I20" i="17"/>
  <c r="I77" i="17"/>
  <c r="I39" i="17"/>
  <c r="I79" i="17"/>
  <c r="I94" i="17"/>
  <c r="I34" i="17"/>
  <c r="I10" i="17"/>
  <c r="I73" i="17"/>
  <c r="I24" i="17"/>
  <c r="I29" i="17"/>
  <c r="I71" i="17"/>
  <c r="I22" i="17"/>
  <c r="I78" i="17"/>
  <c r="I41" i="17"/>
  <c r="I111" i="17"/>
  <c r="I63" i="17"/>
  <c r="I84" i="17"/>
  <c r="I21" i="17"/>
  <c r="I97" i="17"/>
  <c r="I14" i="17"/>
  <c r="I74" i="17"/>
  <c r="I31" i="17"/>
  <c r="I37" i="17"/>
  <c r="I114" i="17"/>
  <c r="I96" i="17"/>
  <c r="I59" i="17"/>
  <c r="I105" i="17"/>
  <c r="I28" i="17"/>
  <c r="I40" i="17"/>
  <c r="I75" i="17"/>
  <c r="I38" i="17"/>
  <c r="I115" i="17"/>
  <c r="I36" i="17"/>
  <c r="I87" i="17"/>
  <c r="I101" i="17"/>
  <c r="I32" i="17"/>
  <c r="I95" i="17"/>
  <c r="I99" i="17"/>
  <c r="I81" i="17"/>
  <c r="I48" i="17"/>
  <c r="I147" i="17"/>
  <c r="I69" i="17"/>
  <c r="I15" i="17"/>
  <c r="I62" i="17"/>
  <c r="I45" i="17"/>
  <c r="I23" i="17"/>
  <c r="I49" i="17"/>
  <c r="I141" i="17"/>
  <c r="I83" i="17"/>
  <c r="I85" i="17"/>
  <c r="I112" i="17"/>
  <c r="I42" i="17"/>
  <c r="I76" i="17"/>
  <c r="I116" i="17"/>
  <c r="I64" i="17"/>
  <c r="I103" i="17"/>
  <c r="I67" i="17"/>
  <c r="I33" i="17"/>
  <c r="I82" i="17"/>
  <c r="I61" i="17"/>
  <c r="I72" i="17"/>
  <c r="I46" i="17"/>
  <c r="G56" i="4"/>
  <c r="G58" i="4" s="1"/>
  <c r="H12" i="4"/>
  <c r="G12" i="4"/>
  <c r="F12" i="4"/>
  <c r="E12" i="4"/>
  <c r="D12" i="4"/>
  <c r="C12" i="4"/>
  <c r="H11" i="4"/>
  <c r="C11" i="4"/>
  <c r="G11" i="4"/>
  <c r="F11" i="4"/>
  <c r="E11" i="4"/>
  <c r="D11" i="4"/>
  <c r="H13" i="4"/>
  <c r="G13" i="4"/>
  <c r="F13" i="4"/>
  <c r="E13" i="4"/>
  <c r="D13" i="4"/>
  <c r="C13" i="4"/>
  <c r="I51" i="17" l="1"/>
  <c r="I126" i="17"/>
  <c r="B55" i="4"/>
  <c r="C54" i="4"/>
  <c r="C55" i="4" s="1"/>
  <c r="J63" i="17" s="1"/>
  <c r="K63" i="17" s="1"/>
  <c r="L63" i="17" s="1"/>
  <c r="J131" i="17" l="1"/>
  <c r="K131" i="17" s="1"/>
  <c r="L131" i="17" s="1"/>
  <c r="C20" i="14" s="1"/>
  <c r="D20" i="14" s="1"/>
  <c r="O131" i="17" s="1"/>
  <c r="J50" i="17"/>
  <c r="K50" i="17" s="1"/>
  <c r="L50" i="17" s="1"/>
  <c r="N50" i="17" s="1"/>
  <c r="J25" i="17"/>
  <c r="K25" i="17" s="1"/>
  <c r="L25" i="17" s="1"/>
  <c r="N25" i="17" s="1"/>
  <c r="S25" i="17" s="1"/>
  <c r="J135" i="17"/>
  <c r="K135" i="17" s="1"/>
  <c r="L135" i="17" s="1"/>
  <c r="J113" i="17"/>
  <c r="K113" i="17" s="1"/>
  <c r="L113" i="17" s="1"/>
  <c r="N113" i="17" s="1"/>
  <c r="J134" i="17"/>
  <c r="K134" i="17" s="1"/>
  <c r="L134" i="17" s="1"/>
  <c r="J136" i="17"/>
  <c r="K136" i="17" s="1"/>
  <c r="L136" i="17" s="1"/>
  <c r="J8" i="17"/>
  <c r="K8" i="17" s="1"/>
  <c r="L8" i="17" s="1"/>
  <c r="N8" i="17" s="1"/>
  <c r="J124" i="17"/>
  <c r="K124" i="17" s="1"/>
  <c r="L124" i="17" s="1"/>
  <c r="N124" i="17" s="1"/>
  <c r="U124" i="17" s="1"/>
  <c r="V124" i="17" s="1"/>
  <c r="W124" i="17" s="1"/>
  <c r="X124" i="17" s="1"/>
  <c r="C68" i="14"/>
  <c r="D68" i="14" s="1"/>
  <c r="E164" i="17"/>
  <c r="D55" i="4"/>
  <c r="AZ226" i="18"/>
  <c r="J132" i="17"/>
  <c r="K132" i="17" s="1"/>
  <c r="L132" i="17" s="1"/>
  <c r="J98" i="17"/>
  <c r="K98" i="17" s="1"/>
  <c r="L98" i="17" s="1"/>
  <c r="N98" i="17" s="1"/>
  <c r="J120" i="17"/>
  <c r="K120" i="17" s="1"/>
  <c r="L120" i="17" s="1"/>
  <c r="N120" i="17" s="1"/>
  <c r="J133" i="17"/>
  <c r="K133" i="17" s="1"/>
  <c r="L133" i="17" s="1"/>
  <c r="J10" i="17"/>
  <c r="K10" i="17" s="1"/>
  <c r="L10" i="17" s="1"/>
  <c r="N10" i="17" s="1"/>
  <c r="I127" i="17"/>
  <c r="J46" i="17"/>
  <c r="K46" i="17" s="1"/>
  <c r="L46" i="17" s="1"/>
  <c r="N46" i="17" s="1"/>
  <c r="J9" i="17"/>
  <c r="K9" i="17" s="1"/>
  <c r="L9" i="17" s="1"/>
  <c r="C12" i="14" s="1"/>
  <c r="J141" i="17"/>
  <c r="K141" i="17" s="1"/>
  <c r="L141" i="17" s="1"/>
  <c r="C58" i="14" s="1"/>
  <c r="J116" i="17"/>
  <c r="K116" i="17" s="1"/>
  <c r="L116" i="17" s="1"/>
  <c r="C94" i="14" s="1"/>
  <c r="J67" i="17"/>
  <c r="K67" i="17" s="1"/>
  <c r="L67" i="17" s="1"/>
  <c r="N67" i="17" s="1"/>
  <c r="J70" i="17"/>
  <c r="K70" i="17" s="1"/>
  <c r="L70" i="17" s="1"/>
  <c r="N70" i="17" s="1"/>
  <c r="J138" i="17"/>
  <c r="K138" i="17" s="1"/>
  <c r="L138" i="17" s="1"/>
  <c r="C37" i="14" s="1"/>
  <c r="J93" i="17"/>
  <c r="K93" i="17" s="1"/>
  <c r="L93" i="17" s="1"/>
  <c r="J54" i="17"/>
  <c r="K54" i="17" s="1"/>
  <c r="L54" i="17" s="1"/>
  <c r="N54" i="17" s="1"/>
  <c r="J140" i="17"/>
  <c r="K140" i="17" s="1"/>
  <c r="L140" i="17" s="1"/>
  <c r="C53" i="14" s="1"/>
  <c r="J73" i="17"/>
  <c r="K73" i="17" s="1"/>
  <c r="L73" i="17" s="1"/>
  <c r="N73" i="17" s="1"/>
  <c r="J139" i="17"/>
  <c r="K139" i="17" s="1"/>
  <c r="L139" i="17" s="1"/>
  <c r="C18" i="14" s="1"/>
  <c r="J94" i="17"/>
  <c r="K94" i="17" s="1"/>
  <c r="L94" i="17" s="1"/>
  <c r="N94" i="17" s="1"/>
  <c r="J36" i="17"/>
  <c r="K36" i="17" s="1"/>
  <c r="L36" i="17" s="1"/>
  <c r="C47" i="14" s="1"/>
  <c r="J87" i="17"/>
  <c r="K87" i="17" s="1"/>
  <c r="L87" i="17" s="1"/>
  <c r="N87" i="17" s="1"/>
  <c r="J108" i="17"/>
  <c r="K108" i="17" s="1"/>
  <c r="L108" i="17" s="1"/>
  <c r="N108" i="17" s="1"/>
  <c r="J68" i="17"/>
  <c r="K68" i="17" s="1"/>
  <c r="L68" i="17" s="1"/>
  <c r="N68" i="17" s="1"/>
  <c r="J100" i="17"/>
  <c r="K100" i="17" s="1"/>
  <c r="L100" i="17" s="1"/>
  <c r="J84" i="17"/>
  <c r="K84" i="17" s="1"/>
  <c r="L84" i="17" s="1"/>
  <c r="C89" i="14" s="1"/>
  <c r="J77" i="17"/>
  <c r="K77" i="17" s="1"/>
  <c r="L77" i="17" s="1"/>
  <c r="C80" i="14" s="1"/>
  <c r="J27" i="17"/>
  <c r="K27" i="17" s="1"/>
  <c r="L27" i="17" s="1"/>
  <c r="C25" i="14" s="1"/>
  <c r="J38" i="17"/>
  <c r="K38" i="17" s="1"/>
  <c r="L38" i="17" s="1"/>
  <c r="N38" i="17" s="1"/>
  <c r="J16" i="17"/>
  <c r="K16" i="17" s="1"/>
  <c r="L16" i="17" s="1"/>
  <c r="C34" i="14" s="1"/>
  <c r="J47" i="17"/>
  <c r="K47" i="17" s="1"/>
  <c r="L47" i="17" s="1"/>
  <c r="N47" i="17" s="1"/>
  <c r="J19" i="17"/>
  <c r="K19" i="17" s="1"/>
  <c r="L19" i="17" s="1"/>
  <c r="C17" i="14" s="1"/>
  <c r="J56" i="17"/>
  <c r="K56" i="17" s="1"/>
  <c r="L56" i="17" s="1"/>
  <c r="N56" i="17" s="1"/>
  <c r="J97" i="17"/>
  <c r="K97" i="17" s="1"/>
  <c r="L97" i="17" s="1"/>
  <c r="N97" i="17" s="1"/>
  <c r="J31" i="17"/>
  <c r="K31" i="17" s="1"/>
  <c r="L31" i="17" s="1"/>
  <c r="C24" i="14" s="1"/>
  <c r="J99" i="17"/>
  <c r="K99" i="17" s="1"/>
  <c r="L99" i="17" s="1"/>
  <c r="N99" i="17" s="1"/>
  <c r="J82" i="17"/>
  <c r="K82" i="17" s="1"/>
  <c r="L82" i="17" s="1"/>
  <c r="N82" i="17" s="1"/>
  <c r="J45" i="17"/>
  <c r="K45" i="17" s="1"/>
  <c r="L45" i="17" s="1"/>
  <c r="C60" i="14" s="1"/>
  <c r="J83" i="17"/>
  <c r="K83" i="17" s="1"/>
  <c r="L83" i="17" s="1"/>
  <c r="C81" i="14" s="1"/>
  <c r="J112" i="17"/>
  <c r="K112" i="17" s="1"/>
  <c r="L112" i="17" s="1"/>
  <c r="C102" i="14" s="1"/>
  <c r="J91" i="17"/>
  <c r="K91" i="17" s="1"/>
  <c r="L91" i="17" s="1"/>
  <c r="N91" i="17" s="1"/>
  <c r="J137" i="17"/>
  <c r="K137" i="17" s="1"/>
  <c r="L137" i="17" s="1"/>
  <c r="C36" i="14" s="1"/>
  <c r="J35" i="17"/>
  <c r="K35" i="17" s="1"/>
  <c r="L35" i="17" s="1"/>
  <c r="N35" i="17" s="1"/>
  <c r="J23" i="17"/>
  <c r="K23" i="17" s="1"/>
  <c r="L23" i="17" s="1"/>
  <c r="C23" i="14" s="1"/>
  <c r="J11" i="17"/>
  <c r="K11" i="17" s="1"/>
  <c r="L11" i="17" s="1"/>
  <c r="C13" i="14" s="1"/>
  <c r="J107" i="17"/>
  <c r="K107" i="17" s="1"/>
  <c r="L107" i="17" s="1"/>
  <c r="N107" i="17" s="1"/>
  <c r="J145" i="17"/>
  <c r="K145" i="17" s="1"/>
  <c r="L145" i="17" s="1"/>
  <c r="C103" i="14" s="1"/>
  <c r="J89" i="17"/>
  <c r="K89" i="17" s="1"/>
  <c r="L89" i="17" s="1"/>
  <c r="C82" i="14" s="1"/>
  <c r="J29" i="17"/>
  <c r="K29" i="17" s="1"/>
  <c r="L29" i="17" s="1"/>
  <c r="N29" i="17" s="1"/>
  <c r="J64" i="17"/>
  <c r="K64" i="17" s="1"/>
  <c r="L64" i="17" s="1"/>
  <c r="N64" i="17" s="1"/>
  <c r="J52" i="17"/>
  <c r="K52" i="17" s="1"/>
  <c r="L52" i="17" s="1"/>
  <c r="C76" i="14" s="1"/>
  <c r="J102" i="17"/>
  <c r="K102" i="17" s="1"/>
  <c r="J122" i="17"/>
  <c r="K122" i="17" s="1"/>
  <c r="L122" i="17" s="1"/>
  <c r="C57" i="14" s="1"/>
  <c r="J58" i="17"/>
  <c r="K58" i="17" s="1"/>
  <c r="L58" i="17" s="1"/>
  <c r="N58" i="17" s="1"/>
  <c r="J41" i="17"/>
  <c r="K41" i="17" s="1"/>
  <c r="L41" i="17" s="1"/>
  <c r="N41" i="17" s="1"/>
  <c r="J21" i="17"/>
  <c r="K21" i="17" s="1"/>
  <c r="L21" i="17" s="1"/>
  <c r="C38" i="14" s="1"/>
  <c r="J74" i="17"/>
  <c r="K74" i="17" s="1"/>
  <c r="L74" i="17" s="1"/>
  <c r="N74" i="17" s="1"/>
  <c r="J114" i="17"/>
  <c r="K114" i="17" s="1"/>
  <c r="L114" i="17" s="1"/>
  <c r="C92" i="14" s="1"/>
  <c r="J59" i="17"/>
  <c r="K59" i="17" s="1"/>
  <c r="L59" i="17" s="1"/>
  <c r="C77" i="14" s="1"/>
  <c r="J101" i="17"/>
  <c r="K101" i="17" s="1"/>
  <c r="L101" i="17" s="1"/>
  <c r="N101" i="17" s="1"/>
  <c r="S101" i="17" s="1"/>
  <c r="J22" i="17"/>
  <c r="K22" i="17" s="1"/>
  <c r="L22" i="17" s="1"/>
  <c r="C42" i="14" s="1"/>
  <c r="J53" i="17"/>
  <c r="K53" i="17" s="1"/>
  <c r="L53" i="17" s="1"/>
  <c r="C84" i="14" s="1"/>
  <c r="J88" i="17"/>
  <c r="K88" i="17" s="1"/>
  <c r="L88" i="17" s="1"/>
  <c r="N88" i="17" s="1"/>
  <c r="J86" i="17"/>
  <c r="K86" i="17" s="1"/>
  <c r="L86" i="17" s="1"/>
  <c r="N86" i="17" s="1"/>
  <c r="J55" i="17"/>
  <c r="K55" i="17" s="1"/>
  <c r="L55" i="17" s="1"/>
  <c r="N55" i="17" s="1"/>
  <c r="J117" i="17"/>
  <c r="K117" i="17" s="1"/>
  <c r="L117" i="17" s="1"/>
  <c r="C95" i="14" s="1"/>
  <c r="J39" i="17"/>
  <c r="K39" i="17" s="1"/>
  <c r="L39" i="17" s="1"/>
  <c r="C46" i="14" s="1"/>
  <c r="J57" i="17"/>
  <c r="K57" i="17" s="1"/>
  <c r="L57" i="17" s="1"/>
  <c r="N57" i="17" s="1"/>
  <c r="J147" i="17"/>
  <c r="K147" i="17" s="1"/>
  <c r="L147" i="17" s="1"/>
  <c r="J61" i="17"/>
  <c r="K61" i="17" s="1"/>
  <c r="L61" i="17" s="1"/>
  <c r="N61" i="17" s="1"/>
  <c r="J85" i="17"/>
  <c r="K85" i="17" s="1"/>
  <c r="L85" i="17" s="1"/>
  <c r="N85" i="17" s="1"/>
  <c r="J42" i="17"/>
  <c r="K42" i="17" s="1"/>
  <c r="L42" i="17" s="1"/>
  <c r="C54" i="14" s="1"/>
  <c r="J105" i="17"/>
  <c r="K105" i="17" s="1"/>
  <c r="L105" i="17" s="1"/>
  <c r="J60" i="17"/>
  <c r="K60" i="17" s="1"/>
  <c r="L60" i="17" s="1"/>
  <c r="C85" i="14" s="1"/>
  <c r="J121" i="17"/>
  <c r="K121" i="17" s="1"/>
  <c r="L121" i="17" s="1"/>
  <c r="N121" i="17" s="1"/>
  <c r="J78" i="17"/>
  <c r="K78" i="17" s="1"/>
  <c r="L78" i="17" s="1"/>
  <c r="C88" i="14" s="1"/>
  <c r="J66" i="17"/>
  <c r="K66" i="17" s="1"/>
  <c r="L66" i="17" s="1"/>
  <c r="C86" i="14" s="1"/>
  <c r="J26" i="17"/>
  <c r="K26" i="17" s="1"/>
  <c r="L26" i="17" s="1"/>
  <c r="C44" i="14" s="1"/>
  <c r="J24" i="17"/>
  <c r="K24" i="17" s="1"/>
  <c r="L24" i="17" s="1"/>
  <c r="N24" i="17" s="1"/>
  <c r="J17" i="17"/>
  <c r="K17" i="17" s="1"/>
  <c r="L17" i="17" s="1"/>
  <c r="C16" i="14" s="1"/>
  <c r="J34" i="17"/>
  <c r="K34" i="17" s="1"/>
  <c r="L34" i="17" s="1"/>
  <c r="C26" i="14" s="1"/>
  <c r="J15" i="17"/>
  <c r="K15" i="17" s="1"/>
  <c r="L15" i="17" s="1"/>
  <c r="C15" i="14" s="1"/>
  <c r="J80" i="17"/>
  <c r="K80" i="17" s="1"/>
  <c r="L80" i="17" s="1"/>
  <c r="N80" i="17" s="1"/>
  <c r="J62" i="17"/>
  <c r="K62" i="17" s="1"/>
  <c r="L62" i="17" s="1"/>
  <c r="N62" i="17" s="1"/>
  <c r="J13" i="17"/>
  <c r="K13" i="17" s="1"/>
  <c r="L13" i="17" s="1"/>
  <c r="C14" i="14" s="1"/>
  <c r="J144" i="17"/>
  <c r="K144" i="17" s="1"/>
  <c r="L144" i="17" s="1"/>
  <c r="C62" i="14" s="1"/>
  <c r="J111" i="17"/>
  <c r="K111" i="17" s="1"/>
  <c r="L111" i="17" s="1"/>
  <c r="C101" i="14" s="1"/>
  <c r="J20" i="17"/>
  <c r="K20" i="17" s="1"/>
  <c r="L20" i="17" s="1"/>
  <c r="C19" i="14" s="1"/>
  <c r="J92" i="17"/>
  <c r="K92" i="17" s="1"/>
  <c r="L92" i="17" s="1"/>
  <c r="N92" i="17" s="1"/>
  <c r="J75" i="17"/>
  <c r="K75" i="17" s="1"/>
  <c r="L75" i="17" s="1"/>
  <c r="N75" i="17" s="1"/>
  <c r="J115" i="17"/>
  <c r="K115" i="17" s="1"/>
  <c r="L115" i="17" s="1"/>
  <c r="C93" i="14" s="1"/>
  <c r="J109" i="17"/>
  <c r="K109" i="17" s="1"/>
  <c r="L109" i="17" s="1"/>
  <c r="N109" i="17" s="1"/>
  <c r="J143" i="17"/>
  <c r="K143" i="17" s="1"/>
  <c r="L143" i="17" s="1"/>
  <c r="C61" i="14" s="1"/>
  <c r="J146" i="17"/>
  <c r="K146" i="17" s="1"/>
  <c r="L146" i="17" s="1"/>
  <c r="C105" i="14" s="1"/>
  <c r="J18" i="17"/>
  <c r="K18" i="17" s="1"/>
  <c r="L18" i="17" s="1"/>
  <c r="C35" i="14" s="1"/>
  <c r="J30" i="17"/>
  <c r="K30" i="17" s="1"/>
  <c r="L30" i="17" s="1"/>
  <c r="C43" i="14" s="1"/>
  <c r="J7" i="17"/>
  <c r="K7" i="17" s="1"/>
  <c r="J40" i="17"/>
  <c r="K40" i="17" s="1"/>
  <c r="L40" i="17" s="1"/>
  <c r="C27" i="14" s="1"/>
  <c r="J81" i="17"/>
  <c r="K81" i="17" s="1"/>
  <c r="L81" i="17" s="1"/>
  <c r="N81" i="17" s="1"/>
  <c r="J69" i="17"/>
  <c r="K69" i="17" s="1"/>
  <c r="L69" i="17" s="1"/>
  <c r="N69" i="17" s="1"/>
  <c r="J72" i="17"/>
  <c r="K72" i="17" s="1"/>
  <c r="L72" i="17" s="1"/>
  <c r="C87" i="14" s="1"/>
  <c r="J49" i="17"/>
  <c r="K49" i="17" s="1"/>
  <c r="L49" i="17" s="1"/>
  <c r="C52" i="14" s="1"/>
  <c r="J76" i="17"/>
  <c r="K76" i="17" s="1"/>
  <c r="L76" i="17" s="1"/>
  <c r="N76" i="17" s="1"/>
  <c r="J71" i="17"/>
  <c r="K71" i="17" s="1"/>
  <c r="L71" i="17" s="1"/>
  <c r="C79" i="14" s="1"/>
  <c r="J142" i="17"/>
  <c r="K142" i="17" s="1"/>
  <c r="L142" i="17" s="1"/>
  <c r="C59" i="14" s="1"/>
  <c r="J104" i="17"/>
  <c r="K104" i="17" s="1"/>
  <c r="L104" i="17" s="1"/>
  <c r="N104" i="17" s="1"/>
  <c r="J44" i="17"/>
  <c r="K44" i="17" s="1"/>
  <c r="L44" i="17" s="1"/>
  <c r="C8" i="14" s="1"/>
  <c r="J43" i="17"/>
  <c r="K43" i="17" s="1"/>
  <c r="L43" i="17" s="1"/>
  <c r="J14" i="17"/>
  <c r="K14" i="17" s="1"/>
  <c r="L14" i="17" s="1"/>
  <c r="C33" i="14" s="1"/>
  <c r="J37" i="17"/>
  <c r="K37" i="17" s="1"/>
  <c r="L37" i="17" s="1"/>
  <c r="C28" i="14" s="1"/>
  <c r="J79" i="17"/>
  <c r="K79" i="17" s="1"/>
  <c r="L79" i="17" s="1"/>
  <c r="N79" i="17" s="1"/>
  <c r="J32" i="17"/>
  <c r="K32" i="17" s="1"/>
  <c r="L32" i="17" s="1"/>
  <c r="N32" i="17" s="1"/>
  <c r="J90" i="17"/>
  <c r="K90" i="17" s="1"/>
  <c r="L90" i="17" s="1"/>
  <c r="C90" i="14" s="1"/>
  <c r="J12" i="17"/>
  <c r="K12" i="17" s="1"/>
  <c r="L12" i="17" s="1"/>
  <c r="N12" i="17" s="1"/>
  <c r="N63" i="17"/>
  <c r="J110" i="17"/>
  <c r="K110" i="17" s="1"/>
  <c r="L110" i="17" s="1"/>
  <c r="C100" i="14" s="1"/>
  <c r="J28" i="17"/>
  <c r="K28" i="17" s="1"/>
  <c r="L28" i="17" s="1"/>
  <c r="N28" i="17" s="1"/>
  <c r="J96" i="17"/>
  <c r="K96" i="17" s="1"/>
  <c r="L96" i="17" s="1"/>
  <c r="N96" i="17" s="1"/>
  <c r="J103" i="17"/>
  <c r="K103" i="17" s="1"/>
  <c r="J123" i="17"/>
  <c r="K123" i="17" s="1"/>
  <c r="L123" i="17" s="1"/>
  <c r="N123" i="17" s="1"/>
  <c r="J118" i="17"/>
  <c r="K118" i="17" s="1"/>
  <c r="L118" i="17" s="1"/>
  <c r="J65" i="17"/>
  <c r="K65" i="17" s="1"/>
  <c r="L65" i="17" s="1"/>
  <c r="C78" i="14" s="1"/>
  <c r="J119" i="17"/>
  <c r="K119" i="17" s="1"/>
  <c r="L119" i="17" s="1"/>
  <c r="C97" i="14" s="1"/>
  <c r="J106" i="17"/>
  <c r="K106" i="17" s="1"/>
  <c r="L106" i="17" s="1"/>
  <c r="N106" i="17" s="1"/>
  <c r="J95" i="17"/>
  <c r="K95" i="17" s="1"/>
  <c r="L95" i="17" s="1"/>
  <c r="N95" i="17" s="1"/>
  <c r="J48" i="17"/>
  <c r="K48" i="17" s="1"/>
  <c r="L48" i="17" s="1"/>
  <c r="C51" i="14" s="1"/>
  <c r="J33" i="17"/>
  <c r="K33" i="17" s="1"/>
  <c r="L33" i="17" s="1"/>
  <c r="C45" i="14" s="1"/>
  <c r="F164" i="17"/>
  <c r="B58" i="4"/>
  <c r="B59" i="4" s="1"/>
  <c r="N131" i="17" l="1"/>
  <c r="U25" i="17"/>
  <c r="V25" i="17" s="1"/>
  <c r="W25" i="17" s="1"/>
  <c r="X25" i="17" s="1"/>
  <c r="S50" i="17"/>
  <c r="U50" i="17"/>
  <c r="V50" i="17" s="1"/>
  <c r="W50" i="17" s="1"/>
  <c r="X50" i="17" s="1"/>
  <c r="N133" i="17"/>
  <c r="C22" i="14"/>
  <c r="D22" i="14" s="1"/>
  <c r="O133" i="17" s="1"/>
  <c r="U113" i="17"/>
  <c r="V113" i="17" s="1"/>
  <c r="W113" i="17" s="1"/>
  <c r="X113" i="17" s="1"/>
  <c r="S113" i="17"/>
  <c r="S120" i="17"/>
  <c r="U120" i="17"/>
  <c r="V120" i="17" s="1"/>
  <c r="W120" i="17" s="1"/>
  <c r="X120" i="17" s="1"/>
  <c r="U8" i="17"/>
  <c r="V8" i="17" s="1"/>
  <c r="W8" i="17" s="1"/>
  <c r="X8" i="17" s="1"/>
  <c r="S8" i="17"/>
  <c r="B61" i="4"/>
  <c r="C65" i="14"/>
  <c r="S124" i="17"/>
  <c r="T124" i="17" s="1"/>
  <c r="U98" i="17"/>
  <c r="V98" i="17" s="1"/>
  <c r="W98" i="17" s="1"/>
  <c r="X98" i="17" s="1"/>
  <c r="S98" i="17"/>
  <c r="C40" i="14"/>
  <c r="D40" i="14" s="1"/>
  <c r="O136" i="17" s="1"/>
  <c r="N136" i="17"/>
  <c r="C21" i="14"/>
  <c r="D21" i="14" s="1"/>
  <c r="O135" i="17" s="1"/>
  <c r="N135" i="17"/>
  <c r="C39" i="14"/>
  <c r="D39" i="14" s="1"/>
  <c r="O132" i="17" s="1"/>
  <c r="N132" i="17"/>
  <c r="C41" i="14"/>
  <c r="D41" i="14" s="1"/>
  <c r="O134" i="17" s="1"/>
  <c r="N134" i="17"/>
  <c r="L103" i="17"/>
  <c r="N103" i="17" s="1"/>
  <c r="L102" i="17"/>
  <c r="N102" i="17" s="1"/>
  <c r="C32" i="14"/>
  <c r="L7" i="17"/>
  <c r="C31" i="14" s="1"/>
  <c r="D31" i="14" s="1"/>
  <c r="O7" i="17" s="1"/>
  <c r="Q7" i="17" s="1"/>
  <c r="U10" i="17"/>
  <c r="V10" i="17" s="1"/>
  <c r="W10" i="17" s="1"/>
  <c r="X10" i="17" s="1"/>
  <c r="S10" i="17"/>
  <c r="C106" i="14"/>
  <c r="C98" i="14"/>
  <c r="C96" i="14"/>
  <c r="C104" i="14"/>
  <c r="N43" i="17"/>
  <c r="S43" i="17" s="1"/>
  <c r="C50" i="14"/>
  <c r="D50" i="14" s="1"/>
  <c r="C114" i="14"/>
  <c r="C110" i="14"/>
  <c r="C113" i="14"/>
  <c r="C109" i="14"/>
  <c r="C112" i="14"/>
  <c r="D112" i="14" s="1"/>
  <c r="C111" i="14"/>
  <c r="C117" i="14"/>
  <c r="C116" i="14"/>
  <c r="C122" i="14"/>
  <c r="C121" i="14"/>
  <c r="D28" i="14"/>
  <c r="O37" i="17" s="1"/>
  <c r="Q37" i="17" s="1"/>
  <c r="R37" i="17" s="1"/>
  <c r="N37" i="17"/>
  <c r="N71" i="17"/>
  <c r="N72" i="17"/>
  <c r="D87" i="14"/>
  <c r="O76" i="17" s="1"/>
  <c r="Q76" i="17" s="1"/>
  <c r="N7" i="17"/>
  <c r="U7" i="17" s="1"/>
  <c r="N143" i="17"/>
  <c r="D61" i="14"/>
  <c r="O143" i="17" s="1"/>
  <c r="U75" i="17"/>
  <c r="V75" i="17" s="1"/>
  <c r="W75" i="17" s="1"/>
  <c r="X75" i="17" s="1"/>
  <c r="S75" i="17"/>
  <c r="N144" i="17"/>
  <c r="N15" i="17"/>
  <c r="D15" i="14"/>
  <c r="O15" i="17" s="1"/>
  <c r="Q15" i="17" s="1"/>
  <c r="R15" i="17" s="1"/>
  <c r="D44" i="14"/>
  <c r="N26" i="17"/>
  <c r="N60" i="17"/>
  <c r="N42" i="17"/>
  <c r="N147" i="17"/>
  <c r="U55" i="17"/>
  <c r="V55" i="17" s="1"/>
  <c r="W55" i="17" s="1"/>
  <c r="X55" i="17" s="1"/>
  <c r="S55" i="17"/>
  <c r="N22" i="17"/>
  <c r="S74" i="17"/>
  <c r="U74" i="17"/>
  <c r="V74" i="17" s="1"/>
  <c r="W74" i="17" s="1"/>
  <c r="X74" i="17" s="1"/>
  <c r="N122" i="17"/>
  <c r="S107" i="17"/>
  <c r="U107" i="17"/>
  <c r="V107" i="17" s="1"/>
  <c r="W107" i="17" s="1"/>
  <c r="X107" i="17" s="1"/>
  <c r="S35" i="17"/>
  <c r="U35" i="17"/>
  <c r="V35" i="17" s="1"/>
  <c r="W35" i="17" s="1"/>
  <c r="X35" i="17" s="1"/>
  <c r="N83" i="17"/>
  <c r="S99" i="17"/>
  <c r="U99" i="17"/>
  <c r="V99" i="17" s="1"/>
  <c r="W99" i="17" s="1"/>
  <c r="X99" i="17" s="1"/>
  <c r="N19" i="17"/>
  <c r="D17" i="14"/>
  <c r="O19" i="17" s="1"/>
  <c r="Q19" i="17" s="1"/>
  <c r="N16" i="17"/>
  <c r="N84" i="17"/>
  <c r="S108" i="17"/>
  <c r="U108" i="17"/>
  <c r="V108" i="17" s="1"/>
  <c r="W108" i="17" s="1"/>
  <c r="X108" i="17" s="1"/>
  <c r="D18" i="14"/>
  <c r="O139" i="17" s="1"/>
  <c r="N139" i="17"/>
  <c r="N93" i="17"/>
  <c r="U67" i="17"/>
  <c r="V67" i="17" s="1"/>
  <c r="W67" i="17" s="1"/>
  <c r="X67" i="17" s="1"/>
  <c r="S67" i="17"/>
  <c r="D12" i="14"/>
  <c r="O9" i="17" s="1"/>
  <c r="Q9" i="17" s="1"/>
  <c r="N9" i="17"/>
  <c r="N65" i="17"/>
  <c r="S96" i="17"/>
  <c r="U96" i="17"/>
  <c r="V96" i="17" s="1"/>
  <c r="W96" i="17" s="1"/>
  <c r="X96" i="17" s="1"/>
  <c r="U32" i="17"/>
  <c r="V32" i="17" s="1"/>
  <c r="W32" i="17" s="1"/>
  <c r="X32" i="17" s="1"/>
  <c r="S32" i="17"/>
  <c r="N44" i="17"/>
  <c r="S69" i="17"/>
  <c r="U69" i="17"/>
  <c r="V69" i="17" s="1"/>
  <c r="W69" i="17" s="1"/>
  <c r="X69" i="17" s="1"/>
  <c r="N30" i="17"/>
  <c r="S109" i="17"/>
  <c r="U109" i="17"/>
  <c r="V109" i="17" s="1"/>
  <c r="W109" i="17" s="1"/>
  <c r="X109" i="17" s="1"/>
  <c r="S92" i="17"/>
  <c r="U92" i="17"/>
  <c r="V92" i="17" s="1"/>
  <c r="W92" i="17" s="1"/>
  <c r="X92" i="17" s="1"/>
  <c r="N13" i="17"/>
  <c r="D14" i="14"/>
  <c r="O13" i="17" s="1"/>
  <c r="Q13" i="17" s="1"/>
  <c r="N34" i="17"/>
  <c r="D26" i="14"/>
  <c r="O34" i="17" s="1"/>
  <c r="Q34" i="17" s="1"/>
  <c r="R34" i="17" s="1"/>
  <c r="N66" i="17"/>
  <c r="U85" i="17"/>
  <c r="V85" i="17" s="1"/>
  <c r="W85" i="17" s="1"/>
  <c r="X85" i="17" s="1"/>
  <c r="S85" i="17"/>
  <c r="S57" i="17"/>
  <c r="U57" i="17"/>
  <c r="V57" i="17" s="1"/>
  <c r="W57" i="17" s="1"/>
  <c r="X57" i="17" s="1"/>
  <c r="U86" i="17"/>
  <c r="V86" i="17" s="1"/>
  <c r="W86" i="17" s="1"/>
  <c r="X86" i="17" s="1"/>
  <c r="S86" i="17"/>
  <c r="U101" i="17"/>
  <c r="V101" i="17" s="1"/>
  <c r="W101" i="17" s="1"/>
  <c r="N21" i="17"/>
  <c r="U29" i="17"/>
  <c r="V29" i="17" s="1"/>
  <c r="W29" i="17" s="1"/>
  <c r="X29" i="17" s="1"/>
  <c r="S29" i="17"/>
  <c r="N137" i="17"/>
  <c r="D36" i="14"/>
  <c r="O137" i="17" s="1"/>
  <c r="N45" i="17"/>
  <c r="N31" i="17"/>
  <c r="D24" i="14"/>
  <c r="S38" i="17"/>
  <c r="U38" i="17"/>
  <c r="V38" i="17" s="1"/>
  <c r="W38" i="17" s="1"/>
  <c r="X38" i="17" s="1"/>
  <c r="U87" i="17"/>
  <c r="V87" i="17" s="1"/>
  <c r="W87" i="17" s="1"/>
  <c r="X87" i="17" s="1"/>
  <c r="S87" i="17"/>
  <c r="U73" i="17"/>
  <c r="V73" i="17" s="1"/>
  <c r="W73" i="17" s="1"/>
  <c r="X73" i="17" s="1"/>
  <c r="S73" i="17"/>
  <c r="D37" i="14"/>
  <c r="O138" i="17" s="1"/>
  <c r="N138" i="17"/>
  <c r="N116" i="17"/>
  <c r="U46" i="17"/>
  <c r="V46" i="17" s="1"/>
  <c r="W46" i="17" s="1"/>
  <c r="X46" i="17" s="1"/>
  <c r="S46" i="17"/>
  <c r="S95" i="17"/>
  <c r="U95" i="17"/>
  <c r="V95" i="17" s="1"/>
  <c r="W95" i="17" s="1"/>
  <c r="X95" i="17" s="1"/>
  <c r="S63" i="17"/>
  <c r="U63" i="17"/>
  <c r="V63" i="17" s="1"/>
  <c r="W63" i="17" s="1"/>
  <c r="X63" i="17" s="1"/>
  <c r="N118" i="17"/>
  <c r="S12" i="17"/>
  <c r="U12" i="17"/>
  <c r="V12" i="17" s="1"/>
  <c r="W12" i="17" s="1"/>
  <c r="X12" i="17" s="1"/>
  <c r="N14" i="17"/>
  <c r="S76" i="17"/>
  <c r="U76" i="17"/>
  <c r="V76" i="17" s="1"/>
  <c r="W76" i="17" s="1"/>
  <c r="X76" i="17" s="1"/>
  <c r="N33" i="17"/>
  <c r="S106" i="17"/>
  <c r="U106" i="17"/>
  <c r="V106" i="17" s="1"/>
  <c r="W106" i="17" s="1"/>
  <c r="X106" i="17" s="1"/>
  <c r="U123" i="17"/>
  <c r="V123" i="17" s="1"/>
  <c r="W123" i="17" s="1"/>
  <c r="X123" i="17" s="1"/>
  <c r="S123" i="17"/>
  <c r="U28" i="17"/>
  <c r="V28" i="17" s="1"/>
  <c r="W28" i="17" s="1"/>
  <c r="X28" i="17" s="1"/>
  <c r="S28" i="17"/>
  <c r="N90" i="17"/>
  <c r="S104" i="17"/>
  <c r="U104" i="17"/>
  <c r="V104" i="17" s="1"/>
  <c r="W104" i="17" s="1"/>
  <c r="X104" i="17" s="1"/>
  <c r="S81" i="17"/>
  <c r="U81" i="17"/>
  <c r="V81" i="17" s="1"/>
  <c r="W81" i="17" s="1"/>
  <c r="X81" i="17" s="1"/>
  <c r="N18" i="17"/>
  <c r="D19" i="14"/>
  <c r="O20" i="17" s="1"/>
  <c r="Q20" i="17" s="1"/>
  <c r="R20" i="17" s="1"/>
  <c r="N20" i="17"/>
  <c r="U62" i="17"/>
  <c r="V62" i="17" s="1"/>
  <c r="W62" i="17" s="1"/>
  <c r="X62" i="17" s="1"/>
  <c r="S62" i="17"/>
  <c r="D16" i="14"/>
  <c r="O17" i="17" s="1"/>
  <c r="Q17" i="17" s="1"/>
  <c r="R17" i="17" s="1"/>
  <c r="N17" i="17"/>
  <c r="N78" i="17"/>
  <c r="N39" i="17"/>
  <c r="D46" i="14"/>
  <c r="O39" i="17" s="1"/>
  <c r="Q39" i="17" s="1"/>
  <c r="S88" i="17"/>
  <c r="U88" i="17"/>
  <c r="V88" i="17" s="1"/>
  <c r="W88" i="17" s="1"/>
  <c r="X88" i="17" s="1"/>
  <c r="N59" i="17"/>
  <c r="S41" i="17"/>
  <c r="U41" i="17"/>
  <c r="V41" i="17" s="1"/>
  <c r="W41" i="17" s="1"/>
  <c r="X41" i="17" s="1"/>
  <c r="N52" i="17"/>
  <c r="N89" i="17"/>
  <c r="D13" i="14"/>
  <c r="O11" i="17" s="1"/>
  <c r="Q11" i="17" s="1"/>
  <c r="R11" i="17" s="1"/>
  <c r="N11" i="17"/>
  <c r="U91" i="17"/>
  <c r="V91" i="17" s="1"/>
  <c r="W91" i="17" s="1"/>
  <c r="X91" i="17" s="1"/>
  <c r="S91" i="17"/>
  <c r="U82" i="17"/>
  <c r="V82" i="17" s="1"/>
  <c r="W82" i="17" s="1"/>
  <c r="X82" i="17" s="1"/>
  <c r="S82" i="17"/>
  <c r="S97" i="17"/>
  <c r="U97" i="17"/>
  <c r="V97" i="17" s="1"/>
  <c r="W97" i="17" s="1"/>
  <c r="X97" i="17" s="1"/>
  <c r="U47" i="17"/>
  <c r="V47" i="17" s="1"/>
  <c r="W47" i="17" s="1"/>
  <c r="X47" i="17" s="1"/>
  <c r="S47" i="17"/>
  <c r="N27" i="17"/>
  <c r="D25" i="14"/>
  <c r="O27" i="17" s="1"/>
  <c r="Q27" i="17" s="1"/>
  <c r="N100" i="17"/>
  <c r="N36" i="17"/>
  <c r="D47" i="14"/>
  <c r="N140" i="17"/>
  <c r="D53" i="14"/>
  <c r="O140" i="17" s="1"/>
  <c r="N48" i="17"/>
  <c r="N119" i="17"/>
  <c r="D97" i="14"/>
  <c r="N110" i="17"/>
  <c r="S79" i="17"/>
  <c r="U79" i="17"/>
  <c r="V79" i="17" s="1"/>
  <c r="W79" i="17" s="1"/>
  <c r="X79" i="17" s="1"/>
  <c r="N142" i="17"/>
  <c r="N49" i="17"/>
  <c r="D27" i="14"/>
  <c r="O40" i="17" s="1"/>
  <c r="Q40" i="17" s="1"/>
  <c r="R40" i="17" s="1"/>
  <c r="N40" i="17"/>
  <c r="N146" i="17"/>
  <c r="D105" i="14"/>
  <c r="N115" i="17"/>
  <c r="N111" i="17"/>
  <c r="U80" i="17"/>
  <c r="V80" i="17" s="1"/>
  <c r="W80" i="17" s="1"/>
  <c r="X80" i="17" s="1"/>
  <c r="S80" i="17"/>
  <c r="S24" i="17"/>
  <c r="U24" i="17"/>
  <c r="V24" i="17" s="1"/>
  <c r="W24" i="17" s="1"/>
  <c r="X24" i="17" s="1"/>
  <c r="S121" i="17"/>
  <c r="U121" i="17"/>
  <c r="V121" i="17" s="1"/>
  <c r="W121" i="17" s="1"/>
  <c r="X121" i="17" s="1"/>
  <c r="N105" i="17"/>
  <c r="S61" i="17"/>
  <c r="U61" i="17"/>
  <c r="V61" i="17" s="1"/>
  <c r="W61" i="17" s="1"/>
  <c r="X61" i="17" s="1"/>
  <c r="D95" i="14"/>
  <c r="N117" i="17"/>
  <c r="N53" i="17"/>
  <c r="N114" i="17"/>
  <c r="U58" i="17"/>
  <c r="V58" i="17" s="1"/>
  <c r="W58" i="17" s="1"/>
  <c r="X58" i="17" s="1"/>
  <c r="S58" i="17"/>
  <c r="U64" i="17"/>
  <c r="V64" i="17" s="1"/>
  <c r="W64" i="17" s="1"/>
  <c r="X64" i="17" s="1"/>
  <c r="S64" i="17"/>
  <c r="D103" i="14"/>
  <c r="O145" i="17" s="1"/>
  <c r="N145" i="17"/>
  <c r="D23" i="14"/>
  <c r="N23" i="17"/>
  <c r="N112" i="17"/>
  <c r="S56" i="17"/>
  <c r="U56" i="17"/>
  <c r="V56" i="17" s="1"/>
  <c r="W56" i="17" s="1"/>
  <c r="X56" i="17" s="1"/>
  <c r="N77" i="17"/>
  <c r="S68" i="17"/>
  <c r="U68" i="17"/>
  <c r="V68" i="17" s="1"/>
  <c r="W68" i="17" s="1"/>
  <c r="X68" i="17" s="1"/>
  <c r="S94" i="17"/>
  <c r="U94" i="17"/>
  <c r="V94" i="17" s="1"/>
  <c r="W94" i="17" s="1"/>
  <c r="X94" i="17" s="1"/>
  <c r="S54" i="17"/>
  <c r="U54" i="17"/>
  <c r="V54" i="17" s="1"/>
  <c r="W54" i="17" s="1"/>
  <c r="X54" i="17" s="1"/>
  <c r="U70" i="17"/>
  <c r="V70" i="17" s="1"/>
  <c r="W70" i="17" s="1"/>
  <c r="X70" i="17" s="1"/>
  <c r="S70" i="17"/>
  <c r="N141" i="17"/>
  <c r="D58" i="14"/>
  <c r="O141" i="17" s="1"/>
  <c r="D35" i="14"/>
  <c r="O18" i="17" s="1"/>
  <c r="D89" i="14"/>
  <c r="D81" i="14"/>
  <c r="D33" i="14"/>
  <c r="O14" i="17" s="1"/>
  <c r="D45" i="14"/>
  <c r="D8" i="14"/>
  <c r="D51" i="14"/>
  <c r="O48" i="17" s="1"/>
  <c r="D65" i="14"/>
  <c r="D32" i="14"/>
  <c r="O10" i="17" s="1"/>
  <c r="Q10" i="17" s="1"/>
  <c r="D79" i="14"/>
  <c r="O75" i="17" s="1"/>
  <c r="Q75" i="17" s="1"/>
  <c r="D52" i="14"/>
  <c r="D42" i="14"/>
  <c r="O25" i="17" s="1"/>
  <c r="Q25" i="17" s="1"/>
  <c r="D34" i="14"/>
  <c r="O16" i="17" s="1"/>
  <c r="D54" i="14"/>
  <c r="O42" i="17" s="1"/>
  <c r="D38" i="14"/>
  <c r="O21" i="17" s="1"/>
  <c r="D43" i="14"/>
  <c r="S102" i="17" l="1"/>
  <c r="U102" i="17"/>
  <c r="V102" i="17" s="1"/>
  <c r="W102" i="17" s="1"/>
  <c r="X102" i="17" s="1"/>
  <c r="S103" i="17"/>
  <c r="U103" i="17"/>
  <c r="V103" i="17" s="1"/>
  <c r="W103" i="17" s="1"/>
  <c r="X103" i="17" s="1"/>
  <c r="X101" i="17"/>
  <c r="U43" i="17"/>
  <c r="V43" i="17" s="1"/>
  <c r="W43" i="17" s="1"/>
  <c r="X43" i="17" s="1"/>
  <c r="R25" i="17"/>
  <c r="T25" i="17"/>
  <c r="T10" i="17"/>
  <c r="R10" i="17"/>
  <c r="O146" i="17"/>
  <c r="O113" i="17"/>
  <c r="Q113" i="17" s="1"/>
  <c r="O8" i="17"/>
  <c r="Q8" i="17" s="1"/>
  <c r="O41" i="17"/>
  <c r="Q41" i="17" s="1"/>
  <c r="T41" i="17" s="1"/>
  <c r="S112" i="17"/>
  <c r="U112" i="17"/>
  <c r="V112" i="17" s="1"/>
  <c r="W112" i="17" s="1"/>
  <c r="X112" i="17" s="1"/>
  <c r="U40" i="17"/>
  <c r="V40" i="17" s="1"/>
  <c r="W40" i="17" s="1"/>
  <c r="X40" i="17" s="1"/>
  <c r="S40" i="17"/>
  <c r="T40" i="17" s="1"/>
  <c r="S27" i="17"/>
  <c r="T27" i="17" s="1"/>
  <c r="U27" i="17"/>
  <c r="V27" i="17" s="1"/>
  <c r="W27" i="17" s="1"/>
  <c r="X27" i="17" s="1"/>
  <c r="U78" i="17"/>
  <c r="V78" i="17" s="1"/>
  <c r="W78" i="17" s="1"/>
  <c r="X78" i="17" s="1"/>
  <c r="S78" i="17"/>
  <c r="S31" i="17"/>
  <c r="U31" i="17"/>
  <c r="V31" i="17" s="1"/>
  <c r="W31" i="17" s="1"/>
  <c r="X31" i="17" s="1"/>
  <c r="S21" i="17"/>
  <c r="U21" i="17"/>
  <c r="V21" i="17" s="1"/>
  <c r="W21" i="17" s="1"/>
  <c r="X21" i="17" s="1"/>
  <c r="S13" i="17"/>
  <c r="T13" i="17" s="1"/>
  <c r="U13" i="17"/>
  <c r="V13" i="17" s="1"/>
  <c r="W13" i="17" s="1"/>
  <c r="X13" i="17" s="1"/>
  <c r="S16" i="17"/>
  <c r="U16" i="17"/>
  <c r="V16" i="17" s="1"/>
  <c r="W16" i="17" s="1"/>
  <c r="X16" i="17" s="1"/>
  <c r="U42" i="17"/>
  <c r="V42" i="17" s="1"/>
  <c r="W42" i="17" s="1"/>
  <c r="X42" i="17" s="1"/>
  <c r="S42" i="17"/>
  <c r="U26" i="17"/>
  <c r="V26" i="17" s="1"/>
  <c r="W26" i="17" s="1"/>
  <c r="X26" i="17" s="1"/>
  <c r="S26" i="17"/>
  <c r="S37" i="17"/>
  <c r="T37" i="17" s="1"/>
  <c r="U37" i="17"/>
  <c r="V37" i="17" s="1"/>
  <c r="W37" i="17" s="1"/>
  <c r="X37" i="17" s="1"/>
  <c r="S117" i="17"/>
  <c r="U117" i="17"/>
  <c r="V117" i="17" s="1"/>
  <c r="W117" i="17" s="1"/>
  <c r="X117" i="17" s="1"/>
  <c r="U115" i="17"/>
  <c r="V115" i="17" s="1"/>
  <c r="W115" i="17" s="1"/>
  <c r="X115" i="17" s="1"/>
  <c r="S115" i="17"/>
  <c r="S100" i="17"/>
  <c r="U100" i="17"/>
  <c r="V100" i="17" s="1"/>
  <c r="W100" i="17" s="1"/>
  <c r="X100" i="17" s="1"/>
  <c r="S11" i="17"/>
  <c r="T11" i="17" s="1"/>
  <c r="U11" i="17"/>
  <c r="V11" i="17" s="1"/>
  <c r="W11" i="17" s="1"/>
  <c r="X11" i="17" s="1"/>
  <c r="S17" i="17"/>
  <c r="T17" i="17" s="1"/>
  <c r="U17" i="17"/>
  <c r="V17" i="17" s="1"/>
  <c r="W17" i="17" s="1"/>
  <c r="X17" i="17" s="1"/>
  <c r="U20" i="17"/>
  <c r="V20" i="17" s="1"/>
  <c r="W20" i="17" s="1"/>
  <c r="X20" i="17" s="1"/>
  <c r="S20" i="17"/>
  <c r="T20" i="17" s="1"/>
  <c r="S18" i="17"/>
  <c r="U18" i="17"/>
  <c r="V18" i="17" s="1"/>
  <c r="W18" i="17" s="1"/>
  <c r="X18" i="17" s="1"/>
  <c r="U90" i="17"/>
  <c r="V90" i="17" s="1"/>
  <c r="W90" i="17" s="1"/>
  <c r="X90" i="17" s="1"/>
  <c r="S90" i="17"/>
  <c r="U33" i="17"/>
  <c r="V33" i="17" s="1"/>
  <c r="W33" i="17" s="1"/>
  <c r="X33" i="17" s="1"/>
  <c r="S33" i="17"/>
  <c r="S14" i="17"/>
  <c r="U14" i="17"/>
  <c r="V14" i="17" s="1"/>
  <c r="W14" i="17" s="1"/>
  <c r="X14" i="17" s="1"/>
  <c r="U116" i="17"/>
  <c r="V116" i="17" s="1"/>
  <c r="W116" i="17" s="1"/>
  <c r="X116" i="17" s="1"/>
  <c r="S116" i="17"/>
  <c r="S45" i="17"/>
  <c r="U45" i="17"/>
  <c r="V45" i="17" s="1"/>
  <c r="W45" i="17" s="1"/>
  <c r="X45" i="17" s="1"/>
  <c r="S30" i="17"/>
  <c r="U30" i="17"/>
  <c r="V30" i="17" s="1"/>
  <c r="W30" i="17" s="1"/>
  <c r="X30" i="17" s="1"/>
  <c r="S72" i="17"/>
  <c r="U72" i="17"/>
  <c r="V72" i="17" s="1"/>
  <c r="W72" i="17" s="1"/>
  <c r="X72" i="17" s="1"/>
  <c r="U23" i="17"/>
  <c r="V23" i="17" s="1"/>
  <c r="W23" i="17" s="1"/>
  <c r="X23" i="17" s="1"/>
  <c r="S23" i="17"/>
  <c r="U110" i="17"/>
  <c r="V110" i="17" s="1"/>
  <c r="W110" i="17" s="1"/>
  <c r="X110" i="17" s="1"/>
  <c r="S110" i="17"/>
  <c r="S119" i="17"/>
  <c r="U119" i="17"/>
  <c r="V119" i="17" s="1"/>
  <c r="W119" i="17" s="1"/>
  <c r="X119" i="17" s="1"/>
  <c r="O23" i="17"/>
  <c r="Q23" i="17" s="1"/>
  <c r="R23" i="17" s="1"/>
  <c r="U114" i="17"/>
  <c r="V114" i="17" s="1"/>
  <c r="W114" i="17" s="1"/>
  <c r="X114" i="17" s="1"/>
  <c r="S114" i="17"/>
  <c r="U111" i="17"/>
  <c r="V111" i="17" s="1"/>
  <c r="W111" i="17" s="1"/>
  <c r="X111" i="17" s="1"/>
  <c r="S111" i="17"/>
  <c r="U49" i="17"/>
  <c r="V49" i="17" s="1"/>
  <c r="W49" i="17" s="1"/>
  <c r="X49" i="17" s="1"/>
  <c r="S49" i="17"/>
  <c r="U52" i="17"/>
  <c r="V52" i="17" s="1"/>
  <c r="S52" i="17"/>
  <c r="S59" i="17"/>
  <c r="U59" i="17"/>
  <c r="V59" i="17" s="1"/>
  <c r="W59" i="17" s="1"/>
  <c r="X59" i="17" s="1"/>
  <c r="S39" i="17"/>
  <c r="T39" i="17" s="1"/>
  <c r="U39" i="17"/>
  <c r="V39" i="17" s="1"/>
  <c r="W39" i="17" s="1"/>
  <c r="X39" i="17" s="1"/>
  <c r="S118" i="17"/>
  <c r="U118" i="17"/>
  <c r="V118" i="17" s="1"/>
  <c r="W118" i="17" s="1"/>
  <c r="X118" i="17" s="1"/>
  <c r="S34" i="17"/>
  <c r="T34" i="17" s="1"/>
  <c r="U34" i="17"/>
  <c r="V34" i="17" s="1"/>
  <c r="W34" i="17" s="1"/>
  <c r="X34" i="17" s="1"/>
  <c r="S44" i="17"/>
  <c r="U44" i="17"/>
  <c r="V44" i="17" s="1"/>
  <c r="W44" i="17" s="1"/>
  <c r="X44" i="17" s="1"/>
  <c r="S65" i="17"/>
  <c r="U65" i="17"/>
  <c r="V65" i="17" s="1"/>
  <c r="W65" i="17" s="1"/>
  <c r="X65" i="17" s="1"/>
  <c r="U84" i="17"/>
  <c r="V84" i="17" s="1"/>
  <c r="W84" i="17" s="1"/>
  <c r="X84" i="17" s="1"/>
  <c r="S84" i="17"/>
  <c r="R19" i="17"/>
  <c r="U22" i="17"/>
  <c r="V22" i="17" s="1"/>
  <c r="W22" i="17" s="1"/>
  <c r="X22" i="17" s="1"/>
  <c r="S22" i="17"/>
  <c r="S60" i="17"/>
  <c r="U60" i="17"/>
  <c r="V60" i="17" s="1"/>
  <c r="W60" i="17" s="1"/>
  <c r="X60" i="17" s="1"/>
  <c r="U71" i="17"/>
  <c r="V71" i="17" s="1"/>
  <c r="W71" i="17" s="1"/>
  <c r="X71" i="17" s="1"/>
  <c r="S71" i="17"/>
  <c r="U77" i="17"/>
  <c r="V77" i="17" s="1"/>
  <c r="W77" i="17" s="1"/>
  <c r="X77" i="17" s="1"/>
  <c r="S77" i="17"/>
  <c r="S53" i="17"/>
  <c r="U53" i="17"/>
  <c r="V53" i="17" s="1"/>
  <c r="W53" i="17" s="1"/>
  <c r="X53" i="17" s="1"/>
  <c r="S105" i="17"/>
  <c r="U105" i="17"/>
  <c r="V105" i="17" s="1"/>
  <c r="W105" i="17" s="1"/>
  <c r="X105" i="17" s="1"/>
  <c r="S48" i="17"/>
  <c r="U48" i="17"/>
  <c r="V48" i="17" s="1"/>
  <c r="W48" i="17" s="1"/>
  <c r="X48" i="17" s="1"/>
  <c r="U36" i="17"/>
  <c r="V36" i="17" s="1"/>
  <c r="W36" i="17" s="1"/>
  <c r="X36" i="17" s="1"/>
  <c r="S36" i="17"/>
  <c r="R27" i="17"/>
  <c r="U89" i="17"/>
  <c r="V89" i="17" s="1"/>
  <c r="W89" i="17" s="1"/>
  <c r="X89" i="17" s="1"/>
  <c r="S89" i="17"/>
  <c r="O31" i="17"/>
  <c r="Q31" i="17" s="1"/>
  <c r="S66" i="17"/>
  <c r="U66" i="17"/>
  <c r="V66" i="17" s="1"/>
  <c r="W66" i="17" s="1"/>
  <c r="X66" i="17" s="1"/>
  <c r="R13" i="17"/>
  <c r="S9" i="17"/>
  <c r="T9" i="17" s="1"/>
  <c r="U9" i="17"/>
  <c r="V9" i="17" s="1"/>
  <c r="W9" i="17" s="1"/>
  <c r="X9" i="17" s="1"/>
  <c r="S93" i="17"/>
  <c r="U93" i="17"/>
  <c r="V93" i="17" s="1"/>
  <c r="W93" i="17" s="1"/>
  <c r="X93" i="17" s="1"/>
  <c r="U19" i="17"/>
  <c r="V19" i="17" s="1"/>
  <c r="W19" i="17" s="1"/>
  <c r="X19" i="17" s="1"/>
  <c r="S19" i="17"/>
  <c r="T19" i="17" s="1"/>
  <c r="S83" i="17"/>
  <c r="U83" i="17"/>
  <c r="V83" i="17" s="1"/>
  <c r="W83" i="17" s="1"/>
  <c r="X83" i="17" s="1"/>
  <c r="S122" i="17"/>
  <c r="U122" i="17"/>
  <c r="V122" i="17" s="1"/>
  <c r="W122" i="17" s="1"/>
  <c r="X122" i="17" s="1"/>
  <c r="U15" i="17"/>
  <c r="V15" i="17" s="1"/>
  <c r="W15" i="17" s="1"/>
  <c r="X15" i="17" s="1"/>
  <c r="S15" i="17"/>
  <c r="T15" i="17" s="1"/>
  <c r="V7" i="17"/>
  <c r="S7" i="17"/>
  <c r="O95" i="17"/>
  <c r="Q95" i="17" s="1"/>
  <c r="O94" i="17"/>
  <c r="Q94" i="17" s="1"/>
  <c r="O93" i="17"/>
  <c r="Q93" i="17" s="1"/>
  <c r="O117" i="17"/>
  <c r="Q117" i="17" s="1"/>
  <c r="O119" i="17"/>
  <c r="Q119" i="17" s="1"/>
  <c r="O88" i="17"/>
  <c r="Q88" i="17" s="1"/>
  <c r="O86" i="17"/>
  <c r="Q86" i="17" s="1"/>
  <c r="O84" i="17"/>
  <c r="Q84" i="17" s="1"/>
  <c r="O87" i="17"/>
  <c r="Q87" i="17" s="1"/>
  <c r="O83" i="17"/>
  <c r="Q83" i="17" s="1"/>
  <c r="O85" i="17"/>
  <c r="Q85" i="17" s="1"/>
  <c r="R75" i="17"/>
  <c r="T75" i="17"/>
  <c r="R76" i="17"/>
  <c r="T76" i="17"/>
  <c r="O71" i="17"/>
  <c r="Q71" i="17" s="1"/>
  <c r="O73" i="17"/>
  <c r="Q73" i="17" s="1"/>
  <c r="O72" i="17"/>
  <c r="Q72" i="17" s="1"/>
  <c r="O74" i="17"/>
  <c r="Q74" i="17" s="1"/>
  <c r="O12" i="17"/>
  <c r="Q12" i="17" s="1"/>
  <c r="O28" i="17"/>
  <c r="Q28" i="17" s="1"/>
  <c r="O29" i="17"/>
  <c r="Q29" i="17" s="1"/>
  <c r="O26" i="17"/>
  <c r="Q26" i="17" s="1"/>
  <c r="O35" i="17"/>
  <c r="Q35" i="17" s="1"/>
  <c r="O33" i="17"/>
  <c r="Q33" i="17" s="1"/>
  <c r="O32" i="17"/>
  <c r="Q32" i="17" s="1"/>
  <c r="O30" i="17"/>
  <c r="Q30" i="17" s="1"/>
  <c r="O38" i="17"/>
  <c r="Q38" i="17" s="1"/>
  <c r="O36" i="17"/>
  <c r="Q36" i="17" s="1"/>
  <c r="O47" i="17"/>
  <c r="Q47" i="17" s="1"/>
  <c r="O46" i="17"/>
  <c r="Q46" i="17" s="1"/>
  <c r="O43" i="17"/>
  <c r="Q43" i="17" s="1"/>
  <c r="O24" i="17"/>
  <c r="Q24" i="17" s="1"/>
  <c r="O22" i="17"/>
  <c r="Q22" i="17" s="1"/>
  <c r="O44" i="17"/>
  <c r="Q44" i="17" s="1"/>
  <c r="O49" i="17"/>
  <c r="Q49" i="17" s="1"/>
  <c r="Q16" i="17"/>
  <c r="Q18" i="17"/>
  <c r="R39" i="17"/>
  <c r="Q21" i="17"/>
  <c r="Q42" i="17"/>
  <c r="Q48" i="17"/>
  <c r="Q14" i="17"/>
  <c r="R7" i="17"/>
  <c r="R9" i="17"/>
  <c r="D57" i="14"/>
  <c r="O122" i="17" s="1"/>
  <c r="Q122" i="17" s="1"/>
  <c r="D59" i="14"/>
  <c r="D117" i="14"/>
  <c r="D116" i="14"/>
  <c r="D84" i="14"/>
  <c r="D92" i="14"/>
  <c r="D100" i="14"/>
  <c r="O110" i="17" s="1"/>
  <c r="Q110" i="17" s="1"/>
  <c r="D76" i="14"/>
  <c r="D122" i="14"/>
  <c r="D109" i="14"/>
  <c r="O96" i="17" s="1"/>
  <c r="Q96" i="17" s="1"/>
  <c r="D82" i="14"/>
  <c r="D98" i="14"/>
  <c r="D90" i="14"/>
  <c r="D106" i="14"/>
  <c r="O147" i="17" s="1"/>
  <c r="D62" i="14"/>
  <c r="O144" i="17" s="1"/>
  <c r="D60" i="14"/>
  <c r="D101" i="14"/>
  <c r="O111" i="17" s="1"/>
  <c r="Q111" i="17" s="1"/>
  <c r="D85" i="14"/>
  <c r="D93" i="14"/>
  <c r="D77" i="14"/>
  <c r="D86" i="14"/>
  <c r="D78" i="14"/>
  <c r="D102" i="14"/>
  <c r="O112" i="17" s="1"/>
  <c r="Q112" i="17" s="1"/>
  <c r="D94" i="14"/>
  <c r="D96" i="14"/>
  <c r="D88" i="14"/>
  <c r="D104" i="14"/>
  <c r="D80" i="14"/>
  <c r="T7" i="17" l="1"/>
  <c r="S51" i="17"/>
  <c r="S126" i="17"/>
  <c r="R41" i="17"/>
  <c r="T113" i="17"/>
  <c r="R113" i="17"/>
  <c r="T8" i="17"/>
  <c r="R8" i="17"/>
  <c r="T72" i="17"/>
  <c r="O142" i="17"/>
  <c r="O50" i="17"/>
  <c r="Q50" i="17" s="1"/>
  <c r="T71" i="17"/>
  <c r="T31" i="17"/>
  <c r="R31" i="17"/>
  <c r="W7" i="17"/>
  <c r="W51" i="17" s="1"/>
  <c r="V51" i="17"/>
  <c r="T23" i="17"/>
  <c r="W52" i="17"/>
  <c r="W126" i="17" s="1"/>
  <c r="X126" i="17" s="1"/>
  <c r="V126" i="17"/>
  <c r="O107" i="17"/>
  <c r="Q107" i="17" s="1"/>
  <c r="O104" i="17"/>
  <c r="Q104" i="17" s="1"/>
  <c r="R71" i="17"/>
  <c r="O123" i="17"/>
  <c r="Q123" i="17" s="1"/>
  <c r="R123" i="17" s="1"/>
  <c r="O121" i="17"/>
  <c r="Q121" i="17" s="1"/>
  <c r="R122" i="17"/>
  <c r="T122" i="17"/>
  <c r="O100" i="17"/>
  <c r="Q100" i="17" s="1"/>
  <c r="O101" i="17"/>
  <c r="Q101" i="17" s="1"/>
  <c r="R101" i="17" s="1"/>
  <c r="O103" i="17"/>
  <c r="Q103" i="17" s="1"/>
  <c r="O102" i="17"/>
  <c r="Q102" i="17" s="1"/>
  <c r="R94" i="17"/>
  <c r="T94" i="17"/>
  <c r="R93" i="17"/>
  <c r="T93" i="17"/>
  <c r="R95" i="17"/>
  <c r="T95" i="17"/>
  <c r="O109" i="17"/>
  <c r="Q109" i="17" s="1"/>
  <c r="O106" i="17"/>
  <c r="Q106" i="17" s="1"/>
  <c r="O108" i="17"/>
  <c r="Q108" i="17" s="1"/>
  <c r="O105" i="17"/>
  <c r="Q105" i="17" s="1"/>
  <c r="R112" i="17"/>
  <c r="T112" i="17"/>
  <c r="R111" i="17"/>
  <c r="T111" i="17"/>
  <c r="R110" i="17"/>
  <c r="T110" i="17"/>
  <c r="R119" i="17"/>
  <c r="T119" i="17"/>
  <c r="T117" i="17"/>
  <c r="R117" i="17"/>
  <c r="O118" i="17"/>
  <c r="Q118" i="17" s="1"/>
  <c r="O116" i="17"/>
  <c r="Q116" i="17" s="1"/>
  <c r="T116" i="17" s="1"/>
  <c r="O115" i="17"/>
  <c r="Q115" i="17" s="1"/>
  <c r="O114" i="17"/>
  <c r="Q114" i="17" s="1"/>
  <c r="O90" i="17"/>
  <c r="Q90" i="17" s="1"/>
  <c r="O92" i="17"/>
  <c r="Q92" i="17" s="1"/>
  <c r="O89" i="17"/>
  <c r="Q89" i="17" s="1"/>
  <c r="O91" i="17"/>
  <c r="Q91" i="17" s="1"/>
  <c r="R84" i="17"/>
  <c r="T84" i="17"/>
  <c r="R86" i="17"/>
  <c r="T86" i="17"/>
  <c r="R88" i="17"/>
  <c r="T88" i="17"/>
  <c r="R85" i="17"/>
  <c r="T85" i="17"/>
  <c r="R83" i="17"/>
  <c r="T83" i="17"/>
  <c r="R87" i="17"/>
  <c r="T87" i="17"/>
  <c r="O82" i="17"/>
  <c r="Q82" i="17" s="1"/>
  <c r="O80" i="17"/>
  <c r="Q80" i="17" s="1"/>
  <c r="O78" i="17"/>
  <c r="Q78" i="17" s="1"/>
  <c r="O81" i="17"/>
  <c r="Q81" i="17" s="1"/>
  <c r="O77" i="17"/>
  <c r="Q77" i="17" s="1"/>
  <c r="O79" i="17"/>
  <c r="Q79" i="17" s="1"/>
  <c r="R72" i="17"/>
  <c r="R73" i="17"/>
  <c r="T73" i="17"/>
  <c r="R74" i="17"/>
  <c r="T74" i="17"/>
  <c r="O65" i="17"/>
  <c r="Q65" i="17" s="1"/>
  <c r="O67" i="17"/>
  <c r="Q67" i="17" s="1"/>
  <c r="O69" i="17"/>
  <c r="Q69" i="17" s="1"/>
  <c r="O58" i="17"/>
  <c r="Q58" i="17" s="1"/>
  <c r="O59" i="17"/>
  <c r="Q59" i="17" s="1"/>
  <c r="O63" i="17"/>
  <c r="Q63" i="17" s="1"/>
  <c r="O61" i="17"/>
  <c r="Q61" i="17" s="1"/>
  <c r="O55" i="17"/>
  <c r="Q55" i="17" s="1"/>
  <c r="O53" i="17"/>
  <c r="Q53" i="17" s="1"/>
  <c r="R53" i="17" s="1"/>
  <c r="O57" i="17"/>
  <c r="Q57" i="17" s="1"/>
  <c r="O54" i="17"/>
  <c r="Q54" i="17" s="1"/>
  <c r="O52" i="17"/>
  <c r="Q52" i="17" s="1"/>
  <c r="O56" i="17"/>
  <c r="Q56" i="17" s="1"/>
  <c r="O62" i="17"/>
  <c r="Q62" i="17" s="1"/>
  <c r="O60" i="17"/>
  <c r="Q60" i="17" s="1"/>
  <c r="O64" i="17"/>
  <c r="Q64" i="17" s="1"/>
  <c r="O66" i="17"/>
  <c r="Q66" i="17" s="1"/>
  <c r="O70" i="17"/>
  <c r="Q70" i="17" s="1"/>
  <c r="O68" i="17"/>
  <c r="Q68" i="17" s="1"/>
  <c r="O45" i="17"/>
  <c r="Q45" i="17" s="1"/>
  <c r="R49" i="17"/>
  <c r="T49" i="17"/>
  <c r="T22" i="17"/>
  <c r="R22" i="17"/>
  <c r="R43" i="17"/>
  <c r="T43" i="17"/>
  <c r="R14" i="17"/>
  <c r="T14" i="17"/>
  <c r="R30" i="17"/>
  <c r="T30" i="17"/>
  <c r="R21" i="17"/>
  <c r="T21" i="17"/>
  <c r="R47" i="17"/>
  <c r="T47" i="17"/>
  <c r="R38" i="17"/>
  <c r="T38" i="17"/>
  <c r="R18" i="17"/>
  <c r="T18" i="17"/>
  <c r="R33" i="17"/>
  <c r="T33" i="17"/>
  <c r="R26" i="17"/>
  <c r="T26" i="17"/>
  <c r="T48" i="17"/>
  <c r="R48" i="17"/>
  <c r="R29" i="17"/>
  <c r="T29" i="17"/>
  <c r="R12" i="17"/>
  <c r="T12" i="17"/>
  <c r="R16" i="17"/>
  <c r="T16" i="17"/>
  <c r="R44" i="17"/>
  <c r="T44" i="17"/>
  <c r="R42" i="17"/>
  <c r="T42" i="17"/>
  <c r="R32" i="17"/>
  <c r="T32" i="17"/>
  <c r="R24" i="17"/>
  <c r="T24" i="17"/>
  <c r="T46" i="17"/>
  <c r="R46" i="17"/>
  <c r="R36" i="17"/>
  <c r="T36" i="17"/>
  <c r="R35" i="17"/>
  <c r="T35" i="17"/>
  <c r="R28" i="17"/>
  <c r="T28" i="17"/>
  <c r="D110" i="14"/>
  <c r="Q51" i="17" l="1"/>
  <c r="T51" i="17" s="1"/>
  <c r="S127" i="17"/>
  <c r="T50" i="17"/>
  <c r="R50" i="17"/>
  <c r="R103" i="17"/>
  <c r="T103" i="17"/>
  <c r="X7" i="17"/>
  <c r="V127" i="17"/>
  <c r="X52" i="17"/>
  <c r="O99" i="17"/>
  <c r="Q99" i="17" s="1"/>
  <c r="T123" i="17"/>
  <c r="R121" i="17"/>
  <c r="T121" i="17"/>
  <c r="T101" i="17"/>
  <c r="R100" i="17"/>
  <c r="T100" i="17"/>
  <c r="R102" i="17"/>
  <c r="T102" i="17"/>
  <c r="R104" i="17"/>
  <c r="T104" i="17"/>
  <c r="R107" i="17"/>
  <c r="T107" i="17"/>
  <c r="R108" i="17"/>
  <c r="T108" i="17"/>
  <c r="R105" i="17"/>
  <c r="T105" i="17"/>
  <c r="R106" i="17"/>
  <c r="T106" i="17"/>
  <c r="R109" i="17"/>
  <c r="T109" i="17"/>
  <c r="R118" i="17"/>
  <c r="T118" i="17"/>
  <c r="R116" i="17"/>
  <c r="R115" i="17"/>
  <c r="T115" i="17"/>
  <c r="R114" i="17"/>
  <c r="T114" i="17"/>
  <c r="R92" i="17"/>
  <c r="T92" i="17"/>
  <c r="R90" i="17"/>
  <c r="T90" i="17"/>
  <c r="R91" i="17"/>
  <c r="T91" i="17"/>
  <c r="R89" i="17"/>
  <c r="T89" i="17"/>
  <c r="R78" i="17"/>
  <c r="T78" i="17"/>
  <c r="R80" i="17"/>
  <c r="T80" i="17"/>
  <c r="R82" i="17"/>
  <c r="T82" i="17"/>
  <c r="R79" i="17"/>
  <c r="T79" i="17"/>
  <c r="R77" i="17"/>
  <c r="T77" i="17"/>
  <c r="R81" i="17"/>
  <c r="T81" i="17"/>
  <c r="R68" i="17"/>
  <c r="T68" i="17"/>
  <c r="R58" i="17"/>
  <c r="T58" i="17"/>
  <c r="R60" i="17"/>
  <c r="T60" i="17"/>
  <c r="R54" i="17"/>
  <c r="T54" i="17"/>
  <c r="R70" i="17"/>
  <c r="T70" i="17"/>
  <c r="R62" i="17"/>
  <c r="T62" i="17"/>
  <c r="R57" i="17"/>
  <c r="T57" i="17"/>
  <c r="R61" i="17"/>
  <c r="T61" i="17"/>
  <c r="R69" i="17"/>
  <c r="T69" i="17"/>
  <c r="T53" i="17"/>
  <c r="R66" i="17"/>
  <c r="T66" i="17"/>
  <c r="R56" i="17"/>
  <c r="T56" i="17"/>
  <c r="R63" i="17"/>
  <c r="T63" i="17"/>
  <c r="R67" i="17"/>
  <c r="T67" i="17"/>
  <c r="R64" i="17"/>
  <c r="T64" i="17"/>
  <c r="R52" i="17"/>
  <c r="T52" i="17"/>
  <c r="R55" i="17"/>
  <c r="T55" i="17"/>
  <c r="R59" i="17"/>
  <c r="T59" i="17"/>
  <c r="R65" i="17"/>
  <c r="T65" i="17"/>
  <c r="R45" i="17"/>
  <c r="T45" i="17"/>
  <c r="D111" i="14"/>
  <c r="O98" i="17" s="1"/>
  <c r="Q98" i="17" s="1"/>
  <c r="R51" i="17" l="1"/>
  <c r="E160" i="17" s="1"/>
  <c r="T98" i="17"/>
  <c r="R98" i="17"/>
  <c r="W127" i="17"/>
  <c r="O97" i="17"/>
  <c r="Q97" i="17" s="1"/>
  <c r="R99" i="17"/>
  <c r="T99" i="17"/>
  <c r="D113" i="14"/>
  <c r="O120" i="17" s="1"/>
  <c r="Q120" i="17" s="1"/>
  <c r="D114" i="14"/>
  <c r="F160" i="17" l="1"/>
  <c r="Q126" i="17"/>
  <c r="Q127" i="17" s="1"/>
  <c r="T120" i="17"/>
  <c r="R120" i="17"/>
  <c r="R97" i="17"/>
  <c r="T97" i="17"/>
  <c r="R96" i="17"/>
  <c r="T96" i="17"/>
  <c r="T126" i="17" l="1"/>
  <c r="T127" i="17" s="1"/>
  <c r="R126" i="17"/>
  <c r="F161" i="17" s="1"/>
  <c r="AS4" i="18"/>
  <c r="AM3" i="18"/>
  <c r="AK80" i="18" s="1"/>
  <c r="AS3" i="18"/>
  <c r="AP53" i="18" s="1"/>
  <c r="AM2" i="18"/>
  <c r="AK128" i="18" s="1"/>
  <c r="E161" i="17" l="1"/>
  <c r="E162" i="17" s="1"/>
  <c r="R127" i="17"/>
  <c r="B66" i="4" s="1"/>
  <c r="B67" i="4" s="1"/>
  <c r="AP87" i="18"/>
  <c r="AS87" i="18" s="1"/>
  <c r="AT87" i="18" s="1"/>
  <c r="AP232" i="18"/>
  <c r="AS232" i="18" s="1"/>
  <c r="AT232" i="18" s="1"/>
  <c r="AT234" i="18" s="1"/>
  <c r="AP12" i="18"/>
  <c r="AS12" i="18" s="1"/>
  <c r="AT12" i="18" s="1"/>
  <c r="AK205" i="18"/>
  <c r="AL205" i="18" s="1"/>
  <c r="AP64" i="18"/>
  <c r="AP163" i="18"/>
  <c r="AS163" i="18" s="1"/>
  <c r="AT163" i="18" s="1"/>
  <c r="AP96" i="18"/>
  <c r="AQ96" i="18" s="1"/>
  <c r="AP128" i="18"/>
  <c r="AQ128" i="18" s="1"/>
  <c r="AP68" i="18"/>
  <c r="AS68" i="18" s="1"/>
  <c r="AT68" i="18" s="1"/>
  <c r="AP34" i="18"/>
  <c r="AQ34" i="18" s="1"/>
  <c r="AK12" i="18"/>
  <c r="AN12" i="18" s="1"/>
  <c r="AO12" i="18" s="1"/>
  <c r="AP48" i="18"/>
  <c r="AP47" i="18" s="1"/>
  <c r="AL128" i="18"/>
  <c r="AN128" i="18"/>
  <c r="AO128" i="18" s="1"/>
  <c r="AQ53" i="18"/>
  <c r="AS53" i="18"/>
  <c r="AT53" i="18" s="1"/>
  <c r="AK134" i="18"/>
  <c r="AX8" i="18"/>
  <c r="AP80" i="18"/>
  <c r="AP79" i="18"/>
  <c r="AK125" i="18"/>
  <c r="AK79" i="18"/>
  <c r="AQ68" i="18"/>
  <c r="AK89" i="18"/>
  <c r="AK140" i="18"/>
  <c r="AK102" i="18"/>
  <c r="AK166" i="18"/>
  <c r="AK100" i="18"/>
  <c r="AK204" i="18"/>
  <c r="AK123" i="18"/>
  <c r="AK150" i="18"/>
  <c r="AK141" i="18"/>
  <c r="AK190" i="18"/>
  <c r="AK219" i="18"/>
  <c r="AK139" i="18"/>
  <c r="AK53" i="18"/>
  <c r="AK207" i="18"/>
  <c r="AK186" i="18"/>
  <c r="AK159" i="18"/>
  <c r="AK88" i="18"/>
  <c r="AK144" i="18"/>
  <c r="AK45" i="18"/>
  <c r="AK127" i="18"/>
  <c r="AK202" i="18"/>
  <c r="AK136" i="18"/>
  <c r="AK91" i="18"/>
  <c r="AK95" i="18"/>
  <c r="AK126" i="18"/>
  <c r="AK200" i="18"/>
  <c r="AK167" i="18"/>
  <c r="AK101" i="18"/>
  <c r="AK70" i="18"/>
  <c r="AK65" i="18"/>
  <c r="AK151" i="18"/>
  <c r="AK176" i="18"/>
  <c r="AK142" i="18"/>
  <c r="AK143" i="18"/>
  <c r="AK25" i="18"/>
  <c r="AK72" i="18"/>
  <c r="AK49" i="18"/>
  <c r="AK130" i="18"/>
  <c r="AK109" i="18"/>
  <c r="AK42" i="18"/>
  <c r="AK67" i="18"/>
  <c r="AK198" i="18"/>
  <c r="AK68" i="18"/>
  <c r="AK110" i="18"/>
  <c r="AK117" i="18"/>
  <c r="AK64" i="18"/>
  <c r="AK156" i="18"/>
  <c r="AK162" i="18"/>
  <c r="AK90" i="18"/>
  <c r="AK203" i="18"/>
  <c r="AK96" i="18"/>
  <c r="AK103" i="18"/>
  <c r="AK163" i="18"/>
  <c r="AK138" i="18"/>
  <c r="AK158" i="18"/>
  <c r="AK209" i="18"/>
  <c r="AK59" i="18"/>
  <c r="AK124" i="18"/>
  <c r="AK121" i="18"/>
  <c r="AK197" i="18"/>
  <c r="AK129" i="18"/>
  <c r="AK34" i="18"/>
  <c r="AK55" i="18"/>
  <c r="AK215" i="18"/>
  <c r="AK206" i="18"/>
  <c r="AK61" i="18"/>
  <c r="AK172" i="18"/>
  <c r="AK114" i="18"/>
  <c r="AK170" i="18"/>
  <c r="AK161" i="18"/>
  <c r="AK157" i="18"/>
  <c r="AK118" i="18"/>
  <c r="AK104" i="18"/>
  <c r="AK94" i="18"/>
  <c r="AK36" i="18"/>
  <c r="AK155" i="18"/>
  <c r="AK69" i="18"/>
  <c r="AK177" i="18"/>
  <c r="AK97" i="18"/>
  <c r="AK132" i="18"/>
  <c r="AK208" i="18"/>
  <c r="AK52" i="18"/>
  <c r="AK20" i="18"/>
  <c r="AK193" i="18"/>
  <c r="AK187" i="18"/>
  <c r="AK29" i="18"/>
  <c r="AK111" i="18"/>
  <c r="AK149" i="18"/>
  <c r="AK18" i="18"/>
  <c r="AK98" i="18"/>
  <c r="AK189" i="18"/>
  <c r="AK108" i="18"/>
  <c r="AK160" i="18"/>
  <c r="AK37" i="18"/>
  <c r="AK106" i="18"/>
  <c r="AK120" i="18"/>
  <c r="AK119" i="18"/>
  <c r="AK146" i="18"/>
  <c r="AK28" i="18"/>
  <c r="AK213" i="18"/>
  <c r="AK210" i="18"/>
  <c r="AK131" i="18"/>
  <c r="AK217" i="18"/>
  <c r="AK192" i="18"/>
  <c r="AK201" i="18"/>
  <c r="AK60" i="18"/>
  <c r="AK214" i="18"/>
  <c r="AK116" i="18"/>
  <c r="AK169" i="18"/>
  <c r="AK232" i="18"/>
  <c r="AK71" i="18"/>
  <c r="AK175" i="18"/>
  <c r="AK196" i="18"/>
  <c r="AK56" i="18"/>
  <c r="AK137" i="18"/>
  <c r="AK43" i="18"/>
  <c r="AK173" i="18"/>
  <c r="AK27" i="18"/>
  <c r="AK122" i="18"/>
  <c r="AK188" i="18"/>
  <c r="AK51" i="18"/>
  <c r="AK31" i="18"/>
  <c r="AK107" i="18"/>
  <c r="AK46" i="18"/>
  <c r="AK115" i="18"/>
  <c r="AK62" i="18"/>
  <c r="AK145" i="18"/>
  <c r="AK63" i="18"/>
  <c r="AK165" i="18"/>
  <c r="AK48" i="18"/>
  <c r="AK113" i="18"/>
  <c r="AK191" i="18"/>
  <c r="AK112" i="18"/>
  <c r="AK133" i="18"/>
  <c r="AK99" i="18"/>
  <c r="AK74" i="18"/>
  <c r="AK164" i="18"/>
  <c r="AK22" i="18"/>
  <c r="AK32" i="18"/>
  <c r="AK87" i="18"/>
  <c r="AK218" i="18"/>
  <c r="AK185" i="18"/>
  <c r="AK73" i="18"/>
  <c r="AK40" i="18"/>
  <c r="AK16" i="18"/>
  <c r="AK24" i="18"/>
  <c r="AK168" i="18"/>
  <c r="AK212" i="18"/>
  <c r="AK216" i="18"/>
  <c r="AK148" i="18"/>
  <c r="AK211" i="18"/>
  <c r="AK15" i="18"/>
  <c r="AK35" i="18"/>
  <c r="AK50" i="18"/>
  <c r="AK135" i="18"/>
  <c r="AK105" i="18"/>
  <c r="AK194" i="18"/>
  <c r="AK174" i="18"/>
  <c r="AK39" i="18"/>
  <c r="AK54" i="18"/>
  <c r="AK195" i="18"/>
  <c r="AK199" i="18"/>
  <c r="AK93" i="18"/>
  <c r="AK92" i="18"/>
  <c r="AK66" i="18"/>
  <c r="AK184" i="18"/>
  <c r="AK171" i="18"/>
  <c r="AP217" i="18"/>
  <c r="AP126" i="18"/>
  <c r="AP33" i="18"/>
  <c r="AK147" i="18"/>
  <c r="AN80" i="18"/>
  <c r="AO80" i="18" s="1"/>
  <c r="AL80" i="18"/>
  <c r="AP88" i="18"/>
  <c r="AP201" i="18"/>
  <c r="AP73" i="18"/>
  <c r="AP107" i="18"/>
  <c r="AP168" i="18"/>
  <c r="AP46" i="18"/>
  <c r="AP202" i="18"/>
  <c r="AP149" i="18"/>
  <c r="AP66" i="18"/>
  <c r="AP98" i="18"/>
  <c r="AP151" i="18"/>
  <c r="AP139" i="18"/>
  <c r="AP205" i="18"/>
  <c r="AP192" i="18"/>
  <c r="AP37" i="18"/>
  <c r="AP101" i="18"/>
  <c r="AP117" i="18"/>
  <c r="AP32" i="18"/>
  <c r="AP110" i="18"/>
  <c r="AP99" i="18"/>
  <c r="AP121" i="18"/>
  <c r="AP155" i="18"/>
  <c r="AP40" i="18"/>
  <c r="AP112" i="18"/>
  <c r="AP104" i="18"/>
  <c r="AP196" i="18"/>
  <c r="AP49" i="18"/>
  <c r="AP211" i="18"/>
  <c r="AP60" i="18"/>
  <c r="AP218" i="18"/>
  <c r="AP197" i="18"/>
  <c r="AP189" i="18"/>
  <c r="AP186" i="18"/>
  <c r="AP156" i="18"/>
  <c r="AP122" i="18"/>
  <c r="AP194" i="18"/>
  <c r="AP90" i="18"/>
  <c r="AP210" i="18"/>
  <c r="AP100" i="18"/>
  <c r="AP216" i="18"/>
  <c r="AP56" i="18"/>
  <c r="AP31" i="18"/>
  <c r="AP70" i="18"/>
  <c r="AP193" i="18"/>
  <c r="AP157" i="18"/>
  <c r="AP158" i="18"/>
  <c r="AP72" i="18"/>
  <c r="AP145" i="18"/>
  <c r="AP109" i="18"/>
  <c r="AP137" i="18"/>
  <c r="AP209" i="18"/>
  <c r="AP28" i="18"/>
  <c r="AP24" i="18"/>
  <c r="AP55" i="18"/>
  <c r="AP63" i="18"/>
  <c r="AP174" i="18"/>
  <c r="AP52" i="18"/>
  <c r="AX7" i="18"/>
  <c r="AX11" i="18" s="1"/>
  <c r="AX12" i="18" s="1"/>
  <c r="AP195" i="18"/>
  <c r="AP177" i="18"/>
  <c r="AP43" i="18"/>
  <c r="AP89" i="18"/>
  <c r="AP141" i="18"/>
  <c r="AP135" i="18"/>
  <c r="AP200" i="18"/>
  <c r="AP94" i="18"/>
  <c r="AP188" i="18"/>
  <c r="AP164" i="18"/>
  <c r="AP25" i="18"/>
  <c r="AP143" i="18"/>
  <c r="AP131" i="18"/>
  <c r="AP140" i="18"/>
  <c r="AP93" i="18"/>
  <c r="AP169" i="18"/>
  <c r="AP166" i="18"/>
  <c r="AP62" i="18"/>
  <c r="AP208" i="18"/>
  <c r="AP160" i="18"/>
  <c r="AP18" i="18"/>
  <c r="AP170" i="18"/>
  <c r="AP114" i="18"/>
  <c r="AP176" i="18"/>
  <c r="AP95" i="18"/>
  <c r="AP147" i="18"/>
  <c r="AP119" i="18"/>
  <c r="AP97" i="18"/>
  <c r="AP92" i="18"/>
  <c r="AP22" i="18"/>
  <c r="AP118" i="18"/>
  <c r="AP150" i="18"/>
  <c r="AP65" i="18"/>
  <c r="AP185" i="18"/>
  <c r="AP215" i="18"/>
  <c r="AP173" i="18"/>
  <c r="AP27" i="18"/>
  <c r="AP165" i="18"/>
  <c r="AP115" i="18"/>
  <c r="AP67" i="18"/>
  <c r="AP103" i="18"/>
  <c r="AP207" i="18"/>
  <c r="AP191" i="18"/>
  <c r="AP113" i="18"/>
  <c r="AP212" i="18"/>
  <c r="AP16" i="18"/>
  <c r="AP190" i="18"/>
  <c r="AP54" i="18"/>
  <c r="AP59" i="18"/>
  <c r="AP124" i="18"/>
  <c r="AP198" i="18"/>
  <c r="AP213" i="18"/>
  <c r="AP127" i="18"/>
  <c r="AP39" i="18"/>
  <c r="AP36" i="18"/>
  <c r="AP203" i="18"/>
  <c r="AP172" i="18"/>
  <c r="AP162" i="18"/>
  <c r="AP167" i="18"/>
  <c r="AP219" i="18"/>
  <c r="AP132" i="18"/>
  <c r="AP45" i="18"/>
  <c r="AP144" i="18"/>
  <c r="AP204" i="18"/>
  <c r="AP159" i="18"/>
  <c r="AP129" i="18"/>
  <c r="AP146" i="18"/>
  <c r="AP102" i="18"/>
  <c r="AP35" i="18"/>
  <c r="AP199" i="18"/>
  <c r="AP105" i="18"/>
  <c r="AP30" i="18"/>
  <c r="AP120" i="18"/>
  <c r="AP91" i="18"/>
  <c r="AP20" i="18"/>
  <c r="AP108" i="18"/>
  <c r="AP42" i="18"/>
  <c r="AP14" i="18"/>
  <c r="AP130" i="18"/>
  <c r="AP116" i="18"/>
  <c r="AP74" i="18"/>
  <c r="AP106" i="18"/>
  <c r="AP138" i="18"/>
  <c r="AP214" i="18"/>
  <c r="AP187" i="18"/>
  <c r="AP133" i="18"/>
  <c r="AP61" i="18"/>
  <c r="AP136" i="18"/>
  <c r="AP125" i="18"/>
  <c r="AP69" i="18"/>
  <c r="AP171" i="18"/>
  <c r="AP142" i="18"/>
  <c r="AP184" i="18"/>
  <c r="AP148" i="18"/>
  <c r="AP206" i="18"/>
  <c r="AP50" i="18"/>
  <c r="AP175" i="18"/>
  <c r="AP111" i="18"/>
  <c r="AP123" i="18"/>
  <c r="AQ232" i="18"/>
  <c r="AQ234" i="18" s="1"/>
  <c r="AP71" i="18"/>
  <c r="AS128" i="18"/>
  <c r="AT128" i="18" s="1"/>
  <c r="AP161" i="18"/>
  <c r="AK13" i="18"/>
  <c r="AP51" i="18"/>
  <c r="AP134" i="18"/>
  <c r="AP13" i="18" l="1"/>
  <c r="AS48" i="18"/>
  <c r="AT48" i="18" s="1"/>
  <c r="AQ48" i="18"/>
  <c r="AN205" i="18"/>
  <c r="AO205" i="18" s="1"/>
  <c r="AS96" i="18"/>
  <c r="AT96" i="18" s="1"/>
  <c r="AL12" i="18"/>
  <c r="AQ87" i="18"/>
  <c r="AQ163" i="18"/>
  <c r="AS34" i="18"/>
  <c r="AT34" i="18" s="1"/>
  <c r="AQ12" i="18"/>
  <c r="AP15" i="18"/>
  <c r="AS15" i="18" s="1"/>
  <c r="AT15" i="18" s="1"/>
  <c r="AQ64" i="18"/>
  <c r="AS64" i="18"/>
  <c r="AT64" i="18" s="1"/>
  <c r="AQ171" i="18"/>
  <c r="AS171" i="18"/>
  <c r="AT171" i="18" s="1"/>
  <c r="AS130" i="18"/>
  <c r="AT130" i="18" s="1"/>
  <c r="AQ130" i="18"/>
  <c r="AQ144" i="18"/>
  <c r="AS144" i="18"/>
  <c r="AT144" i="18" s="1"/>
  <c r="AQ198" i="18"/>
  <c r="AS198" i="18"/>
  <c r="AT198" i="18" s="1"/>
  <c r="AQ114" i="18"/>
  <c r="AS114" i="18"/>
  <c r="AT114" i="18" s="1"/>
  <c r="AL13" i="18"/>
  <c r="AN13" i="18"/>
  <c r="AO13" i="18" s="1"/>
  <c r="AQ50" i="18"/>
  <c r="AS50" i="18"/>
  <c r="AT50" i="18" s="1"/>
  <c r="AQ142" i="18"/>
  <c r="AS142" i="18"/>
  <c r="AT142" i="18" s="1"/>
  <c r="AQ136" i="18"/>
  <c r="AS136" i="18"/>
  <c r="AT136" i="18" s="1"/>
  <c r="AQ214" i="18"/>
  <c r="AS214" i="18"/>
  <c r="AT214" i="18" s="1"/>
  <c r="AQ116" i="18"/>
  <c r="AS116" i="18"/>
  <c r="AT116" i="18" s="1"/>
  <c r="AS108" i="18"/>
  <c r="AT108" i="18" s="1"/>
  <c r="AQ108" i="18"/>
  <c r="AQ30" i="18"/>
  <c r="AS30" i="18"/>
  <c r="AT30" i="18" s="1"/>
  <c r="AP29" i="18"/>
  <c r="AQ102" i="18"/>
  <c r="AS102" i="18"/>
  <c r="AT102" i="18" s="1"/>
  <c r="AQ204" i="18"/>
  <c r="AS204" i="18"/>
  <c r="AT204" i="18" s="1"/>
  <c r="AS219" i="18"/>
  <c r="AT219" i="18" s="1"/>
  <c r="AQ219" i="18"/>
  <c r="AQ203" i="18"/>
  <c r="AS203" i="18"/>
  <c r="AT203" i="18" s="1"/>
  <c r="AQ213" i="18"/>
  <c r="AS213" i="18"/>
  <c r="AT213" i="18" s="1"/>
  <c r="AQ54" i="18"/>
  <c r="AS54" i="18"/>
  <c r="AT54" i="18" s="1"/>
  <c r="AQ113" i="18"/>
  <c r="AS113" i="18"/>
  <c r="AT113" i="18" s="1"/>
  <c r="AQ67" i="18"/>
  <c r="AS67" i="18"/>
  <c r="AT67" i="18" s="1"/>
  <c r="AQ173" i="18"/>
  <c r="AS173" i="18"/>
  <c r="AT173" i="18" s="1"/>
  <c r="AQ150" i="18"/>
  <c r="AS150" i="18"/>
  <c r="AT150" i="18" s="1"/>
  <c r="AQ97" i="18"/>
  <c r="AS97" i="18"/>
  <c r="AT97" i="18" s="1"/>
  <c r="AQ176" i="18"/>
  <c r="AS176" i="18"/>
  <c r="AT176" i="18" s="1"/>
  <c r="AQ160" i="18"/>
  <c r="AS160" i="18"/>
  <c r="AT160" i="18" s="1"/>
  <c r="AQ169" i="18"/>
  <c r="AS169" i="18"/>
  <c r="AT169" i="18" s="1"/>
  <c r="AQ143" i="18"/>
  <c r="AS143" i="18"/>
  <c r="AT143" i="18" s="1"/>
  <c r="AQ94" i="18"/>
  <c r="AS94" i="18"/>
  <c r="AT94" i="18" s="1"/>
  <c r="AS89" i="18"/>
  <c r="AT89" i="18" s="1"/>
  <c r="AQ89" i="18"/>
  <c r="AQ55" i="18"/>
  <c r="AS55" i="18"/>
  <c r="AT55" i="18" s="1"/>
  <c r="AQ137" i="18"/>
  <c r="AS137" i="18"/>
  <c r="AT137" i="18" s="1"/>
  <c r="AQ158" i="18"/>
  <c r="AS158" i="18"/>
  <c r="AT158" i="18" s="1"/>
  <c r="AQ31" i="18"/>
  <c r="AS31" i="18"/>
  <c r="AT31" i="18" s="1"/>
  <c r="AQ210" i="18"/>
  <c r="AS210" i="18"/>
  <c r="AT210" i="18" s="1"/>
  <c r="AQ156" i="18"/>
  <c r="AS156" i="18"/>
  <c r="AT156" i="18" s="1"/>
  <c r="AQ218" i="18"/>
  <c r="AS218" i="18"/>
  <c r="AT218" i="18" s="1"/>
  <c r="AQ196" i="18"/>
  <c r="AS196" i="18"/>
  <c r="AT196" i="18" s="1"/>
  <c r="AQ155" i="18"/>
  <c r="AS155" i="18"/>
  <c r="AT155" i="18" s="1"/>
  <c r="AS32" i="18"/>
  <c r="AT32" i="18" s="1"/>
  <c r="AQ32" i="18"/>
  <c r="AS192" i="18"/>
  <c r="AT192" i="18" s="1"/>
  <c r="AQ192" i="18"/>
  <c r="AQ98" i="18"/>
  <c r="AS98" i="18"/>
  <c r="AT98" i="18" s="1"/>
  <c r="AQ46" i="18"/>
  <c r="AS46" i="18"/>
  <c r="AT46" i="18" s="1"/>
  <c r="AQ201" i="18"/>
  <c r="AS201" i="18"/>
  <c r="AT201" i="18" s="1"/>
  <c r="AL147" i="18"/>
  <c r="AN147" i="18"/>
  <c r="AO147" i="18" s="1"/>
  <c r="AQ217" i="18"/>
  <c r="AS217" i="18"/>
  <c r="AT217" i="18" s="1"/>
  <c r="AN92" i="18"/>
  <c r="AO92" i="18" s="1"/>
  <c r="AL92" i="18"/>
  <c r="AL54" i="18"/>
  <c r="AN54" i="18"/>
  <c r="AO54" i="18" s="1"/>
  <c r="AL105" i="18"/>
  <c r="AN105" i="18"/>
  <c r="AO105" i="18" s="1"/>
  <c r="AL15" i="18"/>
  <c r="AN15" i="18"/>
  <c r="AO15" i="18" s="1"/>
  <c r="AK14" i="18"/>
  <c r="AL212" i="18"/>
  <c r="AN212" i="18"/>
  <c r="AO212" i="18" s="1"/>
  <c r="AL40" i="18"/>
  <c r="AK41" i="18"/>
  <c r="AN40" i="18"/>
  <c r="AO40" i="18" s="1"/>
  <c r="AL87" i="18"/>
  <c r="AN87" i="18"/>
  <c r="AO87" i="18" s="1"/>
  <c r="AL74" i="18"/>
  <c r="AN74" i="18"/>
  <c r="AO74" i="18" s="1"/>
  <c r="AL191" i="18"/>
  <c r="AN191" i="18"/>
  <c r="AO191" i="18" s="1"/>
  <c r="AL63" i="18"/>
  <c r="AN63" i="18"/>
  <c r="AO63" i="18" s="1"/>
  <c r="AN46" i="18"/>
  <c r="AO46" i="18" s="1"/>
  <c r="AL46" i="18"/>
  <c r="AK47" i="18"/>
  <c r="AL188" i="18"/>
  <c r="AN188" i="18"/>
  <c r="AO188" i="18" s="1"/>
  <c r="AL43" i="18"/>
  <c r="AN43" i="18"/>
  <c r="AO43" i="18" s="1"/>
  <c r="AK44" i="18"/>
  <c r="AL175" i="18"/>
  <c r="AN175" i="18"/>
  <c r="AO175" i="18" s="1"/>
  <c r="AN116" i="18"/>
  <c r="AO116" i="18" s="1"/>
  <c r="AL116" i="18"/>
  <c r="AL192" i="18"/>
  <c r="AN192" i="18"/>
  <c r="AO192" i="18" s="1"/>
  <c r="AL213" i="18"/>
  <c r="AN213" i="18"/>
  <c r="AO213" i="18" s="1"/>
  <c r="AL120" i="18"/>
  <c r="AN120" i="18"/>
  <c r="AO120" i="18" s="1"/>
  <c r="AL108" i="18"/>
  <c r="AN108" i="18"/>
  <c r="AO108" i="18" s="1"/>
  <c r="AL149" i="18"/>
  <c r="AN149" i="18"/>
  <c r="AO149" i="18" s="1"/>
  <c r="AL193" i="18"/>
  <c r="AN193" i="18"/>
  <c r="AO193" i="18" s="1"/>
  <c r="AL132" i="18"/>
  <c r="AN132" i="18"/>
  <c r="AO132" i="18" s="1"/>
  <c r="AN155" i="18"/>
  <c r="AO155" i="18" s="1"/>
  <c r="AL155" i="18"/>
  <c r="AL118" i="18"/>
  <c r="AN118" i="18"/>
  <c r="AO118" i="18" s="1"/>
  <c r="AN114" i="18"/>
  <c r="AO114" i="18" s="1"/>
  <c r="AL114" i="18"/>
  <c r="AN215" i="18"/>
  <c r="AO215" i="18" s="1"/>
  <c r="AL215" i="18"/>
  <c r="AL197" i="18"/>
  <c r="AN197" i="18"/>
  <c r="AO197" i="18" s="1"/>
  <c r="AL209" i="18"/>
  <c r="AN209" i="18"/>
  <c r="AO209" i="18" s="1"/>
  <c r="AL103" i="18"/>
  <c r="AN103" i="18"/>
  <c r="AO103" i="18" s="1"/>
  <c r="AN162" i="18"/>
  <c r="AO162" i="18" s="1"/>
  <c r="AL162" i="18"/>
  <c r="AN110" i="18"/>
  <c r="AO110" i="18" s="1"/>
  <c r="AL110" i="18"/>
  <c r="AL42" i="18"/>
  <c r="AN42" i="18"/>
  <c r="AO42" i="18" s="1"/>
  <c r="AL72" i="18"/>
  <c r="AN72" i="18"/>
  <c r="AO72" i="18" s="1"/>
  <c r="AL176" i="18"/>
  <c r="AN176" i="18"/>
  <c r="AO176" i="18" s="1"/>
  <c r="AN101" i="18"/>
  <c r="AO101" i="18" s="1"/>
  <c r="AL101" i="18"/>
  <c r="AN95" i="18"/>
  <c r="AO95" i="18" s="1"/>
  <c r="AL95" i="18"/>
  <c r="AL127" i="18"/>
  <c r="AN127" i="18"/>
  <c r="AO127" i="18" s="1"/>
  <c r="AL159" i="18"/>
  <c r="AN159" i="18"/>
  <c r="AO159" i="18" s="1"/>
  <c r="AN139" i="18"/>
  <c r="AO139" i="18" s="1"/>
  <c r="AL139" i="18"/>
  <c r="AL150" i="18"/>
  <c r="AN150" i="18"/>
  <c r="AO150" i="18" s="1"/>
  <c r="AL166" i="18"/>
  <c r="AN166" i="18"/>
  <c r="AO166" i="18" s="1"/>
  <c r="AS47" i="18"/>
  <c r="AT47" i="18" s="1"/>
  <c r="AQ47" i="18"/>
  <c r="AS79" i="18"/>
  <c r="AT79" i="18" s="1"/>
  <c r="AQ79" i="18"/>
  <c r="AL134" i="18"/>
  <c r="AN134" i="18"/>
  <c r="AO134" i="18" s="1"/>
  <c r="AQ161" i="18"/>
  <c r="AS161" i="18"/>
  <c r="AT161" i="18" s="1"/>
  <c r="AQ105" i="18"/>
  <c r="AS105" i="18"/>
  <c r="AT105" i="18" s="1"/>
  <c r="AQ191" i="18"/>
  <c r="AS191" i="18"/>
  <c r="AT191" i="18" s="1"/>
  <c r="AQ215" i="18"/>
  <c r="AS215" i="18"/>
  <c r="AT215" i="18" s="1"/>
  <c r="AQ208" i="18"/>
  <c r="AS208" i="18"/>
  <c r="AT208" i="18" s="1"/>
  <c r="AS93" i="18"/>
  <c r="AT93" i="18" s="1"/>
  <c r="AQ93" i="18"/>
  <c r="AS25" i="18"/>
  <c r="AT25" i="18" s="1"/>
  <c r="AQ25" i="18"/>
  <c r="AQ200" i="18"/>
  <c r="AS200" i="18"/>
  <c r="AT200" i="18" s="1"/>
  <c r="AQ43" i="18"/>
  <c r="AS43" i="18"/>
  <c r="AT43" i="18" s="1"/>
  <c r="AQ52" i="18"/>
  <c r="AS52" i="18"/>
  <c r="AT52" i="18" s="1"/>
  <c r="AS24" i="18"/>
  <c r="AT24" i="18" s="1"/>
  <c r="AQ24" i="18"/>
  <c r="AP23" i="18"/>
  <c r="AQ109" i="18"/>
  <c r="AS109" i="18"/>
  <c r="AT109" i="18" s="1"/>
  <c r="AQ157" i="18"/>
  <c r="AS157" i="18"/>
  <c r="AT157" i="18" s="1"/>
  <c r="AQ56" i="18"/>
  <c r="AS56" i="18"/>
  <c r="AT56" i="18" s="1"/>
  <c r="AQ90" i="18"/>
  <c r="AS90" i="18"/>
  <c r="AT90" i="18" s="1"/>
  <c r="AQ186" i="18"/>
  <c r="AS186" i="18"/>
  <c r="AT186" i="18" s="1"/>
  <c r="AQ60" i="18"/>
  <c r="AS60" i="18"/>
  <c r="AT60" i="18" s="1"/>
  <c r="AQ104" i="18"/>
  <c r="AS104" i="18"/>
  <c r="AT104" i="18" s="1"/>
  <c r="AQ121" i="18"/>
  <c r="AS121" i="18"/>
  <c r="AT121" i="18" s="1"/>
  <c r="AS117" i="18"/>
  <c r="AT117" i="18" s="1"/>
  <c r="AQ117" i="18"/>
  <c r="AQ205" i="18"/>
  <c r="AS205" i="18"/>
  <c r="AT205" i="18" s="1"/>
  <c r="AQ66" i="18"/>
  <c r="AS66" i="18"/>
  <c r="AT66" i="18" s="1"/>
  <c r="AQ168" i="18"/>
  <c r="AS168" i="18"/>
  <c r="AT168" i="18" s="1"/>
  <c r="AQ88" i="18"/>
  <c r="AS88" i="18"/>
  <c r="AT88" i="18" s="1"/>
  <c r="AQ33" i="18"/>
  <c r="AS33" i="18"/>
  <c r="AT33" i="18" s="1"/>
  <c r="AL171" i="18"/>
  <c r="AN171" i="18"/>
  <c r="AO171" i="18" s="1"/>
  <c r="AL93" i="18"/>
  <c r="AN93" i="18"/>
  <c r="AO93" i="18" s="1"/>
  <c r="AL39" i="18"/>
  <c r="AN39" i="18"/>
  <c r="AO39" i="18" s="1"/>
  <c r="AK38" i="18"/>
  <c r="AL135" i="18"/>
  <c r="AN135" i="18"/>
  <c r="AO135" i="18" s="1"/>
  <c r="AL211" i="18"/>
  <c r="AN211" i="18"/>
  <c r="AO211" i="18" s="1"/>
  <c r="AL168" i="18"/>
  <c r="AN168" i="18"/>
  <c r="AO168" i="18" s="1"/>
  <c r="AL73" i="18"/>
  <c r="AN73" i="18"/>
  <c r="AO73" i="18" s="1"/>
  <c r="AL32" i="18"/>
  <c r="AN32" i="18"/>
  <c r="AO32" i="18" s="1"/>
  <c r="AK33" i="18"/>
  <c r="AL99" i="18"/>
  <c r="AN99" i="18"/>
  <c r="AO99" i="18" s="1"/>
  <c r="AL113" i="18"/>
  <c r="AN113" i="18"/>
  <c r="AO113" i="18" s="1"/>
  <c r="AL145" i="18"/>
  <c r="AN145" i="18"/>
  <c r="AO145" i="18" s="1"/>
  <c r="AL107" i="18"/>
  <c r="AN107" i="18"/>
  <c r="AO107" i="18" s="1"/>
  <c r="AN122" i="18"/>
  <c r="AO122" i="18" s="1"/>
  <c r="AL122" i="18"/>
  <c r="AL137" i="18"/>
  <c r="AN137" i="18"/>
  <c r="AO137" i="18" s="1"/>
  <c r="AL71" i="18"/>
  <c r="AN71" i="18"/>
  <c r="AO71" i="18" s="1"/>
  <c r="AL214" i="18"/>
  <c r="AN214" i="18"/>
  <c r="AO214" i="18" s="1"/>
  <c r="AL217" i="18"/>
  <c r="AN217" i="18"/>
  <c r="AO217" i="18" s="1"/>
  <c r="AL28" i="18"/>
  <c r="AN28" i="18"/>
  <c r="AO28" i="18" s="1"/>
  <c r="AN106" i="18"/>
  <c r="AO106" i="18" s="1"/>
  <c r="AL106" i="18"/>
  <c r="AL189" i="18"/>
  <c r="AN189" i="18"/>
  <c r="AO189" i="18" s="1"/>
  <c r="AL111" i="18"/>
  <c r="AN111" i="18"/>
  <c r="AO111" i="18" s="1"/>
  <c r="AN20" i="18"/>
  <c r="AO20" i="18" s="1"/>
  <c r="AL20" i="18"/>
  <c r="AK19" i="18"/>
  <c r="AL97" i="18"/>
  <c r="AN97" i="18"/>
  <c r="AO97" i="18" s="1"/>
  <c r="AL36" i="18"/>
  <c r="AN36" i="18"/>
  <c r="AO36" i="18" s="1"/>
  <c r="AN157" i="18"/>
  <c r="AO157" i="18" s="1"/>
  <c r="AL157" i="18"/>
  <c r="AN172" i="18"/>
  <c r="AO172" i="18" s="1"/>
  <c r="AL172" i="18"/>
  <c r="AL55" i="18"/>
  <c r="AN55" i="18"/>
  <c r="AO55" i="18" s="1"/>
  <c r="AL121" i="18"/>
  <c r="AN121" i="18"/>
  <c r="AO121" i="18" s="1"/>
  <c r="AL158" i="18"/>
  <c r="AN158" i="18"/>
  <c r="AO158" i="18" s="1"/>
  <c r="AL96" i="18"/>
  <c r="AN96" i="18"/>
  <c r="AO96" i="18" s="1"/>
  <c r="AL156" i="18"/>
  <c r="AN156" i="18"/>
  <c r="AO156" i="18" s="1"/>
  <c r="AL68" i="18"/>
  <c r="AN68" i="18"/>
  <c r="AO68" i="18" s="1"/>
  <c r="AL109" i="18"/>
  <c r="AN109" i="18"/>
  <c r="AO109" i="18" s="1"/>
  <c r="AL25" i="18"/>
  <c r="AN25" i="18"/>
  <c r="AO25" i="18" s="1"/>
  <c r="AN151" i="18"/>
  <c r="AO151" i="18" s="1"/>
  <c r="AL151" i="18"/>
  <c r="AN167" i="18"/>
  <c r="AO167" i="18" s="1"/>
  <c r="AL167" i="18"/>
  <c r="AN91" i="18"/>
  <c r="AO91" i="18" s="1"/>
  <c r="AL91" i="18"/>
  <c r="AL45" i="18"/>
  <c r="AN45" i="18"/>
  <c r="AO45" i="18" s="1"/>
  <c r="AL186" i="18"/>
  <c r="AN186" i="18"/>
  <c r="AO186" i="18" s="1"/>
  <c r="AL219" i="18"/>
  <c r="AN219" i="18"/>
  <c r="AO219" i="18" s="1"/>
  <c r="AN123" i="18"/>
  <c r="AO123" i="18" s="1"/>
  <c r="AL123" i="18"/>
  <c r="AN102" i="18"/>
  <c r="AO102" i="18" s="1"/>
  <c r="AL102" i="18"/>
  <c r="AQ13" i="18"/>
  <c r="AS13" i="18"/>
  <c r="AT13" i="18" s="1"/>
  <c r="AQ80" i="18"/>
  <c r="AS80" i="18"/>
  <c r="AT80" i="18" s="1"/>
  <c r="AQ123" i="18"/>
  <c r="AS123" i="18"/>
  <c r="AT123" i="18" s="1"/>
  <c r="AQ61" i="18"/>
  <c r="AS61" i="18"/>
  <c r="AT61" i="18" s="1"/>
  <c r="AQ20" i="18"/>
  <c r="AP19" i="18"/>
  <c r="AS20" i="18"/>
  <c r="AT20" i="18" s="1"/>
  <c r="AQ167" i="18"/>
  <c r="AS167" i="18"/>
  <c r="AT167" i="18" s="1"/>
  <c r="AQ190" i="18"/>
  <c r="AS190" i="18"/>
  <c r="AT190" i="18" s="1"/>
  <c r="AQ118" i="18"/>
  <c r="AS118" i="18"/>
  <c r="AT118" i="18" s="1"/>
  <c r="AQ148" i="18"/>
  <c r="AS148" i="18"/>
  <c r="AT148" i="18" s="1"/>
  <c r="AQ133" i="18"/>
  <c r="AS133" i="18"/>
  <c r="AT133" i="18" s="1"/>
  <c r="AQ14" i="18"/>
  <c r="AS14" i="18"/>
  <c r="AT14" i="18" s="1"/>
  <c r="AQ199" i="18"/>
  <c r="AS199" i="18"/>
  <c r="AT199" i="18" s="1"/>
  <c r="AS162" i="18"/>
  <c r="AT162" i="18" s="1"/>
  <c r="AQ162" i="18"/>
  <c r="AQ124" i="18"/>
  <c r="AS124" i="18"/>
  <c r="AT124" i="18" s="1"/>
  <c r="AQ207" i="18"/>
  <c r="AS207" i="18"/>
  <c r="AT207" i="18" s="1"/>
  <c r="AS185" i="18"/>
  <c r="AT185" i="18" s="1"/>
  <c r="AQ185" i="18"/>
  <c r="AQ170" i="18"/>
  <c r="AS170" i="18"/>
  <c r="AT170" i="18" s="1"/>
  <c r="AQ140" i="18"/>
  <c r="AS140" i="18"/>
  <c r="AT140" i="18" s="1"/>
  <c r="AQ135" i="18"/>
  <c r="AS135" i="18"/>
  <c r="AT135" i="18" s="1"/>
  <c r="AQ174" i="18"/>
  <c r="AS174" i="18"/>
  <c r="AT174" i="18" s="1"/>
  <c r="AQ145" i="18"/>
  <c r="AS145" i="18"/>
  <c r="AT145" i="18" s="1"/>
  <c r="AS193" i="18"/>
  <c r="AT193" i="18" s="1"/>
  <c r="AQ193" i="18"/>
  <c r="AQ216" i="18"/>
  <c r="AS216" i="18"/>
  <c r="AT216" i="18" s="1"/>
  <c r="AQ189" i="18"/>
  <c r="AS189" i="18"/>
  <c r="AT189" i="18" s="1"/>
  <c r="AQ211" i="18"/>
  <c r="AS211" i="18"/>
  <c r="AT211" i="18" s="1"/>
  <c r="AQ112" i="18"/>
  <c r="AS112" i="18"/>
  <c r="AT112" i="18" s="1"/>
  <c r="AQ99" i="18"/>
  <c r="AS99" i="18"/>
  <c r="AT99" i="18" s="1"/>
  <c r="AS101" i="18"/>
  <c r="AT101" i="18" s="1"/>
  <c r="AQ101" i="18"/>
  <c r="AQ139" i="18"/>
  <c r="AS139" i="18"/>
  <c r="AT139" i="18" s="1"/>
  <c r="AQ149" i="18"/>
  <c r="AS149" i="18"/>
  <c r="AT149" i="18" s="1"/>
  <c r="AQ107" i="18"/>
  <c r="AS107" i="18"/>
  <c r="AT107" i="18" s="1"/>
  <c r="AN184" i="18"/>
  <c r="AO184" i="18" s="1"/>
  <c r="AL184" i="18"/>
  <c r="AN199" i="18"/>
  <c r="AO199" i="18" s="1"/>
  <c r="AL199" i="18"/>
  <c r="AN174" i="18"/>
  <c r="AO174" i="18" s="1"/>
  <c r="AL174" i="18"/>
  <c r="AL50" i="18"/>
  <c r="AN50" i="18"/>
  <c r="AO50" i="18" s="1"/>
  <c r="AN148" i="18"/>
  <c r="AO148" i="18" s="1"/>
  <c r="AL148" i="18"/>
  <c r="AL24" i="18"/>
  <c r="AN24" i="18"/>
  <c r="AO24" i="18" s="1"/>
  <c r="AK23" i="18"/>
  <c r="AL185" i="18"/>
  <c r="AN185" i="18"/>
  <c r="AO185" i="18" s="1"/>
  <c r="AL22" i="18"/>
  <c r="AN22" i="18"/>
  <c r="AO22" i="18" s="1"/>
  <c r="AK21" i="18"/>
  <c r="AL133" i="18"/>
  <c r="AN133" i="18"/>
  <c r="AO133" i="18" s="1"/>
  <c r="AL48" i="18"/>
  <c r="AN48" i="18"/>
  <c r="AO48" i="18" s="1"/>
  <c r="AL62" i="18"/>
  <c r="AN62" i="18"/>
  <c r="AO62" i="18" s="1"/>
  <c r="AL31" i="18"/>
  <c r="AN31" i="18"/>
  <c r="AO31" i="18" s="1"/>
  <c r="AL27" i="18"/>
  <c r="AN27" i="18"/>
  <c r="AO27" i="18" s="1"/>
  <c r="AK26" i="18"/>
  <c r="AL56" i="18"/>
  <c r="AN56" i="18"/>
  <c r="AO56" i="18" s="1"/>
  <c r="AN232" i="18"/>
  <c r="AO232" i="18" s="1"/>
  <c r="AO234" i="18" s="1"/>
  <c r="AL232" i="18"/>
  <c r="AL234" i="18" s="1"/>
  <c r="AL60" i="18"/>
  <c r="AN60" i="18"/>
  <c r="AO60" i="18" s="1"/>
  <c r="AL131" i="18"/>
  <c r="AN131" i="18"/>
  <c r="AO131" i="18" s="1"/>
  <c r="AL146" i="18"/>
  <c r="AN146" i="18"/>
  <c r="AO146" i="18" s="1"/>
  <c r="AL37" i="18"/>
  <c r="AN37" i="18"/>
  <c r="AO37" i="18" s="1"/>
  <c r="AN98" i="18"/>
  <c r="AO98" i="18" s="1"/>
  <c r="AL98" i="18"/>
  <c r="AL29" i="18"/>
  <c r="AN29" i="18"/>
  <c r="AO29" i="18" s="1"/>
  <c r="AK30" i="18"/>
  <c r="AL52" i="18"/>
  <c r="AN52" i="18"/>
  <c r="AO52" i="18" s="1"/>
  <c r="AL177" i="18"/>
  <c r="AN177" i="18"/>
  <c r="AO177" i="18" s="1"/>
  <c r="AN94" i="18"/>
  <c r="AO94" i="18" s="1"/>
  <c r="AL94" i="18"/>
  <c r="AL161" i="18"/>
  <c r="AN161" i="18"/>
  <c r="AO161" i="18" s="1"/>
  <c r="AL61" i="18"/>
  <c r="AN61" i="18"/>
  <c r="AO61" i="18" s="1"/>
  <c r="AN34" i="18"/>
  <c r="AO34" i="18" s="1"/>
  <c r="AL34" i="18"/>
  <c r="AL124" i="18"/>
  <c r="AN124" i="18"/>
  <c r="AO124" i="18" s="1"/>
  <c r="AL138" i="18"/>
  <c r="AN138" i="18"/>
  <c r="AO138" i="18" s="1"/>
  <c r="AL203" i="18"/>
  <c r="AN203" i="18"/>
  <c r="AO203" i="18" s="1"/>
  <c r="AL64" i="18"/>
  <c r="AN64" i="18"/>
  <c r="AO64" i="18" s="1"/>
  <c r="AL198" i="18"/>
  <c r="AN198" i="18"/>
  <c r="AO198" i="18" s="1"/>
  <c r="AL130" i="18"/>
  <c r="AN130" i="18"/>
  <c r="AO130" i="18" s="1"/>
  <c r="AL143" i="18"/>
  <c r="AN143" i="18"/>
  <c r="AO143" i="18" s="1"/>
  <c r="AL65" i="18"/>
  <c r="AN65" i="18"/>
  <c r="AO65" i="18" s="1"/>
  <c r="AN200" i="18"/>
  <c r="AO200" i="18" s="1"/>
  <c r="AL200" i="18"/>
  <c r="AL136" i="18"/>
  <c r="AN136" i="18"/>
  <c r="AO136" i="18" s="1"/>
  <c r="AL144" i="18"/>
  <c r="AN144" i="18"/>
  <c r="AO144" i="18" s="1"/>
  <c r="AL207" i="18"/>
  <c r="AN207" i="18"/>
  <c r="AO207" i="18" s="1"/>
  <c r="AL190" i="18"/>
  <c r="AN190" i="18"/>
  <c r="AO190" i="18" s="1"/>
  <c r="AN204" i="18"/>
  <c r="AO204" i="18" s="1"/>
  <c r="AL204" i="18"/>
  <c r="AN140" i="18"/>
  <c r="AO140" i="18" s="1"/>
  <c r="AL140" i="18"/>
  <c r="AL79" i="18"/>
  <c r="AL82" i="18" s="1"/>
  <c r="AO3" i="18" s="1"/>
  <c r="AN79" i="18"/>
  <c r="AO79" i="18" s="1"/>
  <c r="AO82" i="18" s="1"/>
  <c r="AQ206" i="18"/>
  <c r="AS206" i="18"/>
  <c r="AT206" i="18" s="1"/>
  <c r="AQ138" i="18"/>
  <c r="AS138" i="18"/>
  <c r="AT138" i="18" s="1"/>
  <c r="AQ146" i="18"/>
  <c r="AS146" i="18"/>
  <c r="AT146" i="18" s="1"/>
  <c r="AQ36" i="18"/>
  <c r="AS36" i="18"/>
  <c r="AT36" i="18" s="1"/>
  <c r="AQ115" i="18"/>
  <c r="AS115" i="18"/>
  <c r="AT115" i="18" s="1"/>
  <c r="AQ119" i="18"/>
  <c r="AS119" i="18"/>
  <c r="AT119" i="18" s="1"/>
  <c r="AQ134" i="18"/>
  <c r="AS134" i="18"/>
  <c r="AT134" i="18" s="1"/>
  <c r="AQ111" i="18"/>
  <c r="AS111" i="18"/>
  <c r="AT111" i="18" s="1"/>
  <c r="AQ69" i="18"/>
  <c r="AS69" i="18"/>
  <c r="AT69" i="18" s="1"/>
  <c r="AQ106" i="18"/>
  <c r="AS106" i="18"/>
  <c r="AT106" i="18" s="1"/>
  <c r="AQ91" i="18"/>
  <c r="AS91" i="18"/>
  <c r="AT91" i="18" s="1"/>
  <c r="AQ129" i="18"/>
  <c r="AS129" i="18"/>
  <c r="AT129" i="18" s="1"/>
  <c r="AQ45" i="18"/>
  <c r="AS45" i="18"/>
  <c r="AT45" i="18" s="1"/>
  <c r="AP44" i="18"/>
  <c r="AS39" i="18"/>
  <c r="AT39" i="18" s="1"/>
  <c r="AQ39" i="18"/>
  <c r="AP38" i="18"/>
  <c r="AQ16" i="18"/>
  <c r="AP17" i="18"/>
  <c r="AS16" i="18"/>
  <c r="AT16" i="18" s="1"/>
  <c r="AQ165" i="18"/>
  <c r="AS165" i="18"/>
  <c r="AT165" i="18" s="1"/>
  <c r="AP21" i="18"/>
  <c r="AS22" i="18"/>
  <c r="AT22" i="18" s="1"/>
  <c r="AQ22" i="18"/>
  <c r="AQ147" i="18"/>
  <c r="AS147" i="18"/>
  <c r="AT147" i="18" s="1"/>
  <c r="AQ62" i="18"/>
  <c r="AS62" i="18"/>
  <c r="AT62" i="18" s="1"/>
  <c r="AS164" i="18"/>
  <c r="AT164" i="18" s="1"/>
  <c r="AQ164" i="18"/>
  <c r="AQ177" i="18"/>
  <c r="AS177" i="18"/>
  <c r="AT177" i="18" s="1"/>
  <c r="AQ28" i="18"/>
  <c r="AS28" i="18"/>
  <c r="AT28" i="18" s="1"/>
  <c r="AQ194" i="18"/>
  <c r="AS194" i="18"/>
  <c r="AT194" i="18" s="1"/>
  <c r="AQ51" i="18"/>
  <c r="AS51" i="18"/>
  <c r="AT51" i="18" s="1"/>
  <c r="AQ71" i="18"/>
  <c r="AS71" i="18"/>
  <c r="AT71" i="18" s="1"/>
  <c r="AQ175" i="18"/>
  <c r="AS175" i="18"/>
  <c r="AT175" i="18" s="1"/>
  <c r="AQ184" i="18"/>
  <c r="AS184" i="18"/>
  <c r="AT184" i="18" s="1"/>
  <c r="AQ125" i="18"/>
  <c r="AS125" i="18"/>
  <c r="AT125" i="18" s="1"/>
  <c r="AQ187" i="18"/>
  <c r="AS187" i="18"/>
  <c r="AT187" i="18" s="1"/>
  <c r="AQ74" i="18"/>
  <c r="AS74" i="18"/>
  <c r="AT74" i="18" s="1"/>
  <c r="AS42" i="18"/>
  <c r="AT42" i="18" s="1"/>
  <c r="AQ42" i="18"/>
  <c r="AP41" i="18"/>
  <c r="AQ120" i="18"/>
  <c r="AS120" i="18"/>
  <c r="AT120" i="18" s="1"/>
  <c r="AQ35" i="18"/>
  <c r="AS35" i="18"/>
  <c r="AT35" i="18" s="1"/>
  <c r="AQ159" i="18"/>
  <c r="AS159" i="18"/>
  <c r="AT159" i="18" s="1"/>
  <c r="AQ132" i="18"/>
  <c r="AS132" i="18"/>
  <c r="AT132" i="18" s="1"/>
  <c r="AQ172" i="18"/>
  <c r="AS172" i="18"/>
  <c r="AT172" i="18" s="1"/>
  <c r="AQ127" i="18"/>
  <c r="AS127" i="18"/>
  <c r="AT127" i="18" s="1"/>
  <c r="AQ59" i="18"/>
  <c r="AS59" i="18"/>
  <c r="AT59" i="18" s="1"/>
  <c r="AQ212" i="18"/>
  <c r="AS212" i="18"/>
  <c r="AT212" i="18" s="1"/>
  <c r="AQ103" i="18"/>
  <c r="AS103" i="18"/>
  <c r="AT103" i="18" s="1"/>
  <c r="AQ27" i="18"/>
  <c r="AP26" i="18"/>
  <c r="AS27" i="18"/>
  <c r="AT27" i="18" s="1"/>
  <c r="AQ65" i="18"/>
  <c r="AS65" i="18"/>
  <c r="AT65" i="18" s="1"/>
  <c r="AQ92" i="18"/>
  <c r="AS92" i="18"/>
  <c r="AT92" i="18" s="1"/>
  <c r="AQ95" i="18"/>
  <c r="AS95" i="18"/>
  <c r="AT95" i="18" s="1"/>
  <c r="AQ18" i="18"/>
  <c r="AS18" i="18"/>
  <c r="AT18" i="18" s="1"/>
  <c r="AS166" i="18"/>
  <c r="AT166" i="18" s="1"/>
  <c r="AQ166" i="18"/>
  <c r="AQ131" i="18"/>
  <c r="AS131" i="18"/>
  <c r="AT131" i="18" s="1"/>
  <c r="AQ188" i="18"/>
  <c r="AS188" i="18"/>
  <c r="AT188" i="18" s="1"/>
  <c r="AQ141" i="18"/>
  <c r="AS141" i="18"/>
  <c r="AT141" i="18" s="1"/>
  <c r="AQ195" i="18"/>
  <c r="AS195" i="18"/>
  <c r="AT195" i="18" s="1"/>
  <c r="AQ63" i="18"/>
  <c r="AS63" i="18"/>
  <c r="AT63" i="18" s="1"/>
  <c r="AQ209" i="18"/>
  <c r="AS209" i="18"/>
  <c r="AT209" i="18" s="1"/>
  <c r="AQ72" i="18"/>
  <c r="AS72" i="18"/>
  <c r="AT72" i="18" s="1"/>
  <c r="AQ70" i="18"/>
  <c r="AS70" i="18"/>
  <c r="AT70" i="18" s="1"/>
  <c r="AQ100" i="18"/>
  <c r="AS100" i="18"/>
  <c r="AT100" i="18" s="1"/>
  <c r="AQ122" i="18"/>
  <c r="AS122" i="18"/>
  <c r="AT122" i="18" s="1"/>
  <c r="AQ197" i="18"/>
  <c r="AS197" i="18"/>
  <c r="AT197" i="18" s="1"/>
  <c r="AS49" i="18"/>
  <c r="AT49" i="18" s="1"/>
  <c r="AQ49" i="18"/>
  <c r="AQ40" i="18"/>
  <c r="AS40" i="18"/>
  <c r="AT40" i="18" s="1"/>
  <c r="AS110" i="18"/>
  <c r="AT110" i="18" s="1"/>
  <c r="AQ110" i="18"/>
  <c r="AS37" i="18"/>
  <c r="AT37" i="18" s="1"/>
  <c r="AQ37" i="18"/>
  <c r="AQ151" i="18"/>
  <c r="AS151" i="18"/>
  <c r="AT151" i="18" s="1"/>
  <c r="AS202" i="18"/>
  <c r="AT202" i="18" s="1"/>
  <c r="AQ202" i="18"/>
  <c r="AQ73" i="18"/>
  <c r="AS73" i="18"/>
  <c r="AT73" i="18" s="1"/>
  <c r="AS126" i="18"/>
  <c r="AT126" i="18" s="1"/>
  <c r="AQ126" i="18"/>
  <c r="AL66" i="18"/>
  <c r="AN66" i="18"/>
  <c r="AO66" i="18" s="1"/>
  <c r="AL195" i="18"/>
  <c r="AN195" i="18"/>
  <c r="AO195" i="18" s="1"/>
  <c r="AL194" i="18"/>
  <c r="AN194" i="18"/>
  <c r="AO194" i="18" s="1"/>
  <c r="AL35" i="18"/>
  <c r="AN35" i="18"/>
  <c r="AO35" i="18" s="1"/>
  <c r="AL216" i="18"/>
  <c r="AN216" i="18"/>
  <c r="AO216" i="18" s="1"/>
  <c r="AL16" i="18"/>
  <c r="AN16" i="18"/>
  <c r="AO16" i="18" s="1"/>
  <c r="AK17" i="18"/>
  <c r="AL218" i="18"/>
  <c r="AN218" i="18"/>
  <c r="AO218" i="18" s="1"/>
  <c r="AL164" i="18"/>
  <c r="AN164" i="18"/>
  <c r="AO164" i="18" s="1"/>
  <c r="AL112" i="18"/>
  <c r="AN112" i="18"/>
  <c r="AO112" i="18" s="1"/>
  <c r="AL165" i="18"/>
  <c r="AN165" i="18"/>
  <c r="AO165" i="18" s="1"/>
  <c r="AL115" i="18"/>
  <c r="AN115" i="18"/>
  <c r="AO115" i="18" s="1"/>
  <c r="AL51" i="18"/>
  <c r="AN51" i="18"/>
  <c r="AO51" i="18" s="1"/>
  <c r="AL173" i="18"/>
  <c r="AN173" i="18"/>
  <c r="AO173" i="18" s="1"/>
  <c r="AL196" i="18"/>
  <c r="AN196" i="18"/>
  <c r="AO196" i="18" s="1"/>
  <c r="AL169" i="18"/>
  <c r="AN169" i="18"/>
  <c r="AO169" i="18" s="1"/>
  <c r="AL201" i="18"/>
  <c r="AN201" i="18"/>
  <c r="AO201" i="18" s="1"/>
  <c r="AL210" i="18"/>
  <c r="AN210" i="18"/>
  <c r="AO210" i="18" s="1"/>
  <c r="AN119" i="18"/>
  <c r="AO119" i="18" s="1"/>
  <c r="AL119" i="18"/>
  <c r="AL160" i="18"/>
  <c r="AN160" i="18"/>
  <c r="AO160" i="18" s="1"/>
  <c r="AL18" i="18"/>
  <c r="AN18" i="18"/>
  <c r="AO18" i="18" s="1"/>
  <c r="AL187" i="18"/>
  <c r="AN187" i="18"/>
  <c r="AO187" i="18" s="1"/>
  <c r="AL208" i="18"/>
  <c r="AN208" i="18"/>
  <c r="AO208" i="18" s="1"/>
  <c r="AL69" i="18"/>
  <c r="AN69" i="18"/>
  <c r="AO69" i="18" s="1"/>
  <c r="AL104" i="18"/>
  <c r="AN104" i="18"/>
  <c r="AO104" i="18" s="1"/>
  <c r="AL170" i="18"/>
  <c r="AN170" i="18"/>
  <c r="AO170" i="18" s="1"/>
  <c r="AN206" i="18"/>
  <c r="AO206" i="18" s="1"/>
  <c r="AL206" i="18"/>
  <c r="AL129" i="18"/>
  <c r="AN129" i="18"/>
  <c r="AO129" i="18" s="1"/>
  <c r="AN59" i="18"/>
  <c r="AO59" i="18" s="1"/>
  <c r="AL59" i="18"/>
  <c r="AL163" i="18"/>
  <c r="AN163" i="18"/>
  <c r="AO163" i="18" s="1"/>
  <c r="AN90" i="18"/>
  <c r="AO90" i="18" s="1"/>
  <c r="AL90" i="18"/>
  <c r="AL117" i="18"/>
  <c r="AN117" i="18"/>
  <c r="AO117" i="18" s="1"/>
  <c r="AN67" i="18"/>
  <c r="AO67" i="18" s="1"/>
  <c r="AL67" i="18"/>
  <c r="AN49" i="18"/>
  <c r="AO49" i="18" s="1"/>
  <c r="AL49" i="18"/>
  <c r="AL142" i="18"/>
  <c r="AN142" i="18"/>
  <c r="AO142" i="18" s="1"/>
  <c r="AN70" i="18"/>
  <c r="AO70" i="18" s="1"/>
  <c r="AL70" i="18"/>
  <c r="AN126" i="18"/>
  <c r="AO126" i="18" s="1"/>
  <c r="AL126" i="18"/>
  <c r="AL202" i="18"/>
  <c r="AN202" i="18"/>
  <c r="AO202" i="18" s="1"/>
  <c r="AL88" i="18"/>
  <c r="AN88" i="18"/>
  <c r="AO88" i="18" s="1"/>
  <c r="AL53" i="18"/>
  <c r="AN53" i="18"/>
  <c r="AO53" i="18" s="1"/>
  <c r="AL141" i="18"/>
  <c r="AN141" i="18"/>
  <c r="AO141" i="18" s="1"/>
  <c r="AN100" i="18"/>
  <c r="AO100" i="18" s="1"/>
  <c r="AL100" i="18"/>
  <c r="AL89" i="18"/>
  <c r="AN89" i="18"/>
  <c r="AO89" i="18" s="1"/>
  <c r="AL125" i="18"/>
  <c r="AN125" i="18"/>
  <c r="AO125" i="18" s="1"/>
  <c r="AT82" i="18" l="1"/>
  <c r="AQ15" i="18"/>
  <c r="AT221" i="18"/>
  <c r="AQ38" i="18"/>
  <c r="AS38" i="18"/>
  <c r="AT38" i="18" s="1"/>
  <c r="AQ19" i="18"/>
  <c r="AS19" i="18"/>
  <c r="AT19" i="18" s="1"/>
  <c r="AL33" i="18"/>
  <c r="AN33" i="18"/>
  <c r="AO33" i="18" s="1"/>
  <c r="AT179" i="18"/>
  <c r="AL44" i="18"/>
  <c r="AN44" i="18"/>
  <c r="AO44" i="18" s="1"/>
  <c r="AQ29" i="18"/>
  <c r="AS29" i="18"/>
  <c r="AT29" i="18" s="1"/>
  <c r="AL17" i="18"/>
  <c r="AN17" i="18"/>
  <c r="AO17" i="18" s="1"/>
  <c r="AQ221" i="18"/>
  <c r="AL30" i="18"/>
  <c r="AN30" i="18"/>
  <c r="AO30" i="18" s="1"/>
  <c r="AN21" i="18"/>
  <c r="AO21" i="18" s="1"/>
  <c r="AL21" i="18"/>
  <c r="AL221" i="18"/>
  <c r="AQ179" i="18"/>
  <c r="AW11" i="18" s="1"/>
  <c r="AL47" i="18"/>
  <c r="AN47" i="18"/>
  <c r="AO47" i="18" s="1"/>
  <c r="AN41" i="18"/>
  <c r="AO41" i="18" s="1"/>
  <c r="AL41" i="18"/>
  <c r="AL14" i="18"/>
  <c r="AN14" i="18"/>
  <c r="AO14" i="18" s="1"/>
  <c r="AQ17" i="18"/>
  <c r="AS17" i="18"/>
  <c r="AT17" i="18" s="1"/>
  <c r="AL26" i="18"/>
  <c r="AN26" i="18"/>
  <c r="AO26" i="18" s="1"/>
  <c r="AL23" i="18"/>
  <c r="AN23" i="18"/>
  <c r="AO23" i="18" s="1"/>
  <c r="AO221" i="18"/>
  <c r="AQ23" i="18"/>
  <c r="AS23" i="18"/>
  <c r="AT23" i="18" s="1"/>
  <c r="AO179" i="18"/>
  <c r="AS21" i="18"/>
  <c r="AT21" i="18" s="1"/>
  <c r="AQ21" i="18"/>
  <c r="AQ26" i="18"/>
  <c r="AS26" i="18"/>
  <c r="AT26" i="18" s="1"/>
  <c r="AQ41" i="18"/>
  <c r="AS41" i="18"/>
  <c r="AT41" i="18" s="1"/>
  <c r="AQ44" i="18"/>
  <c r="AS44" i="18"/>
  <c r="AT44" i="18" s="1"/>
  <c r="AN19" i="18"/>
  <c r="AO19" i="18" s="1"/>
  <c r="AL19" i="18"/>
  <c r="AL38" i="18"/>
  <c r="AN38" i="18"/>
  <c r="AO38" i="18" s="1"/>
  <c r="AQ82" i="18"/>
  <c r="AL179" i="18"/>
  <c r="AT76" i="18" l="1"/>
  <c r="AL76" i="18"/>
  <c r="AO2" i="18" s="1"/>
  <c r="AQ76" i="18"/>
  <c r="AW7" i="18" s="1"/>
  <c r="AW12" i="18"/>
  <c r="AT236" i="18"/>
  <c r="AW8" i="18"/>
  <c r="AQ237" i="18"/>
  <c r="AS237" i="18" s="1"/>
  <c r="AO76" i="18"/>
  <c r="AW13" i="18" l="1"/>
  <c r="AQ236" i="18"/>
  <c r="AS236" i="18" s="1"/>
  <c r="C69" i="14" l="1"/>
</calcChain>
</file>

<file path=xl/comments1.xml><?xml version="1.0" encoding="utf-8"?>
<comments xmlns="http://schemas.openxmlformats.org/spreadsheetml/2006/main">
  <authors>
    <author>Heather Garland</author>
  </authors>
  <commentList>
    <comment ref="E164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Tons from TG-180323.</t>
        </r>
      </text>
    </comment>
  </commentList>
</comments>
</file>

<file path=xl/comments2.xml><?xml version="1.0" encoding="utf-8"?>
<comments xmlns="http://schemas.openxmlformats.org/spreadsheetml/2006/main">
  <authors>
    <author>WCNX</author>
    <author>Heather Garland</author>
    <author>Lindsay Waldram</author>
    <author>Patrick Sayan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Includes bill area: EGH, and Harbor.</t>
        </r>
      </text>
    </comment>
    <comment ref="AK13" authorId="1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W/O recycling is always $2 more than w/recycling.  Increase need to be the same for both service codes.</t>
        </r>
      </text>
    </comment>
    <comment ref="F51" authorId="2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Used Loose rates</t>
        </r>
      </text>
    </comment>
    <comment ref="D99" authorId="3">
      <text>
        <r>
          <rPr>
            <b/>
            <sz val="9"/>
            <color indexed="81"/>
            <rFont val="Tahoma"/>
            <family val="2"/>
          </rPr>
          <t>Patrick Sayan:</t>
        </r>
        <r>
          <rPr>
            <sz val="9"/>
            <color indexed="81"/>
            <rFont val="Tahoma"/>
            <family val="2"/>
          </rPr>
          <t xml:space="preserve">
added - 1ST PU to desc for lookup</t>
        </r>
      </text>
    </comment>
    <comment ref="F219" authorId="2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Site uses rim + tire </t>
        </r>
      </text>
    </comment>
  </commentList>
</comments>
</file>

<file path=xl/sharedStrings.xml><?xml version="1.0" encoding="utf-8"?>
<sst xmlns="http://schemas.openxmlformats.org/spreadsheetml/2006/main" count="890" uniqueCount="680">
  <si>
    <t>Monthly Frequency</t>
  </si>
  <si>
    <t>Gross Up</t>
  </si>
  <si>
    <t>Totals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</si>
  <si>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</si>
  <si>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</si>
  <si>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</si>
  <si>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</si>
  <si>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</si>
  <si>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</si>
  <si>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</si>
  <si>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</si>
  <si>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</si>
  <si>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</si>
  <si>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</si>
  <si>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</si>
  <si>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</si>
  <si>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</si>
  <si>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</si>
  <si>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</si>
  <si>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</si>
  <si>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</si>
  <si>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</si>
  <si>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</si>
  <si>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</si>
  <si>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</si>
  <si>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</si>
  <si>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</si>
  <si>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</si>
  <si>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</si>
  <si>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</si>
  <si>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</si>
  <si>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</si>
  <si>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</si>
  <si>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</si>
  <si>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</si>
  <si>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Proposed Revenue</t>
  </si>
  <si>
    <t>Company Current Tariff</t>
  </si>
  <si>
    <t>Company Current Revenue</t>
  </si>
  <si>
    <t>Monthly Customers</t>
  </si>
  <si>
    <t>Tariff Rate Increase</t>
  </si>
  <si>
    <t>Company Increased Revenue</t>
  </si>
  <si>
    <t>Revised Tariff Rate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</si>
  <si>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</si>
  <si>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</si>
  <si>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</si>
  <si>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</si>
  <si>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</si>
  <si>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</si>
  <si>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</si>
  <si>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</si>
  <si>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</si>
  <si>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</si>
  <si>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</si>
  <si>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</si>
  <si>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</si>
  <si>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</si>
  <si>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</si>
  <si>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</si>
  <si>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</si>
  <si>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</si>
  <si>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</si>
  <si>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</si>
  <si>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</si>
  <si>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</si>
  <si>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</si>
  <si>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</si>
  <si>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</si>
  <si>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</si>
  <si>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</si>
  <si>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</si>
  <si>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</si>
  <si>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</si>
  <si>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</si>
  <si>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</si>
  <si>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</si>
  <si>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</si>
  <si>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</si>
  <si>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</si>
  <si>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</si>
  <si>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</si>
  <si>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</si>
  <si>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</si>
  <si>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</si>
  <si>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</si>
  <si>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</si>
  <si>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</si>
  <si>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</si>
  <si>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</si>
  <si>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</si>
  <si>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</si>
  <si>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</si>
  <si>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</si>
  <si>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35 gallon Can</t>
  </si>
  <si>
    <t>1 YD TEMP</t>
  </si>
  <si>
    <t>Proposed Increase</t>
  </si>
  <si>
    <t>Grays Harbor County</t>
  </si>
  <si>
    <t>Prepaid Bag</t>
  </si>
  <si>
    <t>Item 55, Pg. 15</t>
  </si>
  <si>
    <t>Oversized Container</t>
  </si>
  <si>
    <t>Mini Can Weekly</t>
  </si>
  <si>
    <t>1 Can Weekly</t>
  </si>
  <si>
    <t>2 Can Weekly</t>
  </si>
  <si>
    <t>3 Can Weekly</t>
  </si>
  <si>
    <t>4 Can Weekly</t>
  </si>
  <si>
    <t>5 Can Weekly</t>
  </si>
  <si>
    <t>65 Gal Weekly</t>
  </si>
  <si>
    <t>95 Gal Weekly</t>
  </si>
  <si>
    <t>1 Can EOW</t>
  </si>
  <si>
    <t>65 Gal EOW</t>
  </si>
  <si>
    <t>95 Gal EOW</t>
  </si>
  <si>
    <t>1 Can Monthly</t>
  </si>
  <si>
    <t>65 Gal Monthly</t>
  </si>
  <si>
    <t>95 Gal Monthly</t>
  </si>
  <si>
    <t>Item 100, Pg. 21</t>
  </si>
  <si>
    <t>32 Gal Extra</t>
  </si>
  <si>
    <t>65 Gal Extra</t>
  </si>
  <si>
    <t>95 Gal Extra</t>
  </si>
  <si>
    <t>On-Call</t>
  </si>
  <si>
    <t>Item 150, Pg. 22</t>
  </si>
  <si>
    <t>Bulky Material 1-4yd</t>
  </si>
  <si>
    <t>Bulky Material per Yard</t>
  </si>
  <si>
    <t>Bulky Material Min Charge</t>
  </si>
  <si>
    <t>Loose Material 1-4yd</t>
  </si>
  <si>
    <t>Loose Material per Yard</t>
  </si>
  <si>
    <t>Loose Material Min Charge</t>
  </si>
  <si>
    <t>Item 207, Pg. 26</t>
  </si>
  <si>
    <t>Overfilled Container</t>
  </si>
  <si>
    <t>Item 230, Pg. 28</t>
  </si>
  <si>
    <t>Item 240, Pg. 29</t>
  </si>
  <si>
    <t>1 Yard - First PU</t>
  </si>
  <si>
    <t>1.5 Yard - First PU</t>
  </si>
  <si>
    <t>2 Yard - First PU</t>
  </si>
  <si>
    <t>3 Yard - First PU</t>
  </si>
  <si>
    <t>4 Yard - First PU</t>
  </si>
  <si>
    <t>6 Yard - First PU</t>
  </si>
  <si>
    <t>8 Yard - First PU</t>
  </si>
  <si>
    <t>1 Yard - Addt'l PU</t>
  </si>
  <si>
    <t>1.5 Yard - Addt'l PU</t>
  </si>
  <si>
    <t>2 Yard - Addt'l PU</t>
  </si>
  <si>
    <t>3 Yard - Addt'l PU</t>
  </si>
  <si>
    <t>4 Yard - Addt'l PU</t>
  </si>
  <si>
    <t>6 Yard - Addt'l PU</t>
  </si>
  <si>
    <t>8 Yard - Addt'l PU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</si>
  <si>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</si>
  <si>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</si>
  <si>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</si>
  <si>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</si>
  <si>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</si>
  <si>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</si>
  <si>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</si>
  <si>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</si>
  <si>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</si>
  <si>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</si>
  <si>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</si>
  <si>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</si>
  <si>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</si>
  <si>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</si>
  <si>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32 Gal- First 5 Grouped</t>
  </si>
  <si>
    <t>32 Gal - Over 5 Grouped</t>
  </si>
  <si>
    <t>32 Gal - Single</t>
  </si>
  <si>
    <t>32 Gal Monthly Min</t>
  </si>
  <si>
    <t>32 Gal - Special</t>
  </si>
  <si>
    <t>32 Gal - Addt'l Special</t>
  </si>
  <si>
    <t>65 Gal- First 5 Grouped</t>
  </si>
  <si>
    <t>65 Gal - Over 5 Grouped</t>
  </si>
  <si>
    <t>95 Gal- First 5 Grouped</t>
  </si>
  <si>
    <t>95 Gal - Over 5 Grouped</t>
  </si>
  <si>
    <t xml:space="preserve">Monthly </t>
  </si>
  <si>
    <t>Service Code</t>
  </si>
  <si>
    <t>Service Code Description</t>
  </si>
  <si>
    <t>Revenue</t>
  </si>
  <si>
    <t>Customers</t>
  </si>
  <si>
    <t>Count</t>
  </si>
  <si>
    <t>RESIDENTIAL SERVICES</t>
  </si>
  <si>
    <t>RESIDENTIAL GARBAGE</t>
  </si>
  <si>
    <t>RL020.0G1W001</t>
  </si>
  <si>
    <t>20 GL 1X WK 1</t>
  </si>
  <si>
    <t>RL020.0G1W001NOREC</t>
  </si>
  <si>
    <t>20 GL 1X WK NO RECY 1</t>
  </si>
  <si>
    <t>SL020.0G1W001NOREC</t>
  </si>
  <si>
    <t>RL032.0G1M001</t>
  </si>
  <si>
    <t>32 GL 1X MO 1</t>
  </si>
  <si>
    <t>SL032.0G1M001</t>
  </si>
  <si>
    <t>RL032.0G1M001NOREC</t>
  </si>
  <si>
    <t>32 GL 1X MO NO RECY 1</t>
  </si>
  <si>
    <t>RL032.0G1M001WREC</t>
  </si>
  <si>
    <t>32 GL 1X MO W/RECY 1</t>
  </si>
  <si>
    <t>RL032.0G1W001NOREC</t>
  </si>
  <si>
    <t>32 GL 1X WK NO RECY 1</t>
  </si>
  <si>
    <t>RL032.0G1W001WREC</t>
  </si>
  <si>
    <t>32 GL 1X WK W/RECY 1</t>
  </si>
  <si>
    <t>RL032.0G1W002NOREC</t>
  </si>
  <si>
    <t>32 GL 1X WK NO RECY 2</t>
  </si>
  <si>
    <t>RL032.0G1W002WREC</t>
  </si>
  <si>
    <t>32 GL 1X WK W/RECY 2</t>
  </si>
  <si>
    <t>RL032.0G1W003NOREC</t>
  </si>
  <si>
    <t>32 GL 1X WK NO RECY 3</t>
  </si>
  <si>
    <t>RL032.0G1W003WREC</t>
  </si>
  <si>
    <t>32 GL 1X WK W/RECY 3</t>
  </si>
  <si>
    <t>RL032.0G1W004NOREC</t>
  </si>
  <si>
    <t>32 GL 1X WK NO RECY 4</t>
  </si>
  <si>
    <t>RL032.0GEO001NOREC</t>
  </si>
  <si>
    <t>32 GL EOW NO RECY 1</t>
  </si>
  <si>
    <t>RL032.0GEO001WREC</t>
  </si>
  <si>
    <t>32 GL EOW W/RECY 1</t>
  </si>
  <si>
    <t>SL065.0G1M001</t>
  </si>
  <si>
    <t>65 GL 1X MO 1</t>
  </si>
  <si>
    <t>SL065.0G1M001NOREC</t>
  </si>
  <si>
    <t>65 GL 1X MO NO RECY 1</t>
  </si>
  <si>
    <t>SL065.0G1M001WREC</t>
  </si>
  <si>
    <t>65 GL 1X MO W/RECY 1</t>
  </si>
  <si>
    <t>SL065.0G1W001</t>
  </si>
  <si>
    <t>65 GL 1X WK 1</t>
  </si>
  <si>
    <t>SL065.0G1W001NOREC</t>
  </si>
  <si>
    <t>65 GL 1X WK NO RECY 1</t>
  </si>
  <si>
    <t>SL065.0G1W001WREC</t>
  </si>
  <si>
    <t>65 GL 1X WK W/RECY 1</t>
  </si>
  <si>
    <t>SL065.0G1W002WREC</t>
  </si>
  <si>
    <t>65 GL 1X WK W/RECY 2</t>
  </si>
  <si>
    <t>SL065.0GEO001</t>
  </si>
  <si>
    <t>65 GL EOW 1</t>
  </si>
  <si>
    <t>SL065.0GEO001NOREC</t>
  </si>
  <si>
    <t>65 GL EOW NO RECY 1</t>
  </si>
  <si>
    <t>SL065.0GEO001WREC</t>
  </si>
  <si>
    <t>65 GL EOW W/RECY 1</t>
  </si>
  <si>
    <t>SL095.0G1M001</t>
  </si>
  <si>
    <t>95 GL 1X MO 1</t>
  </si>
  <si>
    <t>SL095.0G1M001NOREC</t>
  </si>
  <si>
    <t>95 GL 1X MO NO RECY 1</t>
  </si>
  <si>
    <t>SL095.0G1M001WREC</t>
  </si>
  <si>
    <t>95 GL 1X MO W/RECY 1</t>
  </si>
  <si>
    <t>SL095.0G1W001</t>
  </si>
  <si>
    <t>95 GL 1X WK 1</t>
  </si>
  <si>
    <t>SL095.0G1W001NOREC</t>
  </si>
  <si>
    <t>95 GL 1X WK NO RECY 1</t>
  </si>
  <si>
    <t>SL095.0G1W001WREC</t>
  </si>
  <si>
    <t>95 GL 1X WK W/RECY 1</t>
  </si>
  <si>
    <t>SL095.0GEO001</t>
  </si>
  <si>
    <t>95 GL EOW 1</t>
  </si>
  <si>
    <t>SL095.0GEO001NOREC</t>
  </si>
  <si>
    <t>95 GL EOW NO RECY 1</t>
  </si>
  <si>
    <t>SL095.0GEO001WREC</t>
  </si>
  <si>
    <t>95 GL EOW W/RECY 1</t>
  </si>
  <si>
    <t>OC-RES</t>
  </si>
  <si>
    <t>ON CALL SERVICE - RES</t>
  </si>
  <si>
    <t>EXTRA-RES</t>
  </si>
  <si>
    <t>EXTRA CAN, BAG, BOX - RES</t>
  </si>
  <si>
    <t>OVERFILL / OVERWEIGHT CAN</t>
  </si>
  <si>
    <t>EXTRAYDG-RES</t>
  </si>
  <si>
    <t>EXTRA YARDAGE - RES</t>
  </si>
  <si>
    <t>SP32-RES</t>
  </si>
  <si>
    <t>SPECIAL PICK UP 32 GL - RES</t>
  </si>
  <si>
    <t>SPCL32-RES</t>
  </si>
  <si>
    <t>SPECIAL 32 GL - RES</t>
  </si>
  <si>
    <t>SP65-RES</t>
  </si>
  <si>
    <t>SPECIAL PICK UP 65 GL - R</t>
  </si>
  <si>
    <t>SP95-RES</t>
  </si>
  <si>
    <t>SPECIAL PICK UP 95 GL - R</t>
  </si>
  <si>
    <t>ACCESS-RES</t>
  </si>
  <si>
    <t>ACCESS FEE - RES</t>
  </si>
  <si>
    <t>REINSTATE-RES</t>
  </si>
  <si>
    <t>REINSTATE FEE - RES</t>
  </si>
  <si>
    <t>RTRNCART65-RES</t>
  </si>
  <si>
    <t>RETURN TRIP 65 GL - RES</t>
  </si>
  <si>
    <t>RTRNTRIP-RES</t>
  </si>
  <si>
    <t>RETURN TRIP FEE - RES</t>
  </si>
  <si>
    <t>RTRNCART-RES</t>
  </si>
  <si>
    <t>DRIVEINEOW-RES</t>
  </si>
  <si>
    <t>DRIVE IN EOW - RES</t>
  </si>
  <si>
    <t>DRIVEIN-RES</t>
  </si>
  <si>
    <t>DRIVE IN SERVICE - RES</t>
  </si>
  <si>
    <t>WI5-RES</t>
  </si>
  <si>
    <t>WALK IN 101-125' - RES</t>
  </si>
  <si>
    <t>WI2-RES</t>
  </si>
  <si>
    <t>WALK IN 26-50' - RES</t>
  </si>
  <si>
    <t>WI3-RES</t>
  </si>
  <si>
    <t>WALK IN 51-75' - RES</t>
  </si>
  <si>
    <t>WI-RES</t>
  </si>
  <si>
    <t>WALK IN 6-25' - RES</t>
  </si>
  <si>
    <t>WI4-RES</t>
  </si>
  <si>
    <t>WALK IN 76-100' - RES</t>
  </si>
  <si>
    <t>TOTAL RESIDENTIAL GARBAGE</t>
  </si>
  <si>
    <t>COMMERCIAL SERVICES</t>
  </si>
  <si>
    <t>COMMERCIAL GARBAGE</t>
  </si>
  <si>
    <t>FL001.0Y1W001</t>
  </si>
  <si>
    <t>1 YD 1X WK 1</t>
  </si>
  <si>
    <t>RL001.0Y1W001</t>
  </si>
  <si>
    <t>1 YD 2X WK 1</t>
  </si>
  <si>
    <t>RL001.0Y2W001</t>
  </si>
  <si>
    <t>FL001.0YEO001</t>
  </si>
  <si>
    <t>1 YD EOW 1</t>
  </si>
  <si>
    <t>RL001.0YEO001</t>
  </si>
  <si>
    <t>RL001.5Y1M001</t>
  </si>
  <si>
    <t>FL001.5Y1W001</t>
  </si>
  <si>
    <t>1.5 YD 1X WK 1</t>
  </si>
  <si>
    <t>RL001.5Y1W001</t>
  </si>
  <si>
    <t>FL001.5Y2W001</t>
  </si>
  <si>
    <t>1.5 YD 2X WK 1</t>
  </si>
  <si>
    <t>RL001.5Y2W001</t>
  </si>
  <si>
    <t>FL001.5YEO001</t>
  </si>
  <si>
    <t>1.5 YD EOW 1</t>
  </si>
  <si>
    <t>RL001.5YEO001</t>
  </si>
  <si>
    <t>FL002.0Y1W001</t>
  </si>
  <si>
    <t>2 YD 1X WK 1</t>
  </si>
  <si>
    <t>RL002.0Y1W001</t>
  </si>
  <si>
    <t>FL002.0Y2W001</t>
  </si>
  <si>
    <t>2 YD 2X WK 1</t>
  </si>
  <si>
    <t>RL002.0Y2W001</t>
  </si>
  <si>
    <t>FL002.0YEO001</t>
  </si>
  <si>
    <t>2 YD EOW 1</t>
  </si>
  <si>
    <t>RL002.0YEO001</t>
  </si>
  <si>
    <t>FL003.0Y1W001</t>
  </si>
  <si>
    <t>3 YD 1X WK 1</t>
  </si>
  <si>
    <t>FL003.0Y2W001</t>
  </si>
  <si>
    <t>3 YD 2X WK 1</t>
  </si>
  <si>
    <t>FL003.0YEO001</t>
  </si>
  <si>
    <t>3 YD EOW 1</t>
  </si>
  <si>
    <t>FL004.0Y1W001</t>
  </si>
  <si>
    <t>4 YD 1X WK 1</t>
  </si>
  <si>
    <t>FL004.0Y2W001</t>
  </si>
  <si>
    <t>4 YD 2X WK 1</t>
  </si>
  <si>
    <t>FL004.0YEO001</t>
  </si>
  <si>
    <t>4 YD EOW 1</t>
  </si>
  <si>
    <t>FL006.0Y1W001</t>
  </si>
  <si>
    <t>6 YD 1X WK 1</t>
  </si>
  <si>
    <t>FL006.0Y2W001</t>
  </si>
  <si>
    <t>6 YD 2X WK 1</t>
  </si>
  <si>
    <t>FL006.0YEO001</t>
  </si>
  <si>
    <t>6 YD EOW 1</t>
  </si>
  <si>
    <t>FL008.0Y1W001</t>
  </si>
  <si>
    <t>8 YD 1X WK 1</t>
  </si>
  <si>
    <t>FL008.0YEO001</t>
  </si>
  <si>
    <t>8 YD EOW 1</t>
  </si>
  <si>
    <t>RL032.0G1W001COMM</t>
  </si>
  <si>
    <t>32 GL 1X WK COMM 1</t>
  </si>
  <si>
    <t>RL032.0G1W001WRECC</t>
  </si>
  <si>
    <t>32 GL 1X WK W/RECY COMM 1</t>
  </si>
  <si>
    <t>RL032.0G1W001NORECC</t>
  </si>
  <si>
    <t xml:space="preserve">32 GL 1X WK NO RECY COMM </t>
  </si>
  <si>
    <t>RL032.0G1W002COMM</t>
  </si>
  <si>
    <t>RL032.0G1W002WRECC</t>
  </si>
  <si>
    <t>32 GL 1X WK W/RECY COMM 2</t>
  </si>
  <si>
    <t>RL032.0G1W003WRECC</t>
  </si>
  <si>
    <t>32 GL 1X WK W/RECY COMM 3</t>
  </si>
  <si>
    <t>RL032.0G1W006WRECC</t>
  </si>
  <si>
    <t>32 GL 1X WK W/RECY COMM 6</t>
  </si>
  <si>
    <t>SL065.0G1W001COMM</t>
  </si>
  <si>
    <t>65 GL 1X WK COMM 1</t>
  </si>
  <si>
    <t>SL065.0G1W001WRECC</t>
  </si>
  <si>
    <t>65 GL 1X WK W/RECY COMM 1</t>
  </si>
  <si>
    <t>SL065.0GEO001COMM</t>
  </si>
  <si>
    <t>65 GL EOW COMM 1</t>
  </si>
  <si>
    <t>SL065.0GEO001WRECC</t>
  </si>
  <si>
    <t>65 GL EOW W/RECY COMM 1</t>
  </si>
  <si>
    <t>SL065.0G1W002WRECC</t>
  </si>
  <si>
    <t>65 GL 1X WK W/RECY COMM 2</t>
  </si>
  <si>
    <t>SL095.0G1W001COMM</t>
  </si>
  <si>
    <t>95 GL 1X WK COMM 1</t>
  </si>
  <si>
    <t>SL095.0G1W001WRECC</t>
  </si>
  <si>
    <t>95 GL 1X WK W/RECY COMM 1</t>
  </si>
  <si>
    <t>SL095.0G1W002COMM</t>
  </si>
  <si>
    <t>95 GL 1X WK COMM 2</t>
  </si>
  <si>
    <t>SL095.0GEO001NORECC</t>
  </si>
  <si>
    <t>95 GL EOW NO RECY COMM 1</t>
  </si>
  <si>
    <t>SL095.0GEO001WRECC</t>
  </si>
  <si>
    <t>95 GL EOW W/RECY COMM 1</t>
  </si>
  <si>
    <t>RL001.0YXX001TEMPC</t>
  </si>
  <si>
    <t>RL001.5YXX001TEMPC</t>
  </si>
  <si>
    <t>1.5 YD TEMP</t>
  </si>
  <si>
    <t>RL002.0YXX001TEMPC</t>
  </si>
  <si>
    <t>2 YD TEMP</t>
  </si>
  <si>
    <t>SP1-COMM</t>
  </si>
  <si>
    <t>SPECIAL PICK UP 1 YD - CO</t>
  </si>
  <si>
    <t>SP1.5-COMM</t>
  </si>
  <si>
    <t xml:space="preserve">SPECIAL PICK UP 1.5 YD - </t>
  </si>
  <si>
    <t>SP2-COMM</t>
  </si>
  <si>
    <t>SPECIAL PICK UP 2 YD - CO</t>
  </si>
  <si>
    <t>SP3-COMM</t>
  </si>
  <si>
    <t>SPECIAL PICK UP 3 YD - CO</t>
  </si>
  <si>
    <t>SP4-COMM</t>
  </si>
  <si>
    <t>SPECIAL PICK UP 4 YD - CO</t>
  </si>
  <si>
    <t>SP6-COMM</t>
  </si>
  <si>
    <t>SPECIAL PICK UP 6 YD - CO</t>
  </si>
  <si>
    <t>EXTRA-COMM</t>
  </si>
  <si>
    <t>EXTRA CAN, BAG, BOX - COM</t>
  </si>
  <si>
    <t>EXTRAYDG-COM</t>
  </si>
  <si>
    <t>EXTRA YARDAGE - COMM</t>
  </si>
  <si>
    <t>CANCOUNT-COMM</t>
  </si>
  <si>
    <t>CAN COUNT - COMM</t>
  </si>
  <si>
    <t>RENT1TEMP-COMM</t>
  </si>
  <si>
    <t>RENT 1 YD TEMP - COMM</t>
  </si>
  <si>
    <t>RENT1.5TEMP-COMM</t>
  </si>
  <si>
    <t>RENT 1.5 YD TEMP - COMM</t>
  </si>
  <si>
    <t>RENT2TEMP-COMM</t>
  </si>
  <si>
    <t>RENT 2 YD TEMP - COMM</t>
  </si>
  <si>
    <t>RENT6TEMP-COMM</t>
  </si>
  <si>
    <t>RENT 6 YD TEMP - COMM</t>
  </si>
  <si>
    <t>DEL1TEMP-COMM</t>
  </si>
  <si>
    <t xml:space="preserve">DELIVERY FEE 1 YD TEMP - </t>
  </si>
  <si>
    <t>DEL1.5TEMP-COMM</t>
  </si>
  <si>
    <t xml:space="preserve">DELIVERY FEE 1.5 YD TEMP </t>
  </si>
  <si>
    <t>DEL2TEMP-COMM</t>
  </si>
  <si>
    <t xml:space="preserve">DELIVERY FEE 2 YD TEMP - </t>
  </si>
  <si>
    <t>DEL4TEMP-COMM</t>
  </si>
  <si>
    <t xml:space="preserve">DELIVERY FEE 4 YD TEMP - </t>
  </si>
  <si>
    <t>DEL6TEMP-COMM</t>
  </si>
  <si>
    <t xml:space="preserve">DELIVERY FEE 6 YD TEMP - </t>
  </si>
  <si>
    <t>DRIVEINEOW-COMM</t>
  </si>
  <si>
    <t>DRIVE IN EOW - COMM</t>
  </si>
  <si>
    <t>DRIVEIN-COMM</t>
  </si>
  <si>
    <t>DRIVE IN SERVICE - COMM</t>
  </si>
  <si>
    <t>WI1-COMM</t>
  </si>
  <si>
    <t>WALK IN 6-25' - COMM</t>
  </si>
  <si>
    <t>ACCESS-COMM</t>
  </si>
  <si>
    <t>ACCESS FEE - COMM</t>
  </si>
  <si>
    <t>ACCESS2W-COMM</t>
  </si>
  <si>
    <t>ACCESS FEE 2X WK - COMM</t>
  </si>
  <si>
    <t>REINSTATE-COMM</t>
  </si>
  <si>
    <t>REINSTATE FEE - COMM</t>
  </si>
  <si>
    <t>RTRNTRIP-COMM</t>
  </si>
  <si>
    <t>RETURN TRIP FEE - COMM</t>
  </si>
  <si>
    <t>APPLIANCEC</t>
  </si>
  <si>
    <t>APPLIANCE REMOVAL - COMM</t>
  </si>
  <si>
    <t>LCKC</t>
  </si>
  <si>
    <t>LOCK CHARGE - COMM</t>
  </si>
  <si>
    <t>LCKCEOW</t>
  </si>
  <si>
    <t>LOCK CHARGE EOW - COMM</t>
  </si>
  <si>
    <t>TIME-COMM</t>
  </si>
  <si>
    <t>TIME FEE 1 - COMM</t>
  </si>
  <si>
    <t>TOTAL COMMERCIAL GARBAGE</t>
  </si>
  <si>
    <t>* not on meeks - calculated by staff in previous cases</t>
  </si>
  <si>
    <t xml:space="preserve">  For Non-Recycling Customers Add</t>
  </si>
  <si>
    <t xml:space="preserve">  per month</t>
  </si>
  <si>
    <t>Harold LeMay Enterprises, Inc. G-98</t>
  </si>
  <si>
    <t>dba Harbor Disposal and Eastern Gray's Harbor Disposal</t>
  </si>
  <si>
    <t>Dump Fee Calc References</t>
  </si>
  <si>
    <t>Month</t>
  </si>
  <si>
    <t>RO</t>
  </si>
  <si>
    <t>Difference</t>
  </si>
  <si>
    <t>Regulated</t>
  </si>
  <si>
    <t>Increase per Ton</t>
  </si>
  <si>
    <t>Current Tariff Rate</t>
  </si>
  <si>
    <t>Item 245, Pg 30</t>
  </si>
  <si>
    <t>Dump Fee Calculation</t>
  </si>
  <si>
    <t>Annual Pickups</t>
  </si>
  <si>
    <t>Company Calculated Rate</t>
  </si>
  <si>
    <t>Check</t>
  </si>
  <si>
    <t xml:space="preserve"> Company Over/ (Under)</t>
  </si>
  <si>
    <t>Revised Revenue</t>
  </si>
  <si>
    <t>Revised Revenue Increase</t>
  </si>
  <si>
    <t>Roll-Off</t>
  </si>
  <si>
    <t>With Recycling</t>
  </si>
  <si>
    <t>Without Recycling</t>
  </si>
  <si>
    <t>Item 100, Pg. 20</t>
  </si>
  <si>
    <t>1 YD 1X WK 1 - 1ST PU</t>
  </si>
  <si>
    <t>1 YD 2X WK 1 - 1ST PU</t>
  </si>
  <si>
    <t>1 YD EOW 1 - 1ST PU</t>
  </si>
  <si>
    <t>1.5 YD 1X WK 1 - 1ST PU</t>
  </si>
  <si>
    <t>1.5 YD 1X MO 1 - 1ST PU</t>
  </si>
  <si>
    <t>1.5 YD 2X WK 1 - 1ST PU</t>
  </si>
  <si>
    <t>1.5 YD EOW 1 - 1ST PU</t>
  </si>
  <si>
    <t>2 YD 1X WK 1 - 1ST PU</t>
  </si>
  <si>
    <t>2 YD 2X WK 1 - 1ST PU</t>
  </si>
  <si>
    <t>2 YD EOW 1 - 1ST PU</t>
  </si>
  <si>
    <t>3 YD 1X WK 1 - 1ST PU</t>
  </si>
  <si>
    <t>3 YD 2X WK 1 - 1ST PU</t>
  </si>
  <si>
    <t>3 YD EOW 1 - 1ST PU</t>
  </si>
  <si>
    <t>4 YD 1X WK 1 - 1ST PU</t>
  </si>
  <si>
    <t>4 YD 2X WK 1 - 1ST PU</t>
  </si>
  <si>
    <t>4 YD EOW 1 - 1ST PU</t>
  </si>
  <si>
    <t>6 YD 1X WK 1 - 1ST PU</t>
  </si>
  <si>
    <t>6 YD 2X WK 1 - 1ST PU</t>
  </si>
  <si>
    <t>6 YD EOW 1 - 1ST PU</t>
  </si>
  <si>
    <t>8 YD 1X WK 1 - 1ST PU</t>
  </si>
  <si>
    <t>8 YD EOW 1 - 1ST PU</t>
  </si>
  <si>
    <t>5 Can Weekly - No Recycling</t>
  </si>
  <si>
    <t>New 1/1/2018 Rate</t>
  </si>
  <si>
    <t>Commercial Garbage</t>
  </si>
  <si>
    <t>Passenger Tires</t>
  </si>
  <si>
    <t>Truck Tires</t>
  </si>
  <si>
    <t>Tire Rim</t>
  </si>
  <si>
    <t>Minimum</t>
  </si>
  <si>
    <t>Refrigerated Appliances</t>
  </si>
  <si>
    <t>Grays Harbor WUTC</t>
  </si>
  <si>
    <t>Gray's Harbor</t>
  </si>
  <si>
    <t>Per LG</t>
  </si>
  <si>
    <t>Plug to Balance</t>
  </si>
  <si>
    <t>Increase%</t>
  </si>
  <si>
    <t>$ per LG</t>
  </si>
  <si>
    <t>Staff  Calculations</t>
  </si>
  <si>
    <t>HARBOR</t>
  </si>
  <si>
    <t>Regulated Areas Price Out</t>
  </si>
  <si>
    <t>Garbage Increase</t>
  </si>
  <si>
    <t>adjustment</t>
  </si>
  <si>
    <t>March 1, 2017 - February 28, 2018</t>
  </si>
  <si>
    <t>Recycling Increase</t>
  </si>
  <si>
    <t>Note:  Data below is from our billing system.  Support available upon request.</t>
  </si>
  <si>
    <t>Average</t>
  </si>
  <si>
    <t>Tariff</t>
  </si>
  <si>
    <t xml:space="preserve">Annual </t>
  </si>
  <si>
    <t>Proposed</t>
  </si>
  <si>
    <t>2017 Tarrif</t>
  </si>
  <si>
    <t>2018 Tarrif</t>
  </si>
  <si>
    <t>Cust</t>
  </si>
  <si>
    <t>Tariff Rate</t>
  </si>
  <si>
    <t>Annual Revenue</t>
  </si>
  <si>
    <t>Residential MSW</t>
  </si>
  <si>
    <t>Residential Recycling</t>
  </si>
  <si>
    <t>Concatenate (Area &amp;LOB &amp; Service Code)</t>
  </si>
  <si>
    <t>Count (ensures no duplicates)</t>
  </si>
  <si>
    <t>Commercial MSW</t>
  </si>
  <si>
    <t>SL020.0G1W001WREC</t>
  </si>
  <si>
    <t>20 GL 1X WK W/RECY 1</t>
  </si>
  <si>
    <t>SL065.0G1M002WREC</t>
  </si>
  <si>
    <t>65 GL 1X MO W/RECY 2</t>
  </si>
  <si>
    <t>BULKY-RES</t>
  </si>
  <si>
    <t>BULKY ITEM PICK UP - RES</t>
  </si>
  <si>
    <t>REDEL-RES</t>
  </si>
  <si>
    <t>REDELIVER FEE - RES</t>
  </si>
  <si>
    <t>RTRNCART95-RES</t>
  </si>
  <si>
    <t>RETURN TRIP 95 GL - RES</t>
  </si>
  <si>
    <t>TIME-RES</t>
  </si>
  <si>
    <t>TIME FEE 1 - RES</t>
  </si>
  <si>
    <t>TIMENP-RES</t>
  </si>
  <si>
    <t>RESIDENTIAL RECYCLING</t>
  </si>
  <si>
    <t>RECBINONLYR</t>
  </si>
  <si>
    <t>RECYCLE SERVICE ONLY</t>
  </si>
  <si>
    <t>RECPROGADJ-RES</t>
  </si>
  <si>
    <t>RECYCLING PROGRAM ADJUSTM</t>
  </si>
  <si>
    <t>TOTAL RESIDENTIAL RECYCLING</t>
  </si>
  <si>
    <t>FL006.0YXX001TEMPC</t>
  </si>
  <si>
    <t>6 YD TEMP 1</t>
  </si>
  <si>
    <t>RL032.0G1W004COMM</t>
  </si>
  <si>
    <t>32 GL 1X WK COMM 4</t>
  </si>
  <si>
    <t>SL065.0G1W001NORECC</t>
  </si>
  <si>
    <t>SL065.0GEO001NORECC</t>
  </si>
  <si>
    <t>SL095.0GEO001COMM</t>
  </si>
  <si>
    <t>SPCL95-COMM</t>
  </si>
  <si>
    <t>SPECIAL PICKUP 96GAL - COMM</t>
  </si>
  <si>
    <t>SP-COMM</t>
  </si>
  <si>
    <t>SPECIAL HAUL - COMM</t>
  </si>
  <si>
    <t>ACCESSEOW-COMM</t>
  </si>
  <si>
    <t>ACCESS FEE EOW - COMM</t>
  </si>
  <si>
    <t>RTRNTRIP1.5-COMM</t>
  </si>
  <si>
    <t>RETURN TRIP 1.5 YD - COMM</t>
  </si>
  <si>
    <t>RTRNTRIP2-COMM</t>
  </si>
  <si>
    <t>RETURN TRIP 2 YD - COMM</t>
  </si>
  <si>
    <t>DROP BOX SERVICES</t>
  </si>
  <si>
    <t>DROP BOX HAULS/RENTAL</t>
  </si>
  <si>
    <t>FINAL20-RO</t>
  </si>
  <si>
    <t>FINAL PULL 20 YD - RO</t>
  </si>
  <si>
    <t>FINAL20TEMP-RO</t>
  </si>
  <si>
    <t>FINAL PULL 20 YD TEMP - R</t>
  </si>
  <si>
    <t>FINAL30-RO</t>
  </si>
  <si>
    <t>FINAL PULL 30 YD - RO</t>
  </si>
  <si>
    <t>FINAL30TEMP-RO</t>
  </si>
  <si>
    <t>FINAL PULL 30 YD TEMP - R</t>
  </si>
  <si>
    <t>FINAL40-RO</t>
  </si>
  <si>
    <t>FINAL PULL 40 YD - RO</t>
  </si>
  <si>
    <t>FINAL40TEMP-RO</t>
  </si>
  <si>
    <t>FINAL PULL 40 YD TEMP - R</t>
  </si>
  <si>
    <t>HAUL20-CP</t>
  </si>
  <si>
    <t>COMPACTOR HAUL 20 YD - RO</t>
  </si>
  <si>
    <t>HAUL20-RO</t>
  </si>
  <si>
    <t>HAUL 20 YD - RO</t>
  </si>
  <si>
    <t>HAUL20TEMP-RO</t>
  </si>
  <si>
    <t>HAUL 20 YD TEMP - RO</t>
  </si>
  <si>
    <t>HAUL24-CP</t>
  </si>
  <si>
    <t>COMPACTOR HAUL 24 YD - RO</t>
  </si>
  <si>
    <t>HAUL30-CP</t>
  </si>
  <si>
    <t>COMPACTOR HAUL 30 YD</t>
  </si>
  <si>
    <t>HAUL30-RO</t>
  </si>
  <si>
    <t>HAUL 30 YD - RO</t>
  </si>
  <si>
    <t>HAUL30TEMP-RO</t>
  </si>
  <si>
    <t>HAUL 30 YD TEMP - RO</t>
  </si>
  <si>
    <t>HAUL40-CP</t>
  </si>
  <si>
    <t>COMPACTOR HAUL 40 YD</t>
  </si>
  <si>
    <t>HAUL40-RO</t>
  </si>
  <si>
    <t>HAUL 40 YD - RO</t>
  </si>
  <si>
    <t>HAUL40TEMP-RO</t>
  </si>
  <si>
    <t>HAUL 40 YD TEMP - RO</t>
  </si>
  <si>
    <t>CLEAN20-RO</t>
  </si>
  <si>
    <t>CLEANING FEE 20 YD - RO</t>
  </si>
  <si>
    <t>DEL20-RO</t>
  </si>
  <si>
    <t>DELIVERY FEE 20 YD - RO</t>
  </si>
  <si>
    <t>DEL20TEMP-RO</t>
  </si>
  <si>
    <t>DELIVERY FEE 20 YD TEMP -</t>
  </si>
  <si>
    <t>DEL30-RO</t>
  </si>
  <si>
    <t>DELIVERY FEE 30 YD - RO</t>
  </si>
  <si>
    <t>DEL30TEMP-RO</t>
  </si>
  <si>
    <t>DELIVERY FEE 30 YD TEMP -</t>
  </si>
  <si>
    <t>DEL40-RO</t>
  </si>
  <si>
    <t>DELIVERY FEE 40 YD - RO</t>
  </si>
  <si>
    <t>DEL40TEMP-RO</t>
  </si>
  <si>
    <t>DELIVERY FEE 40 YD TEMP -</t>
  </si>
  <si>
    <t>LIDRO</t>
  </si>
  <si>
    <t>LID CHARGE - RO</t>
  </si>
  <si>
    <t>MILE-RO</t>
  </si>
  <si>
    <t>MILEAGE FEE - RO</t>
  </si>
  <si>
    <t>RENT20MO-RO</t>
  </si>
  <si>
    <t>RENTAL FEE 20 YD MONTHLY</t>
  </si>
  <si>
    <t>RENT20TEMP-RO</t>
  </si>
  <si>
    <t>RENTAL FEE 20 YD TEMP - R</t>
  </si>
  <si>
    <t>RENT30MO-RO</t>
  </si>
  <si>
    <t>RENTAL FEE 30 YD MONTHLY</t>
  </si>
  <si>
    <t>RENT30TEMP-RO</t>
  </si>
  <si>
    <t>RENTAL FEE 30 YD TEMP - R</t>
  </si>
  <si>
    <t>RENT40MO-RO</t>
  </si>
  <si>
    <t>RENTAL FEE 40 YD MONTHLY</t>
  </si>
  <si>
    <t>RENT40TEMP-RO</t>
  </si>
  <si>
    <t>RENTAL FEE 40 YD TEMP - R</t>
  </si>
  <si>
    <t>RENTMO-CP</t>
  </si>
  <si>
    <t>RENTAL FEE MONTHLY - COMP</t>
  </si>
  <si>
    <t>TIME-RO</t>
  </si>
  <si>
    <t>TIME FEE - RO</t>
  </si>
  <si>
    <t>Grays Harbor WUTCRolloffTIRE-RO</t>
  </si>
  <si>
    <t>TIRE-RO</t>
  </si>
  <si>
    <t>TIRE FEE - RO</t>
  </si>
  <si>
    <t>TIRELG-RO</t>
  </si>
  <si>
    <t>TIRE FEE LARGE - RO</t>
  </si>
  <si>
    <t>TIRESM-RO</t>
  </si>
  <si>
    <t>TIRE FEE SMALL - RO</t>
  </si>
  <si>
    <t>TOTAL DROP BOX HAULS/RENTAL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</si>
  <si>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</si>
  <si>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</si>
  <si>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</si>
  <si>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</si>
  <si>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</si>
  <si>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</si>
  <si>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</si>
  <si>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ADJ-FIN</t>
  </si>
  <si>
    <t>COLLFEE</t>
  </si>
  <si>
    <t>RETCKC</t>
  </si>
  <si>
    <t>RETURN CHECK CHARGE</t>
  </si>
  <si>
    <t>TOTAL SERVICE CHARGES</t>
  </si>
  <si>
    <t>LG Revenue Increase</t>
  </si>
  <si>
    <t>TOTAL REVENUE</t>
  </si>
  <si>
    <t>MSW Increase</t>
  </si>
  <si>
    <t>Recycle Increase</t>
  </si>
  <si>
    <t>Gray's Harbor Disposal Tons by Month</t>
  </si>
  <si>
    <t>Monthly Disposal Expense &amp; Tonnage</t>
  </si>
  <si>
    <t>Disposal $</t>
  </si>
  <si>
    <t>Rate</t>
  </si>
  <si>
    <t>Disposal Tons</t>
  </si>
  <si>
    <t>Non-Regulated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</si>
  <si>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</si>
  <si>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</si>
  <si>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</si>
  <si>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</si>
  <si>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</si>
  <si>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</si>
  <si>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</si>
  <si>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</si>
  <si>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</si>
  <si>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</si>
  <si>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</si>
  <si>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</si>
  <si>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Regulated v. Non-Regulated Allocation Percentages</t>
  </si>
  <si>
    <t>No Disposal Codes</t>
  </si>
  <si>
    <t xml:space="preserve">Total Count </t>
  </si>
  <si>
    <t>Total Count</t>
  </si>
  <si>
    <t>Note from Heather Garland: Customer Counts and Disposal Schedule have been copied from TG-180323.</t>
  </si>
  <si>
    <t>35 GL 1X MO NO RECY 1</t>
  </si>
  <si>
    <t>35 GL 1X MO W/RECY 1</t>
  </si>
  <si>
    <t>35 GL 1X WK NO RECY 1</t>
  </si>
  <si>
    <t>35 GL 1X WK W/RECY 1</t>
  </si>
  <si>
    <t>35 GL EOW NO RECY 1</t>
  </si>
  <si>
    <t>35 GL EOW W/RECY 1</t>
  </si>
  <si>
    <t>35 Gal Monthly</t>
  </si>
  <si>
    <t>35 Gal EOW</t>
  </si>
  <si>
    <t>35 Gal Weekly</t>
  </si>
  <si>
    <t>This workpaper was taken from TG-180323, no changes have been made.</t>
  </si>
  <si>
    <t>RETURN TRIP FEE CART - RE</t>
  </si>
  <si>
    <t>ADJUSTMENT FINANCE CHARGE</t>
  </si>
  <si>
    <t>COLLECTION AGENCY FEE</t>
  </si>
  <si>
    <t>New Rate per ton 1/1/20</t>
  </si>
  <si>
    <t>Proposed Rates Effective 1-1-2020</t>
  </si>
  <si>
    <t>Effective 1-1-2020</t>
  </si>
  <si>
    <t>65 Gal - Addt'l Special</t>
  </si>
  <si>
    <t>65 Gal - 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</si>
</sst>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General_)"/>
    <numFmt numFmtId="173" formatCode="&quot;$&quot;#,##0\ ;\(&quot;$&quot;#,##0\)"/>
    <numFmt numFmtId="174" formatCode="_([$$-409]* #,##0.00_);_([$$-409]* \(#,##0.00\);_([$$-409]* &quot;-&quot;??_);_(@_)"/>
    <numFmt numFmtId="175" formatCode="_-* #,##0.00_-;\-* #,##0.00_-;_-* &quot;-&quot;??_-;_-@_-"/>
    <numFmt numFmtId="176" formatCode="mm\-yy;\-0;;@"/>
    <numFmt numFmtId="177" formatCode=".00#####;\-.00####;;@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G Omega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indexed="5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</font>
    <font>
      <sz val="10"/>
      <color rgb="FF3366FF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sz val="12"/>
      <name val="SWISS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rgb="FF0000FF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C6EFCE"/>
      </patternFill>
    </fill>
    <fill>
      <patternFill patternType="solid">
        <fgColor rgb="FF33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6" applyNumberFormat="0" applyFill="0" applyAlignment="0" applyProtection="0"/>
    <xf numFmtId="0" fontId="50" fillId="0" borderId="27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8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1" applyNumberFormat="0" applyFill="0" applyAlignment="0" applyProtection="0"/>
    <xf numFmtId="0" fontId="31" fillId="0" borderId="32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8" fillId="7" borderId="0" applyNumberFormat="0" applyBorder="0" applyAlignment="0" applyProtection="0"/>
    <xf numFmtId="172" fontId="28" fillId="0" borderId="0"/>
    <xf numFmtId="0" fontId="24" fillId="0" borderId="11" applyNumberFormat="0" applyFill="0" applyAlignment="0" applyProtection="0"/>
    <xf numFmtId="0" fontId="23" fillId="0" borderId="9" applyNumberFormat="0" applyFill="0" applyAlignment="0" applyProtection="0"/>
    <xf numFmtId="0" fontId="22" fillId="0" borderId="7" applyNumberFormat="0" applyFill="0" applyAlignment="0" applyProtection="0"/>
    <xf numFmtId="0" fontId="16" fillId="24" borderId="4" applyNumberFormat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17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2" fillId="0" borderId="0"/>
    <xf numFmtId="0" fontId="1" fillId="0" borderId="0"/>
    <xf numFmtId="0" fontId="28" fillId="10" borderId="15" applyNumberFormat="0" applyFont="0" applyAlignment="0" applyProtection="0"/>
    <xf numFmtId="0" fontId="31" fillId="0" borderId="18" applyNumberFormat="0" applyFill="0" applyAlignment="0" applyProtection="0"/>
    <xf numFmtId="44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19" borderId="0" applyNumberFormat="0" applyBorder="0" applyAlignment="0" applyProtection="0"/>
    <xf numFmtId="0" fontId="15" fillId="23" borderId="0" applyNumberFormat="0" applyBorder="0" applyAlignment="0" applyProtection="0"/>
    <xf numFmtId="0" fontId="32" fillId="24" borderId="4" applyNumberFormat="0" applyAlignment="0" applyProtection="0"/>
    <xf numFmtId="0" fontId="16" fillId="24" borderId="4" applyNumberFormat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" fillId="0" borderId="0"/>
    <xf numFmtId="0" fontId="21" fillId="11" borderId="0" applyNumberFormat="0" applyBorder="0" applyAlignment="0" applyProtection="0"/>
    <xf numFmtId="0" fontId="58" fillId="39" borderId="0" applyNumberFormat="0" applyBorder="0" applyAlignment="0" applyProtection="0"/>
    <xf numFmtId="0" fontId="36" fillId="0" borderId="8" applyNumberFormat="0" applyFill="0" applyAlignment="0" applyProtection="0"/>
    <xf numFmtId="0" fontId="22" fillId="0" borderId="7" applyNumberFormat="0" applyFill="0" applyAlignment="0" applyProtection="0"/>
    <xf numFmtId="0" fontId="37" fillId="0" borderId="10" applyNumberFormat="0" applyFill="0" applyAlignment="0" applyProtection="0"/>
    <xf numFmtId="0" fontId="23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13" borderId="4" applyNumberFormat="0" applyAlignment="0" applyProtection="0"/>
    <xf numFmtId="0" fontId="42" fillId="0" borderId="14" applyNumberFormat="0" applyFill="0" applyAlignment="0" applyProtection="0"/>
    <xf numFmtId="0" fontId="26" fillId="0" borderId="13" applyNumberFormat="0" applyFill="0" applyAlignment="0" applyProtection="0"/>
    <xf numFmtId="0" fontId="43" fillId="13" borderId="0" applyNumberFormat="0" applyBorder="0" applyAlignment="0" applyProtection="0"/>
    <xf numFmtId="0" fontId="27" fillId="13" borderId="0" applyNumberFormat="0" applyBorder="0" applyAlignment="0" applyProtection="0"/>
    <xf numFmtId="0" fontId="8" fillId="0" borderId="0"/>
    <xf numFmtId="0" fontId="2" fillId="0" borderId="0">
      <alignment wrapText="1"/>
    </xf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62" fillId="0" borderId="0"/>
    <xf numFmtId="0" fontId="2" fillId="0" borderId="0"/>
    <xf numFmtId="0" fontId="1" fillId="0" borderId="0"/>
    <xf numFmtId="0" fontId="62" fillId="0" borderId="0"/>
    <xf numFmtId="0" fontId="61" fillId="0" borderId="0"/>
    <xf numFmtId="0" fontId="2" fillId="0" borderId="0"/>
    <xf numFmtId="0" fontId="1" fillId="0" borderId="0"/>
    <xf numFmtId="0" fontId="6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172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172" fontId="28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18" fillId="10" borderId="15" applyNumberFormat="0" applyFont="0" applyAlignment="0" applyProtection="0"/>
    <xf numFmtId="0" fontId="28" fillId="10" borderId="15" applyNumberFormat="0" applyFont="0" applyAlignment="0" applyProtection="0"/>
    <xf numFmtId="0" fontId="29" fillId="24" borderId="16" applyNumberForma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8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8" fillId="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4" fillId="11" borderId="0" applyNumberFormat="0" applyBorder="0" applyAlignment="0" applyProtection="0"/>
    <xf numFmtId="0" fontId="65" fillId="52" borderId="0" applyNumberFormat="0" applyBorder="0" applyAlignment="0" applyProtection="0"/>
    <xf numFmtId="0" fontId="14" fillId="9" borderId="0" applyNumberFormat="0" applyBorder="0" applyAlignment="0" applyProtection="0"/>
    <xf numFmtId="0" fontId="14" fillId="16" borderId="0" applyNumberFormat="0" applyBorder="0" applyAlignment="0" applyProtection="0"/>
    <xf numFmtId="0" fontId="65" fillId="56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65" fillId="60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65" fillId="64" borderId="0" applyNumberFormat="0" applyBorder="0" applyAlignment="0" applyProtection="0"/>
    <xf numFmtId="0" fontId="14" fillId="11" borderId="0" applyNumberFormat="0" applyBorder="0" applyAlignment="0" applyProtection="0"/>
    <xf numFmtId="0" fontId="65" fillId="68" borderId="0" applyNumberFormat="0" applyBorder="0" applyAlignment="0" applyProtection="0"/>
    <xf numFmtId="0" fontId="65" fillId="72" borderId="0" applyNumberFormat="0" applyBorder="0" applyAlignment="0" applyProtection="0"/>
    <xf numFmtId="0" fontId="14" fillId="18" borderId="0" applyNumberFormat="0" applyBorder="0" applyAlignment="0" applyProtection="0"/>
    <xf numFmtId="0" fontId="65" fillId="49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65" fillId="53" borderId="0" applyNumberFormat="0" applyBorder="0" applyAlignment="0" applyProtection="0"/>
    <xf numFmtId="0" fontId="14" fillId="17" borderId="0" applyNumberFormat="0" applyBorder="0" applyAlignment="0" applyProtection="0"/>
    <xf numFmtId="0" fontId="65" fillId="57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65" fillId="61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14" fillId="19" borderId="0" applyNumberFormat="0" applyBorder="0" applyAlignment="0" applyProtection="0"/>
    <xf numFmtId="0" fontId="65" fillId="69" borderId="0" applyNumberFormat="0" applyBorder="0" applyAlignment="0" applyProtection="0"/>
    <xf numFmtId="49" fontId="97" fillId="0" borderId="0" applyFill="0" applyBorder="0" applyAlignment="0" applyProtection="0"/>
    <xf numFmtId="0" fontId="98" fillId="0" borderId="45" applyBorder="0">
      <alignment horizontal="center" vertical="center" wrapText="1"/>
    </xf>
    <xf numFmtId="0" fontId="15" fillId="14" borderId="0" applyNumberFormat="0" applyBorder="0" applyAlignment="0" applyProtection="0"/>
    <xf numFmtId="0" fontId="15" fillId="23" borderId="0" applyNumberFormat="0" applyBorder="0" applyAlignment="0" applyProtection="0"/>
    <xf numFmtId="0" fontId="70" fillId="43" borderId="0" applyNumberFormat="0" applyBorder="0" applyAlignment="0" applyProtection="0"/>
    <xf numFmtId="0" fontId="16" fillId="24" borderId="4" applyNumberFormat="0" applyAlignment="0" applyProtection="0"/>
    <xf numFmtId="0" fontId="74" fillId="46" borderId="37" applyNumberFormat="0" applyAlignment="0" applyProtection="0"/>
    <xf numFmtId="0" fontId="17" fillId="26" borderId="6" applyNumberFormat="0" applyAlignment="0" applyProtection="0"/>
    <xf numFmtId="0" fontId="17" fillId="25" borderId="5" applyNumberFormat="0" applyAlignment="0" applyProtection="0"/>
    <xf numFmtId="0" fontId="64" fillId="47" borderId="40" applyNumberFormat="0" applyAlignment="0" applyProtection="0"/>
    <xf numFmtId="0" fontId="99" fillId="75" borderId="0" applyNumberFormat="0" applyBorder="0" applyAlignment="0" applyProtection="0">
      <alignment horizontal="center"/>
      <protection hidden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9" fillId="76" borderId="0">
      <alignment horizontal="left"/>
    </xf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22" fillId="0" borderId="7" applyNumberFormat="0" applyFill="0" applyAlignment="0" applyProtection="0"/>
    <xf numFmtId="0" fontId="67" fillId="0" borderId="34" applyNumberFormat="0" applyFill="0" applyAlignment="0" applyProtection="0"/>
    <xf numFmtId="0" fontId="23" fillId="0" borderId="9" applyNumberFormat="0" applyFill="0" applyAlignment="0" applyProtection="0"/>
    <xf numFmtId="0" fontId="68" fillId="0" borderId="35" applyNumberFormat="0" applyFill="0" applyAlignment="0" applyProtection="0"/>
    <xf numFmtId="0" fontId="24" fillId="0" borderId="11" applyNumberFormat="0" applyFill="0" applyAlignment="0" applyProtection="0"/>
    <xf numFmtId="0" fontId="69" fillId="0" borderId="36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41" fillId="13" borderId="4" applyNumberFormat="0" applyAlignment="0" applyProtection="0"/>
    <xf numFmtId="0" fontId="25" fillId="13" borderId="4" applyNumberFormat="0" applyAlignment="0" applyProtection="0"/>
    <xf numFmtId="0" fontId="25" fillId="13" borderId="4" applyNumberFormat="0" applyAlignment="0" applyProtection="0"/>
    <xf numFmtId="0" fontId="72" fillId="45" borderId="37" applyNumberFormat="0" applyAlignment="0" applyProtection="0"/>
    <xf numFmtId="0" fontId="98" fillId="0" borderId="45" applyBorder="0">
      <alignment horizontal="center" vertical="center" wrapText="1"/>
    </xf>
    <xf numFmtId="0" fontId="26" fillId="0" borderId="13" applyNumberFormat="0" applyFill="0" applyAlignment="0" applyProtection="0"/>
    <xf numFmtId="0" fontId="75" fillId="0" borderId="39" applyNumberFormat="0" applyFill="0" applyAlignment="0" applyProtection="0"/>
    <xf numFmtId="0" fontId="27" fillId="13" borderId="0" applyNumberFormat="0" applyBorder="0" applyAlignment="0" applyProtection="0"/>
    <xf numFmtId="0" fontId="7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" fillId="0" borderId="0"/>
    <xf numFmtId="0" fontId="62" fillId="0" borderId="0"/>
    <xf numFmtId="0" fontId="28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05" fillId="24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0" fontId="101" fillId="0" borderId="0"/>
    <xf numFmtId="0" fontId="2" fillId="0" borderId="0"/>
    <xf numFmtId="40" fontId="10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8" fillId="0" borderId="0"/>
    <xf numFmtId="0" fontId="1" fillId="0" borderId="0"/>
    <xf numFmtId="0" fontId="2" fillId="0" borderId="0">
      <alignment vertical="top"/>
    </xf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8" fillId="0" borderId="0"/>
    <xf numFmtId="0" fontId="18" fillId="0" borderId="0">
      <alignment vertical="top"/>
    </xf>
    <xf numFmtId="0" fontId="28" fillId="0" borderId="0"/>
    <xf numFmtId="0" fontId="1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28" fillId="0" borderId="0"/>
    <xf numFmtId="0" fontId="28" fillId="0" borderId="0"/>
    <xf numFmtId="0" fontId="1" fillId="0" borderId="0"/>
    <xf numFmtId="0" fontId="18" fillId="0" borderId="0">
      <alignment vertical="top"/>
    </xf>
    <xf numFmtId="0" fontId="2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28" fillId="0" borderId="0"/>
    <xf numFmtId="0" fontId="18" fillId="0" borderId="0">
      <alignment vertical="top"/>
    </xf>
    <xf numFmtId="0" fontId="2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1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8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5" applyNumberFormat="0" applyFont="0" applyAlignment="0" applyProtection="0"/>
    <xf numFmtId="0" fontId="8" fillId="10" borderId="15" applyNumberFormat="0" applyFont="0" applyAlignment="0" applyProtection="0"/>
    <xf numFmtId="0" fontId="1" fillId="48" borderId="41" applyNumberFormat="0" applyFont="0" applyAlignment="0" applyProtection="0"/>
    <xf numFmtId="0" fontId="1" fillId="48" borderId="41" applyNumberFormat="0" applyFont="0" applyAlignment="0" applyProtection="0"/>
    <xf numFmtId="0" fontId="24" fillId="24" borderId="17" applyNumberFormat="0" applyAlignment="0" applyProtection="0"/>
    <xf numFmtId="0" fontId="29" fillId="24" borderId="16" applyNumberFormat="0" applyAlignment="0" applyProtection="0"/>
    <xf numFmtId="0" fontId="29" fillId="24" borderId="16" applyNumberFormat="0" applyAlignment="0" applyProtection="0"/>
    <xf numFmtId="0" fontId="73" fillId="46" borderId="3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wrapText="1"/>
    </xf>
    <xf numFmtId="9" fontId="28" fillId="0" borderId="0" applyFont="0" applyFill="0" applyBorder="0" applyAlignment="0" applyProtection="0"/>
    <xf numFmtId="10" fontId="19" fillId="76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wrapText="1"/>
    </xf>
    <xf numFmtId="176" fontId="19" fillId="0" borderId="0">
      <alignment horizontal="center"/>
    </xf>
    <xf numFmtId="0" fontId="7" fillId="0" borderId="2">
      <alignment horizontal="center"/>
    </xf>
    <xf numFmtId="0" fontId="18" fillId="0" borderId="0" applyNumberFormat="0" applyBorder="0" applyAlignment="0"/>
    <xf numFmtId="177" fontId="106" fillId="76" borderId="0" applyFill="0" applyBorder="0" applyProtection="0">
      <alignment horizontal="center"/>
      <protection hidden="1"/>
    </xf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" fillId="0" borderId="42" applyNumberFormat="0" applyFill="0" applyAlignment="0" applyProtection="0"/>
    <xf numFmtId="0" fontId="107" fillId="0" borderId="0">
      <alignment horizontal="center"/>
    </xf>
    <xf numFmtId="0" fontId="9" fillId="0" borderId="0" applyNumberFormat="0" applyFill="0" applyBorder="0" applyAlignment="0" applyProtection="0"/>
  </cellStyleXfs>
  <cellXfs count="275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/>
    <xf numFmtId="0" fontId="0" fillId="0" borderId="0" xfId="0" applyFont="1"/>
    <xf numFmtId="0" fontId="3" fillId="0" borderId="0" xfId="0" applyFont="1"/>
    <xf numFmtId="43" fontId="0" fillId="0" borderId="0" xfId="1" applyFont="1" applyAlignment="1">
      <alignment horizontal="center"/>
    </xf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0" xfId="0" applyFont="1" applyAlignment="1"/>
    <xf numFmtId="8" fontId="0" fillId="0" borderId="0" xfId="0" applyNumberFormat="1" applyFont="1"/>
    <xf numFmtId="10" fontId="0" fillId="0" borderId="0" xfId="0" applyNumberFormat="1" applyFont="1"/>
    <xf numFmtId="0" fontId="0" fillId="0" borderId="23" xfId="0" applyFont="1" applyBorder="1"/>
    <xf numFmtId="0" fontId="0" fillId="0" borderId="24" xfId="0" applyFont="1" applyBorder="1"/>
    <xf numFmtId="0" fontId="0" fillId="0" borderId="0" xfId="157" applyFont="1" applyBorder="1"/>
    <xf numFmtId="0" fontId="0" fillId="0" borderId="0" xfId="0" applyFont="1" applyBorder="1"/>
    <xf numFmtId="0" fontId="3" fillId="0" borderId="0" xfId="0" applyFont="1" applyBorder="1"/>
    <xf numFmtId="4" fontId="0" fillId="0" borderId="0" xfId="0" applyNumberFormat="1" applyFont="1" applyBorder="1"/>
    <xf numFmtId="0" fontId="59" fillId="0" borderId="0" xfId="0" applyFont="1" applyFill="1" applyBorder="1" applyAlignment="1"/>
    <xf numFmtId="166" fontId="0" fillId="0" borderId="0" xfId="1" applyNumberFormat="1" applyFont="1" applyBorder="1" applyAlignment="1">
      <alignment horizontal="right"/>
    </xf>
    <xf numFmtId="43" fontId="0" fillId="32" borderId="0" xfId="1" applyFont="1" applyFill="1" applyBorder="1"/>
    <xf numFmtId="174" fontId="3" fillId="6" borderId="1" xfId="1" applyNumberFormat="1" applyFont="1" applyFill="1" applyBorder="1"/>
    <xf numFmtId="0" fontId="0" fillId="0" borderId="0" xfId="0" applyFont="1"/>
    <xf numFmtId="166" fontId="0" fillId="0" borderId="0" xfId="1" applyNumberFormat="1" applyFont="1"/>
    <xf numFmtId="166" fontId="3" fillId="6" borderId="1" xfId="1" applyNumberFormat="1" applyFont="1" applyFill="1" applyBorder="1"/>
    <xf numFmtId="43" fontId="0" fillId="0" borderId="0" xfId="1" applyFont="1" applyFill="1"/>
    <xf numFmtId="174" fontId="0" fillId="0" borderId="3" xfId="1" applyNumberFormat="1" applyFont="1" applyBorder="1"/>
    <xf numFmtId="174" fontId="0" fillId="0" borderId="0" xfId="1" applyNumberFormat="1" applyFont="1" applyBorder="1"/>
    <xf numFmtId="43" fontId="0" fillId="6" borderId="1" xfId="1" applyFont="1" applyFill="1" applyBorder="1"/>
    <xf numFmtId="166" fontId="0" fillId="0" borderId="0" xfId="1" applyNumberFormat="1" applyFont="1" applyBorder="1"/>
    <xf numFmtId="166" fontId="0" fillId="32" borderId="0" xfId="1" applyNumberFormat="1" applyFont="1" applyFill="1" applyBorder="1"/>
    <xf numFmtId="174" fontId="0" fillId="6" borderId="1" xfId="1" applyNumberFormat="1" applyFont="1" applyFill="1" applyBorder="1"/>
    <xf numFmtId="0" fontId="0" fillId="0" borderId="0" xfId="0" applyFont="1" applyBorder="1"/>
    <xf numFmtId="0" fontId="0" fillId="32" borderId="0" xfId="0" applyFont="1" applyFill="1" applyBorder="1" applyAlignment="1">
      <alignment horizontal="center"/>
    </xf>
    <xf numFmtId="0" fontId="0" fillId="0" borderId="0" xfId="0"/>
    <xf numFmtId="43" fontId="0" fillId="0" borderId="0" xfId="1" applyFont="1"/>
    <xf numFmtId="174" fontId="0" fillId="2" borderId="0" xfId="1" applyNumberFormat="1" applyFont="1" applyFill="1"/>
    <xf numFmtId="174" fontId="0" fillId="0" borderId="0" xfId="1" applyNumberFormat="1" applyFont="1"/>
    <xf numFmtId="43" fontId="0" fillId="0" borderId="0" xfId="1" applyFont="1" applyBorder="1"/>
    <xf numFmtId="0" fontId="3" fillId="32" borderId="0" xfId="0" applyFont="1" applyFill="1" applyBorder="1"/>
    <xf numFmtId="10" fontId="0" fillId="0" borderId="0" xfId="3" applyNumberFormat="1" applyFont="1" applyFill="1" applyBorder="1" applyAlignment="1">
      <alignment horizontal="right"/>
    </xf>
    <xf numFmtId="174" fontId="0" fillId="0" borderId="0" xfId="1" applyNumberFormat="1" applyFont="1" applyFill="1" applyBorder="1"/>
    <xf numFmtId="43" fontId="0" fillId="0" borderId="3" xfId="1" applyFont="1" applyFill="1" applyBorder="1"/>
    <xf numFmtId="174" fontId="3" fillId="0" borderId="0" xfId="1" applyNumberFormat="1" applyFont="1"/>
    <xf numFmtId="43" fontId="0" fillId="0" borderId="0" xfId="1" applyFont="1" applyFill="1" applyBorder="1"/>
    <xf numFmtId="166" fontId="3" fillId="0" borderId="1" xfId="1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1" applyNumberFormat="1" applyFont="1" applyFill="1" applyBorder="1"/>
    <xf numFmtId="0" fontId="0" fillId="32" borderId="0" xfId="0" applyFont="1" applyFill="1" applyBorder="1"/>
    <xf numFmtId="0" fontId="0" fillId="0" borderId="0" xfId="0" applyFont="1" applyBorder="1" applyAlignment="1">
      <alignment horizontal="left"/>
    </xf>
    <xf numFmtId="166" fontId="0" fillId="0" borderId="0" xfId="1" applyNumberFormat="1" applyFont="1" applyFill="1" applyBorder="1" applyAlignment="1">
      <alignment horizontal="right"/>
    </xf>
    <xf numFmtId="0" fontId="0" fillId="0" borderId="0" xfId="0" applyFont="1"/>
    <xf numFmtId="0" fontId="3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1" fillId="0" borderId="0" xfId="274" applyFont="1" applyBorder="1"/>
    <xf numFmtId="166" fontId="0" fillId="0" borderId="3" xfId="1" applyNumberFormat="1" applyFont="1" applyBorder="1"/>
    <xf numFmtId="166" fontId="0" fillId="0" borderId="3" xfId="1" applyNumberFormat="1" applyFont="1" applyFill="1" applyBorder="1"/>
    <xf numFmtId="0" fontId="11" fillId="0" borderId="0" xfId="268" applyFont="1" applyBorder="1"/>
    <xf numFmtId="0" fontId="0" fillId="0" borderId="0" xfId="0" applyFont="1" applyAlignment="1">
      <alignment horizontal="center"/>
    </xf>
    <xf numFmtId="0" fontId="12" fillId="6" borderId="1" xfId="0" applyFont="1" applyFill="1" applyBorder="1" applyAlignment="1"/>
    <xf numFmtId="3" fontId="0" fillId="6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0" fillId="6" borderId="1" xfId="0" applyFont="1" applyFill="1" applyBorder="1"/>
    <xf numFmtId="166" fontId="0" fillId="6" borderId="1" xfId="1" applyNumberFormat="1" applyFont="1" applyFill="1" applyBorder="1"/>
    <xf numFmtId="166" fontId="3" fillId="0" borderId="0" xfId="1" applyNumberFormat="1" applyFont="1"/>
    <xf numFmtId="166" fontId="0" fillId="32" borderId="0" xfId="1" applyNumberFormat="1" applyFont="1" applyFill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166" fontId="0" fillId="0" borderId="0" xfId="1" applyNumberFormat="1" applyFont="1" applyFill="1" applyBorder="1" applyAlignment="1"/>
    <xf numFmtId="43" fontId="0" fillId="0" borderId="0" xfId="1" applyNumberFormat="1" applyFont="1"/>
    <xf numFmtId="174" fontId="0" fillId="32" borderId="0" xfId="1" applyNumberFormat="1" applyFont="1" applyFill="1" applyBorder="1"/>
    <xf numFmtId="3" fontId="0" fillId="0" borderId="0" xfId="0" applyNumberFormat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Fill="1" applyBorder="1" applyAlignment="1"/>
    <xf numFmtId="0" fontId="3" fillId="6" borderId="1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174" fontId="0" fillId="0" borderId="0" xfId="1" applyNumberFormat="1" applyFont="1" applyFill="1"/>
    <xf numFmtId="0" fontId="3" fillId="2" borderId="0" xfId="157" applyFont="1" applyFill="1"/>
    <xf numFmtId="0" fontId="0" fillId="0" borderId="3" xfId="157" applyFont="1" applyBorder="1"/>
    <xf numFmtId="165" fontId="0" fillId="0" borderId="0" xfId="2" applyNumberFormat="1" applyFont="1" applyFill="1"/>
    <xf numFmtId="165" fontId="0" fillId="0" borderId="0" xfId="2" applyNumberFormat="1" applyFont="1" applyFill="1" applyBorder="1"/>
    <xf numFmtId="44" fontId="0" fillId="0" borderId="3" xfId="2" applyFont="1" applyFill="1" applyBorder="1"/>
    <xf numFmtId="169" fontId="0" fillId="0" borderId="3" xfId="2" applyNumberFormat="1" applyFont="1" applyFill="1" applyBorder="1"/>
    <xf numFmtId="0" fontId="0" fillId="0" borderId="0" xfId="0" applyFont="1" applyFill="1"/>
    <xf numFmtId="166" fontId="0" fillId="0" borderId="0" xfId="1" applyNumberFormat="1" applyFont="1" applyFill="1"/>
    <xf numFmtId="174" fontId="0" fillId="0" borderId="0" xfId="0" applyNumberFormat="1" applyFont="1"/>
    <xf numFmtId="10" fontId="0" fillId="0" borderId="0" xfId="3" applyNumberFormat="1" applyFont="1" applyAlignment="1">
      <alignment horizontal="left"/>
    </xf>
    <xf numFmtId="174" fontId="0" fillId="0" borderId="0" xfId="1" applyNumberFormat="1" applyFont="1" applyAlignment="1">
      <alignment horizontal="left"/>
    </xf>
    <xf numFmtId="0" fontId="0" fillId="41" borderId="0" xfId="157" applyFont="1" applyFill="1"/>
    <xf numFmtId="0" fontId="65" fillId="40" borderId="0" xfId="157" applyFont="1" applyFill="1"/>
    <xf numFmtId="43" fontId="64" fillId="40" borderId="0" xfId="1" applyFont="1" applyFill="1" applyBorder="1" applyAlignment="1">
      <alignment horizontal="center" wrapText="1"/>
    </xf>
    <xf numFmtId="0" fontId="0" fillId="42" borderId="0" xfId="157" applyFont="1" applyFill="1"/>
    <xf numFmtId="43" fontId="0" fillId="42" borderId="0" xfId="1" applyFont="1" applyFill="1"/>
    <xf numFmtId="0" fontId="3" fillId="42" borderId="0" xfId="0" applyFont="1" applyFill="1"/>
    <xf numFmtId="43" fontId="0" fillId="42" borderId="0" xfId="1" applyNumberFormat="1" applyFont="1" applyFill="1"/>
    <xf numFmtId="0" fontId="3" fillId="41" borderId="0" xfId="157" applyFont="1" applyFill="1"/>
    <xf numFmtId="43" fontId="0" fillId="41" borderId="0" xfId="1" applyFont="1" applyFill="1"/>
    <xf numFmtId="0" fontId="63" fillId="41" borderId="0" xfId="157" applyFont="1" applyFill="1"/>
    <xf numFmtId="43" fontId="0" fillId="41" borderId="0" xfId="157" applyNumberFormat="1" applyFont="1" applyFill="1"/>
    <xf numFmtId="0" fontId="3" fillId="41" borderId="0" xfId="0" applyFont="1" applyFill="1" applyBorder="1"/>
    <xf numFmtId="43" fontId="0" fillId="2" borderId="0" xfId="1" applyFont="1" applyFill="1"/>
    <xf numFmtId="43" fontId="0" fillId="41" borderId="0" xfId="1" applyNumberFormat="1" applyFont="1" applyFill="1"/>
    <xf numFmtId="43" fontId="64" fillId="40" borderId="0" xfId="1" applyNumberFormat="1" applyFont="1" applyFill="1" applyBorder="1" applyAlignment="1">
      <alignment horizontal="center" wrapText="1"/>
    </xf>
    <xf numFmtId="43" fontId="0" fillId="2" borderId="0" xfId="1" applyNumberFormat="1" applyFont="1" applyFill="1"/>
    <xf numFmtId="0" fontId="77" fillId="5" borderId="0" xfId="0" applyFont="1" applyFill="1"/>
    <xf numFmtId="0" fontId="79" fillId="41" borderId="0" xfId="385" applyFont="1" applyFill="1"/>
    <xf numFmtId="0" fontId="77" fillId="41" borderId="0" xfId="0" applyFont="1" applyFill="1"/>
    <xf numFmtId="0" fontId="77" fillId="0" borderId="0" xfId="0" applyFont="1"/>
    <xf numFmtId="0" fontId="79" fillId="2" borderId="0" xfId="385" applyFont="1" applyFill="1"/>
    <xf numFmtId="0" fontId="80" fillId="2" borderId="0" xfId="385" applyFont="1" applyFill="1" applyAlignment="1">
      <alignment horizontal="center" wrapText="1"/>
    </xf>
    <xf numFmtId="0" fontId="80" fillId="2" borderId="0" xfId="385" applyFont="1" applyFill="1" applyAlignment="1">
      <alignment horizontal="center"/>
    </xf>
    <xf numFmtId="0" fontId="87" fillId="41" borderId="0" xfId="385" applyFont="1" applyFill="1"/>
    <xf numFmtId="0" fontId="80" fillId="2" borderId="0" xfId="385" applyFont="1" applyFill="1" applyAlignment="1">
      <alignment horizontal="left"/>
    </xf>
    <xf numFmtId="43" fontId="79" fillId="2" borderId="0" xfId="102" applyFont="1" applyFill="1" applyAlignment="1">
      <alignment horizontal="center"/>
    </xf>
    <xf numFmtId="166" fontId="79" fillId="2" borderId="0" xfId="102" applyNumberFormat="1" applyFont="1" applyFill="1"/>
    <xf numFmtId="43" fontId="79" fillId="2" borderId="0" xfId="385" applyNumberFormat="1" applyFont="1" applyFill="1"/>
    <xf numFmtId="0" fontId="88" fillId="74" borderId="0" xfId="385" applyFont="1" applyFill="1"/>
    <xf numFmtId="0" fontId="89" fillId="41" borderId="0" xfId="385" applyFont="1" applyFill="1"/>
    <xf numFmtId="0" fontId="91" fillId="41" borderId="0" xfId="385" applyFont="1" applyFill="1"/>
    <xf numFmtId="0" fontId="86" fillId="2" borderId="0" xfId="385" applyFont="1" applyFill="1" applyAlignment="1">
      <alignment horizontal="left"/>
    </xf>
    <xf numFmtId="0" fontId="77" fillId="2" borderId="0" xfId="0" applyFont="1" applyFill="1"/>
    <xf numFmtId="0" fontId="77" fillId="41" borderId="43" xfId="0" applyFont="1" applyFill="1" applyBorder="1"/>
    <xf numFmtId="0" fontId="91" fillId="74" borderId="0" xfId="385" applyFont="1" applyFill="1"/>
    <xf numFmtId="0" fontId="92" fillId="41" borderId="0" xfId="385" applyFont="1" applyFill="1"/>
    <xf numFmtId="0" fontId="91" fillId="0" borderId="0" xfId="385" applyFont="1"/>
    <xf numFmtId="0" fontId="91" fillId="73" borderId="0" xfId="385" applyFont="1" applyFill="1"/>
    <xf numFmtId="43" fontId="77" fillId="41" borderId="0" xfId="102" applyFont="1" applyFill="1"/>
    <xf numFmtId="166" fontId="77" fillId="41" borderId="0" xfId="102" applyNumberFormat="1" applyFont="1" applyFill="1"/>
    <xf numFmtId="0" fontId="0" fillId="0" borderId="0" xfId="0" applyFont="1" applyFill="1" applyBorder="1" applyAlignment="1">
      <alignment horizontal="center" vertical="center" textRotation="90" wrapText="1"/>
    </xf>
    <xf numFmtId="0" fontId="0" fillId="41" borderId="0" xfId="0" applyFill="1"/>
    <xf numFmtId="0" fontId="0" fillId="41" borderId="0" xfId="0" applyFill="1" applyBorder="1"/>
    <xf numFmtId="3" fontId="0" fillId="77" borderId="0" xfId="0" applyNumberFormat="1" applyFont="1" applyFill="1" applyAlignment="1">
      <alignment horizontal="center"/>
    </xf>
    <xf numFmtId="0" fontId="0" fillId="77" borderId="0" xfId="0" applyFont="1" applyFill="1"/>
    <xf numFmtId="166" fontId="0" fillId="77" borderId="0" xfId="1" applyNumberFormat="1" applyFont="1" applyFill="1"/>
    <xf numFmtId="43" fontId="0" fillId="77" borderId="0" xfId="1" applyFont="1" applyFill="1"/>
    <xf numFmtId="10" fontId="0" fillId="41" borderId="0" xfId="3" applyNumberFormat="1" applyFont="1" applyFill="1"/>
    <xf numFmtId="43" fontId="11" fillId="41" borderId="0" xfId="1" applyNumberFormat="1" applyFont="1" applyFill="1"/>
    <xf numFmtId="43" fontId="11" fillId="2" borderId="0" xfId="1" applyNumberFormat="1" applyFont="1" applyFill="1"/>
    <xf numFmtId="43" fontId="11" fillId="42" borderId="0" xfId="1" applyNumberFormat="1" applyFont="1" applyFill="1"/>
    <xf numFmtId="0" fontId="78" fillId="2" borderId="0" xfId="0" applyFont="1" applyFill="1"/>
    <xf numFmtId="0" fontId="79" fillId="2" borderId="0" xfId="385" applyFont="1" applyFill="1" applyAlignment="1">
      <alignment horizontal="center"/>
    </xf>
    <xf numFmtId="0" fontId="77" fillId="2" borderId="0" xfId="0" applyFont="1" applyFill="1" applyAlignment="1">
      <alignment horizontal="center"/>
    </xf>
    <xf numFmtId="0" fontId="77" fillId="2" borderId="0" xfId="0" applyFont="1" applyFill="1" applyAlignment="1">
      <alignment horizontal="right"/>
    </xf>
    <xf numFmtId="10" fontId="77" fillId="2" borderId="0" xfId="0" applyNumberFormat="1" applyFont="1" applyFill="1"/>
    <xf numFmtId="10" fontId="77" fillId="2" borderId="0" xfId="3" applyNumberFormat="1" applyFont="1" applyFill="1"/>
    <xf numFmtId="41" fontId="77" fillId="2" borderId="0" xfId="0" applyNumberFormat="1" applyFont="1" applyFill="1"/>
    <xf numFmtId="166" fontId="77" fillId="2" borderId="0" xfId="0" applyNumberFormat="1" applyFont="1" applyFill="1"/>
    <xf numFmtId="166" fontId="77" fillId="2" borderId="43" xfId="0" applyNumberFormat="1" applyFont="1" applyFill="1" applyBorder="1"/>
    <xf numFmtId="0" fontId="80" fillId="2" borderId="0" xfId="385" applyFont="1" applyFill="1"/>
    <xf numFmtId="2" fontId="79" fillId="2" borderId="0" xfId="385" applyNumberFormat="1" applyFont="1" applyFill="1"/>
    <xf numFmtId="0" fontId="77" fillId="2" borderId="43" xfId="0" applyFont="1" applyFill="1" applyBorder="1" applyAlignment="1">
      <alignment horizontal="right"/>
    </xf>
    <xf numFmtId="9" fontId="77" fillId="2" borderId="0" xfId="3" applyFont="1" applyFill="1"/>
    <xf numFmtId="164" fontId="77" fillId="2" borderId="0" xfId="2" applyNumberFormat="1" applyFont="1" applyFill="1"/>
    <xf numFmtId="0" fontId="81" fillId="2" borderId="0" xfId="385" applyFont="1" applyFill="1"/>
    <xf numFmtId="17" fontId="80" fillId="2" borderId="0" xfId="385" applyNumberFormat="1" applyFont="1" applyFill="1" applyAlignment="1">
      <alignment horizontal="center"/>
    </xf>
    <xf numFmtId="0" fontId="78" fillId="2" borderId="43" xfId="0" applyFont="1" applyFill="1" applyBorder="1" applyAlignment="1">
      <alignment horizontal="center"/>
    </xf>
    <xf numFmtId="166" fontId="80" fillId="2" borderId="0" xfId="102" applyNumberFormat="1" applyFont="1" applyFill="1" applyAlignment="1">
      <alignment horizontal="center" wrapText="1"/>
    </xf>
    <xf numFmtId="0" fontId="59" fillId="2" borderId="0" xfId="0" applyFont="1" applyFill="1"/>
    <xf numFmtId="0" fontId="82" fillId="2" borderId="0" xfId="385" applyFont="1" applyFill="1" applyAlignment="1">
      <alignment horizontal="center"/>
    </xf>
    <xf numFmtId="0" fontId="79" fillId="2" borderId="43" xfId="385" applyFont="1" applyFill="1" applyBorder="1"/>
    <xf numFmtId="0" fontId="80" fillId="2" borderId="0" xfId="385" applyFont="1" applyFill="1" applyAlignment="1">
      <alignment horizontal="right"/>
    </xf>
    <xf numFmtId="44" fontId="79" fillId="2" borderId="0" xfId="385" applyNumberFormat="1" applyFont="1" applyFill="1"/>
    <xf numFmtId="10" fontId="79" fillId="2" borderId="0" xfId="385" applyNumberFormat="1" applyFont="1" applyFill="1"/>
    <xf numFmtId="0" fontId="83" fillId="2" borderId="0" xfId="385" applyFont="1" applyFill="1" applyAlignment="1">
      <alignment horizontal="left"/>
    </xf>
    <xf numFmtId="0" fontId="84" fillId="2" borderId="0" xfId="385" applyFont="1" applyFill="1" applyAlignment="1">
      <alignment horizontal="left"/>
    </xf>
    <xf numFmtId="0" fontId="85" fillId="2" borderId="0" xfId="385" applyFont="1" applyFill="1" applyAlignment="1">
      <alignment horizontal="center"/>
    </xf>
    <xf numFmtId="0" fontId="65" fillId="2" borderId="0" xfId="0" applyNumberFormat="1" applyFont="1" applyFill="1"/>
    <xf numFmtId="0" fontId="85" fillId="2" borderId="0" xfId="385" applyFont="1" applyFill="1"/>
    <xf numFmtId="166" fontId="85" fillId="2" borderId="0" xfId="102" applyNumberFormat="1" applyFont="1" applyFill="1"/>
    <xf numFmtId="0" fontId="89" fillId="2" borderId="0" xfId="0" applyFont="1" applyFill="1" applyBorder="1"/>
    <xf numFmtId="43" fontId="89" fillId="2" borderId="0" xfId="102" applyFont="1" applyFill="1" applyAlignment="1">
      <alignment horizontal="center"/>
    </xf>
    <xf numFmtId="166" fontId="89" fillId="2" borderId="0" xfId="102" applyNumberFormat="1" applyFont="1" applyFill="1"/>
    <xf numFmtId="43" fontId="89" fillId="2" borderId="0" xfId="385" applyNumberFormat="1" applyFont="1" applyFill="1"/>
    <xf numFmtId="0" fontId="89" fillId="2" borderId="0" xfId="385" applyFont="1" applyFill="1"/>
    <xf numFmtId="166" fontId="89" fillId="2" borderId="0" xfId="1" applyNumberFormat="1" applyFont="1" applyFill="1"/>
    <xf numFmtId="44" fontId="89" fillId="2" borderId="43" xfId="2" applyFont="1" applyFill="1" applyBorder="1"/>
    <xf numFmtId="44" fontId="89" fillId="2" borderId="0" xfId="2" applyFont="1" applyFill="1"/>
    <xf numFmtId="44" fontId="89" fillId="2" borderId="0" xfId="385" applyNumberFormat="1" applyFont="1" applyFill="1"/>
    <xf numFmtId="164" fontId="89" fillId="2" borderId="0" xfId="2" applyNumberFormat="1" applyFont="1" applyFill="1"/>
    <xf numFmtId="0" fontId="90" fillId="2" borderId="0" xfId="385" applyFont="1" applyFill="1" applyAlignment="1">
      <alignment horizontal="right"/>
    </xf>
    <xf numFmtId="44" fontId="89" fillId="2" borderId="1" xfId="385" applyNumberFormat="1" applyFont="1" applyFill="1" applyBorder="1"/>
    <xf numFmtId="10" fontId="89" fillId="2" borderId="1" xfId="385" applyNumberFormat="1" applyFont="1" applyFill="1" applyBorder="1"/>
    <xf numFmtId="44" fontId="90" fillId="2" borderId="0" xfId="385" applyNumberFormat="1" applyFont="1" applyFill="1"/>
    <xf numFmtId="10" fontId="90" fillId="2" borderId="0" xfId="385" applyNumberFormat="1" applyFont="1" applyFill="1"/>
    <xf numFmtId="43" fontId="89" fillId="2" borderId="0" xfId="1" applyFont="1" applyFill="1"/>
    <xf numFmtId="0" fontId="77" fillId="2" borderId="0" xfId="0" applyFont="1" applyFill="1" applyBorder="1"/>
    <xf numFmtId="43" fontId="79" fillId="2" borderId="0" xfId="102" applyNumberFormat="1" applyFont="1" applyFill="1"/>
    <xf numFmtId="166" fontId="80" fillId="2" borderId="0" xfId="102" applyNumberFormat="1" applyFont="1" applyFill="1"/>
    <xf numFmtId="0" fontId="90" fillId="2" borderId="0" xfId="0" applyFont="1" applyFill="1" applyBorder="1"/>
    <xf numFmtId="0" fontId="89" fillId="2" borderId="0" xfId="0" applyFont="1" applyFill="1"/>
    <xf numFmtId="164" fontId="79" fillId="2" borderId="0" xfId="2" applyNumberFormat="1" applyFont="1" applyFill="1"/>
    <xf numFmtId="0" fontId="79" fillId="2" borderId="0" xfId="385" applyFont="1" applyFill="1" applyBorder="1"/>
    <xf numFmtId="0" fontId="80" fillId="2" borderId="0" xfId="385" applyFont="1" applyFill="1" applyBorder="1" applyAlignment="1">
      <alignment horizontal="right"/>
    </xf>
    <xf numFmtId="44" fontId="90" fillId="2" borderId="33" xfId="410" applyFont="1" applyFill="1" applyBorder="1"/>
    <xf numFmtId="166" fontId="90" fillId="2" borderId="33" xfId="102" applyNumberFormat="1" applyFont="1" applyFill="1" applyBorder="1"/>
    <xf numFmtId="166" fontId="90" fillId="2" borderId="43" xfId="102" applyNumberFormat="1" applyFont="1" applyFill="1" applyBorder="1"/>
    <xf numFmtId="44" fontId="79" fillId="2" borderId="33" xfId="385" applyNumberFormat="1" applyFont="1" applyFill="1" applyBorder="1"/>
    <xf numFmtId="164" fontId="79" fillId="2" borderId="0" xfId="2" applyNumberFormat="1" applyFont="1" applyFill="1" applyBorder="1"/>
    <xf numFmtId="164" fontId="79" fillId="2" borderId="33" xfId="2" applyNumberFormat="1" applyFont="1" applyFill="1" applyBorder="1"/>
    <xf numFmtId="0" fontId="86" fillId="2" borderId="0" xfId="385" applyFont="1" applyFill="1" applyAlignment="1">
      <alignment horizontal="center"/>
    </xf>
    <xf numFmtId="43" fontId="79" fillId="2" borderId="0" xfId="102" applyFont="1" applyFill="1"/>
    <xf numFmtId="0" fontId="77" fillId="2" borderId="43" xfId="0" applyFont="1" applyFill="1" applyBorder="1"/>
    <xf numFmtId="0" fontId="92" fillId="2" borderId="0" xfId="385" applyFont="1" applyFill="1"/>
    <xf numFmtId="0" fontId="78" fillId="2" borderId="0" xfId="0" applyFont="1" applyFill="1" applyBorder="1"/>
    <xf numFmtId="0" fontId="79" fillId="2" borderId="0" xfId="0" applyFont="1" applyFill="1" applyAlignment="1">
      <alignment vertical="top"/>
    </xf>
    <xf numFmtId="44" fontId="80" fillId="2" borderId="33" xfId="410" applyFont="1" applyFill="1" applyBorder="1"/>
    <xf numFmtId="166" fontId="80" fillId="2" borderId="33" xfId="102" applyNumberFormat="1" applyFont="1" applyFill="1" applyBorder="1"/>
    <xf numFmtId="166" fontId="80" fillId="2" borderId="43" xfId="102" applyNumberFormat="1" applyFont="1" applyFill="1" applyBorder="1"/>
    <xf numFmtId="0" fontId="80" fillId="2" borderId="0" xfId="385" applyFont="1" applyFill="1" applyBorder="1"/>
    <xf numFmtId="43" fontId="77" fillId="2" borderId="0" xfId="102" applyFont="1" applyFill="1"/>
    <xf numFmtId="44" fontId="77" fillId="2" borderId="33" xfId="0" applyNumberFormat="1" applyFont="1" applyFill="1" applyBorder="1"/>
    <xf numFmtId="164" fontId="77" fillId="2" borderId="0" xfId="2" applyNumberFormat="1" applyFont="1" applyFill="1" applyBorder="1"/>
    <xf numFmtId="164" fontId="77" fillId="2" borderId="33" xfId="2" applyNumberFormat="1" applyFont="1" applyFill="1" applyBorder="1"/>
    <xf numFmtId="44" fontId="90" fillId="2" borderId="0" xfId="410" applyFont="1" applyFill="1" applyBorder="1"/>
    <xf numFmtId="44" fontId="77" fillId="2" borderId="2" xfId="0" applyNumberFormat="1" applyFont="1" applyFill="1" applyBorder="1"/>
    <xf numFmtId="41" fontId="77" fillId="2" borderId="2" xfId="0" applyNumberFormat="1" applyFont="1" applyFill="1" applyBorder="1"/>
    <xf numFmtId="44" fontId="77" fillId="2" borderId="0" xfId="0" applyNumberFormat="1" applyFont="1" applyFill="1"/>
    <xf numFmtId="164" fontId="77" fillId="2" borderId="2" xfId="0" applyNumberFormat="1" applyFont="1" applyFill="1" applyBorder="1"/>
    <xf numFmtId="166" fontId="77" fillId="2" borderId="0" xfId="102" applyNumberFormat="1" applyFont="1" applyFill="1"/>
    <xf numFmtId="44" fontId="77" fillId="2" borderId="44" xfId="0" applyNumberFormat="1" applyFont="1" applyFill="1" applyBorder="1"/>
    <xf numFmtId="0" fontId="77" fillId="0" borderId="0" xfId="0" applyFont="1" applyFill="1"/>
    <xf numFmtId="0" fontId="79" fillId="0" borderId="0" xfId="385" applyFont="1" applyFill="1"/>
    <xf numFmtId="0" fontId="89" fillId="0" borderId="0" xfId="385" applyFont="1" applyFill="1"/>
    <xf numFmtId="44" fontId="77" fillId="0" borderId="0" xfId="0" applyNumberFormat="1" applyFont="1" applyFill="1"/>
    <xf numFmtId="1" fontId="3" fillId="2" borderId="0" xfId="0" applyNumberFormat="1" applyFont="1" applyFill="1"/>
    <xf numFmtId="0" fontId="0" fillId="2" borderId="0" xfId="0" applyFill="1"/>
    <xf numFmtId="0" fontId="3" fillId="2" borderId="0" xfId="0" applyFont="1" applyFill="1"/>
    <xf numFmtId="0" fontId="0" fillId="2" borderId="0" xfId="0" applyFill="1" applyBorder="1"/>
    <xf numFmtId="0" fontId="3" fillId="2" borderId="0" xfId="0" applyFont="1" applyFill="1" applyAlignment="1">
      <alignment horizontal="right"/>
    </xf>
    <xf numFmtId="17" fontId="3" fillId="2" borderId="0" xfId="0" quotePrefix="1" applyNumberFormat="1" applyFont="1" applyFill="1" applyAlignment="1">
      <alignment horizontal="right"/>
    </xf>
    <xf numFmtId="43" fontId="0" fillId="2" borderId="0" xfId="0" applyNumberFormat="1" applyFill="1"/>
    <xf numFmtId="17" fontId="0" fillId="2" borderId="0" xfId="0" applyNumberFormat="1" applyFill="1"/>
    <xf numFmtId="171" fontId="0" fillId="2" borderId="0" xfId="3" applyNumberFormat="1" applyFont="1" applyFill="1"/>
    <xf numFmtId="0" fontId="3" fillId="2" borderId="0" xfId="0" applyFont="1" applyFill="1" applyBorder="1" applyAlignment="1">
      <alignment horizontal="right"/>
    </xf>
    <xf numFmtId="171" fontId="0" fillId="2" borderId="0" xfId="0" applyNumberFormat="1" applyFill="1" applyBorder="1"/>
    <xf numFmtId="44" fontId="0" fillId="78" borderId="0" xfId="2" applyFont="1" applyFill="1" applyBorder="1"/>
    <xf numFmtId="43" fontId="0" fillId="78" borderId="0" xfId="1" applyFont="1" applyFill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9" fillId="0" borderId="0" xfId="0" applyFont="1" applyAlignment="1">
      <alignment horizontal="left" wrapText="1"/>
    </xf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77" fillId="2" borderId="0" xfId="0" applyFont="1" applyFill="1" applyAlignment="1">
      <alignment horizontal="center"/>
    </xf>
    <xf numFmtId="0" fontId="78" fillId="2" borderId="0" xfId="0" applyFont="1" applyFill="1" applyAlignment="1">
      <alignment horizontal="center"/>
    </xf>
    <xf numFmtId="0" fontId="108" fillId="2" borderId="0" xfId="385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4" fontId="0" fillId="0" borderId="0" xfId="2" applyFont="1"/>
    <xf numFmtId="44" fontId="0" fillId="41" borderId="0" xfId="2" applyFont="1" applyFill="1"/>
  </cellXfs>
  <cellStyles count="1383">
    <cellStyle name="20% - Accent1 2" xfId="39"/>
    <cellStyle name="20% - Accent1 2 2" xfId="295"/>
    <cellStyle name="20% - Accent1 2 3" xfId="411"/>
    <cellStyle name="20% - Accent1 2 4" xfId="572"/>
    <cellStyle name="20% - Accent1 3" xfId="38"/>
    <cellStyle name="20% - Accent1 3 2" xfId="296"/>
    <cellStyle name="20% - Accent1 3 3" xfId="412"/>
    <cellStyle name="20% - Accent1 4" xfId="386"/>
    <cellStyle name="20% - Accent1 4 2" xfId="573"/>
    <cellStyle name="20% - Accent1 5" xfId="574"/>
    <cellStyle name="20% - Accent2 2" xfId="41"/>
    <cellStyle name="20% - Accent2 3" xfId="40"/>
    <cellStyle name="20% - Accent2 3 2" xfId="413"/>
    <cellStyle name="20% - Accent2 4" xfId="575"/>
    <cellStyle name="20% - Accent2 5" xfId="576"/>
    <cellStyle name="20% - Accent3 2" xfId="43"/>
    <cellStyle name="20% - Accent3 3" xfId="42"/>
    <cellStyle name="20% - Accent3 3 2" xfId="414"/>
    <cellStyle name="20% - Accent3 4" xfId="577"/>
    <cellStyle name="20% - Accent3 5" xfId="578"/>
    <cellStyle name="20% - Accent4 2" xfId="45"/>
    <cellStyle name="20% - Accent4 2 2" xfId="297"/>
    <cellStyle name="20% - Accent4 2 3" xfId="415"/>
    <cellStyle name="20% - Accent4 3" xfId="44"/>
    <cellStyle name="20% - Accent4 3 2" xfId="298"/>
    <cellStyle name="20% - Accent4 3 3" xfId="416"/>
    <cellStyle name="20% - Accent4 4" xfId="397"/>
    <cellStyle name="20% - Accent4 4 2" xfId="579"/>
    <cellStyle name="20% - Accent4 5" xfId="580"/>
    <cellStyle name="20% - Accent5 2" xfId="47"/>
    <cellStyle name="20% - Accent5 3" xfId="46"/>
    <cellStyle name="20% - Accent5 4" xfId="581"/>
    <cellStyle name="20% - Accent5 5" xfId="582"/>
    <cellStyle name="20% - Accent6 2" xfId="49"/>
    <cellStyle name="20% - Accent6 3" xfId="48"/>
    <cellStyle name="20% - Accent6 3 2" xfId="417"/>
    <cellStyle name="20% - Accent6 4" xfId="583"/>
    <cellStyle name="20% - Accent6 5" xfId="584"/>
    <cellStyle name="40% - Accent1 2" xfId="51"/>
    <cellStyle name="40% - Accent1 2 2" xfId="585"/>
    <cellStyle name="40% - Accent1 2 3" xfId="586"/>
    <cellStyle name="40% - Accent1 3" xfId="50"/>
    <cellStyle name="40% - Accent1 3 2" xfId="299"/>
    <cellStyle name="40% - Accent1 3 3" xfId="418"/>
    <cellStyle name="40% - Accent1 4" xfId="404"/>
    <cellStyle name="40% - Accent1 4 2" xfId="587"/>
    <cellStyle name="40% - Accent1 5" xfId="588"/>
    <cellStyle name="40% - Accent2 2" xfId="53"/>
    <cellStyle name="40% - Accent2 3" xfId="52"/>
    <cellStyle name="40% - Accent2 4" xfId="589"/>
    <cellStyle name="40% - Accent2 5" xfId="590"/>
    <cellStyle name="40% - Accent3 2" xfId="55"/>
    <cellStyle name="40% - Accent3 3" xfId="54"/>
    <cellStyle name="40% - Accent3 3 2" xfId="419"/>
    <cellStyle name="40% - Accent3 4" xfId="591"/>
    <cellStyle name="40% - Accent3 5" xfId="592"/>
    <cellStyle name="40% - Accent4 2" xfId="57"/>
    <cellStyle name="40% - Accent4 2 2" xfId="593"/>
    <cellStyle name="40% - Accent4 2 3" xfId="594"/>
    <cellStyle name="40% - Accent4 3" xfId="56"/>
    <cellStyle name="40% - Accent4 3 2" xfId="300"/>
    <cellStyle name="40% - Accent4 3 3" xfId="420"/>
    <cellStyle name="40% - Accent4 4" xfId="396"/>
    <cellStyle name="40% - Accent4 4 2" xfId="595"/>
    <cellStyle name="40% - Accent4 5" xfId="596"/>
    <cellStyle name="40% - Accent5 2" xfId="59"/>
    <cellStyle name="40% - Accent5 2 2" xfId="597"/>
    <cellStyle name="40% - Accent5 2 3" xfId="598"/>
    <cellStyle name="40% - Accent5 3" xfId="58"/>
    <cellStyle name="40% - Accent5 3 2" xfId="421"/>
    <cellStyle name="40% - Accent5 4" xfId="599"/>
    <cellStyle name="40% - Accent5 5" xfId="600"/>
    <cellStyle name="40% - Accent6 2" xfId="61"/>
    <cellStyle name="40% - Accent6 2 2" xfId="601"/>
    <cellStyle name="40% - Accent6 2 3" xfId="602"/>
    <cellStyle name="40% - Accent6 3" xfId="60"/>
    <cellStyle name="40% - Accent6 3 2" xfId="301"/>
    <cellStyle name="40% - Accent6 3 3" xfId="422"/>
    <cellStyle name="40% - Accent6 4" xfId="395"/>
    <cellStyle name="40% - Accent6 4 2" xfId="603"/>
    <cellStyle name="40% - Accent6 5" xfId="604"/>
    <cellStyle name="60% - Accent1 2" xfId="63"/>
    <cellStyle name="60% - Accent1 2 2" xfId="302"/>
    <cellStyle name="60% - Accent1 2 3" xfId="423"/>
    <cellStyle name="60% - Accent1 2 4" xfId="605"/>
    <cellStyle name="60% - Accent1 3" xfId="62"/>
    <cellStyle name="60% - Accent1 3 2" xfId="303"/>
    <cellStyle name="60% - Accent1 3 3" xfId="424"/>
    <cellStyle name="60% - Accent1 4" xfId="394"/>
    <cellStyle name="60% - Accent1 4 2" xfId="606"/>
    <cellStyle name="60% - Accent2 2" xfId="65"/>
    <cellStyle name="60% - Accent2 2 2" xfId="607"/>
    <cellStyle name="60% - Accent2 2 3" xfId="608"/>
    <cellStyle name="60% - Accent2 3" xfId="64"/>
    <cellStyle name="60% - Accent2 3 2" xfId="425"/>
    <cellStyle name="60% - Accent2 4" xfId="609"/>
    <cellStyle name="60% - Accent3 2" xfId="67"/>
    <cellStyle name="60% - Accent3 2 2" xfId="610"/>
    <cellStyle name="60% - Accent3 2 3" xfId="611"/>
    <cellStyle name="60% - Accent3 3" xfId="66"/>
    <cellStyle name="60% - Accent3 3 2" xfId="304"/>
    <cellStyle name="60% - Accent3 3 3" xfId="426"/>
    <cellStyle name="60% - Accent3 4" xfId="403"/>
    <cellStyle name="60% - Accent3 4 2" xfId="612"/>
    <cellStyle name="60% - Accent4 2" xfId="69"/>
    <cellStyle name="60% - Accent4 2 2" xfId="613"/>
    <cellStyle name="60% - Accent4 2 3" xfId="614"/>
    <cellStyle name="60% - Accent4 3" xfId="68"/>
    <cellStyle name="60% - Accent4 3 2" xfId="305"/>
    <cellStyle name="60% - Accent4 3 3" xfId="427"/>
    <cellStyle name="60% - Accent4 4" xfId="393"/>
    <cellStyle name="60% - Accent4 4 2" xfId="615"/>
    <cellStyle name="60% - Accent5 2" xfId="71"/>
    <cellStyle name="60% - Accent5 2 2" xfId="306"/>
    <cellStyle name="60% - Accent5 2 3" xfId="428"/>
    <cellStyle name="60% - Accent5 2 4" xfId="616"/>
    <cellStyle name="60% - Accent5 3" xfId="70"/>
    <cellStyle name="60% - Accent5 3 2" xfId="429"/>
    <cellStyle name="60% - Accent5 4" xfId="617"/>
    <cellStyle name="60% - Accent6 2" xfId="73"/>
    <cellStyle name="60% - Accent6 3" xfId="72"/>
    <cellStyle name="60% - Accent6 3 2" xfId="430"/>
    <cellStyle name="60% - Accent6 4" xfId="618"/>
    <cellStyle name="Accent1 2" xfId="75"/>
    <cellStyle name="Accent1 2 2" xfId="307"/>
    <cellStyle name="Accent1 2 3" xfId="431"/>
    <cellStyle name="Accent1 2 4" xfId="619"/>
    <cellStyle name="Accent1 3" xfId="74"/>
    <cellStyle name="Accent1 3 2" xfId="308"/>
    <cellStyle name="Accent1 3 3" xfId="432"/>
    <cellStyle name="Accent1 4" xfId="392"/>
    <cellStyle name="Accent1 4 2" xfId="620"/>
    <cellStyle name="Accent2 2" xfId="77"/>
    <cellStyle name="Accent2 2 2" xfId="621"/>
    <cellStyle name="Accent2 2 3" xfId="622"/>
    <cellStyle name="Accent2 3" xfId="76"/>
    <cellStyle name="Accent2 3 2" xfId="433"/>
    <cellStyle name="Accent2 4" xfId="623"/>
    <cellStyle name="Accent3 2" xfId="79"/>
    <cellStyle name="Accent3 2 2" xfId="309"/>
    <cellStyle name="Accent3 2 3" xfId="434"/>
    <cellStyle name="Accent3 2 4" xfId="624"/>
    <cellStyle name="Accent3 3" xfId="78"/>
    <cellStyle name="Accent3 3 2" xfId="435"/>
    <cellStyle name="Accent3 4" xfId="625"/>
    <cellStyle name="Accent4 2" xfId="81"/>
    <cellStyle name="Accent4 2 2" xfId="626"/>
    <cellStyle name="Accent4 2 2 2" xfId="627"/>
    <cellStyle name="Accent4 2 3" xfId="628"/>
    <cellStyle name="Accent4 3" xfId="80"/>
    <cellStyle name="Accent4 3 2" xfId="436"/>
    <cellStyle name="Accent4 4" xfId="629"/>
    <cellStyle name="Accent5 2" xfId="83"/>
    <cellStyle name="Accent5 2 2" xfId="630"/>
    <cellStyle name="Accent5 2 3" xfId="631"/>
    <cellStyle name="Accent5 2 4" xfId="632"/>
    <cellStyle name="Accent5 3" xfId="82"/>
    <cellStyle name="Accent5 4" xfId="633"/>
    <cellStyle name="Accent6 2" xfId="85"/>
    <cellStyle name="Accent6 2 2" xfId="310"/>
    <cellStyle name="Accent6 2 3" xfId="437"/>
    <cellStyle name="Accent6 2 4" xfId="634"/>
    <cellStyle name="Accent6 3" xfId="84"/>
    <cellStyle name="Accent6 3 2" xfId="438"/>
    <cellStyle name="Accent6 4" xfId="635"/>
    <cellStyle name="Accounting" xfId="86"/>
    <cellStyle name="Accounting 2" xfId="87"/>
    <cellStyle name="Accounting 3" xfId="88"/>
    <cellStyle name="Accounting_2011-11" xfId="89"/>
    <cellStyle name="APS" xfId="636"/>
    <cellStyle name="APSLabels" xfId="637"/>
    <cellStyle name="Bad 2" xfId="91"/>
    <cellStyle name="Bad 2 2" xfId="638"/>
    <cellStyle name="Bad 2 3" xfId="639"/>
    <cellStyle name="Bad 3" xfId="90"/>
    <cellStyle name="Bad 3 2" xfId="439"/>
    <cellStyle name="Bad 4" xfId="640"/>
    <cellStyle name="Budget" xfId="92"/>
    <cellStyle name="Budget 2" xfId="93"/>
    <cellStyle name="Budget 3" xfId="94"/>
    <cellStyle name="Budget_2011-11" xfId="95"/>
    <cellStyle name="Calculation 2" xfId="97"/>
    <cellStyle name="Calculation 2 2" xfId="311"/>
    <cellStyle name="Calculation 2 3" xfId="440"/>
    <cellStyle name="Calculation 2 4" xfId="641"/>
    <cellStyle name="Calculation 3" xfId="96"/>
    <cellStyle name="Calculation 3 2" xfId="312"/>
    <cellStyle name="Calculation 3 3" xfId="441"/>
    <cellStyle name="Calculation 4" xfId="391"/>
    <cellStyle name="Calculation 4 2" xfId="642"/>
    <cellStyle name="Check Cell 2" xfId="99"/>
    <cellStyle name="Check Cell 2 2" xfId="643"/>
    <cellStyle name="Check Cell 2 3" xfId="644"/>
    <cellStyle name="Check Cell 3" xfId="98"/>
    <cellStyle name="Check Cell 4" xfId="645"/>
    <cellStyle name="Color" xfId="646"/>
    <cellStyle name="combo" xfId="100"/>
    <cellStyle name="Comma" xfId="1" builtinId="3"/>
    <cellStyle name="Comma 10" xfId="102"/>
    <cellStyle name="Comma 10 2" xfId="647"/>
    <cellStyle name="Comma 11" xfId="103"/>
    <cellStyle name="Comma 11 2" xfId="648"/>
    <cellStyle name="Comma 11 2 2" xfId="649"/>
    <cellStyle name="Comma 11 2 2 2" xfId="650"/>
    <cellStyle name="Comma 11 2 3" xfId="651"/>
    <cellStyle name="Comma 11 3" xfId="652"/>
    <cellStyle name="Comma 11 3 2" xfId="653"/>
    <cellStyle name="Comma 11 4" xfId="654"/>
    <cellStyle name="Comma 12" xfId="101"/>
    <cellStyle name="Comma 12 2" xfId="273"/>
    <cellStyle name="Comma 12 2 2" xfId="442"/>
    <cellStyle name="Comma 12 3" xfId="278"/>
    <cellStyle name="Comma 12 4" xfId="443"/>
    <cellStyle name="Comma 12 5" xfId="444"/>
    <cellStyle name="Comma 13" xfId="279"/>
    <cellStyle name="Comma 13 2" xfId="445"/>
    <cellStyle name="Comma 13 2 2" xfId="655"/>
    <cellStyle name="Comma 13 3" xfId="656"/>
    <cellStyle name="Comma 14" xfId="280"/>
    <cellStyle name="Comma 15" xfId="281"/>
    <cellStyle name="Comma 15 2" xfId="446"/>
    <cellStyle name="Comma 15 3" xfId="657"/>
    <cellStyle name="Comma 16" xfId="282"/>
    <cellStyle name="Comma 16 2" xfId="658"/>
    <cellStyle name="Comma 16 3" xfId="659"/>
    <cellStyle name="Comma 17" xfId="313"/>
    <cellStyle name="Comma 17 2" xfId="447"/>
    <cellStyle name="Comma 17 2 2" xfId="570"/>
    <cellStyle name="Comma 17 3" xfId="660"/>
    <cellStyle name="Comma 17 4" xfId="661"/>
    <cellStyle name="Comma 18" xfId="314"/>
    <cellStyle name="Comma 18 2" xfId="402"/>
    <cellStyle name="Comma 18 3" xfId="448"/>
    <cellStyle name="Comma 18 4" xfId="566"/>
    <cellStyle name="Comma 19" xfId="315"/>
    <cellStyle name="Comma 2" xfId="4"/>
    <cellStyle name="Comma 2 2" xfId="5"/>
    <cellStyle name="Comma 2 2 2" xfId="316"/>
    <cellStyle name="Comma 2 2 2 2" xfId="662"/>
    <cellStyle name="Comma 2 2 2 2 2" xfId="663"/>
    <cellStyle name="Comma 2 2 3" xfId="664"/>
    <cellStyle name="Comma 2 3" xfId="104"/>
    <cellStyle name="Comma 2 3 2" xfId="665"/>
    <cellStyle name="Comma 2 4" xfId="317"/>
    <cellStyle name="Comma 2 4 2" xfId="449"/>
    <cellStyle name="Comma 2 4 2 2" xfId="571"/>
    <cellStyle name="Comma 2 4 3" xfId="450"/>
    <cellStyle name="Comma 2 4 4" xfId="567"/>
    <cellStyle name="Comma 2 5" xfId="401"/>
    <cellStyle name="Comma 2 5 2" xfId="666"/>
    <cellStyle name="Comma 2 6" xfId="6"/>
    <cellStyle name="Comma 2 6 2" xfId="7"/>
    <cellStyle name="Comma 2 6 2 2" xfId="667"/>
    <cellStyle name="Comma 2 6 3" xfId="668"/>
    <cellStyle name="Comma 2 6 4" xfId="669"/>
    <cellStyle name="Comma 2 7" xfId="670"/>
    <cellStyle name="Comma 2 7 2" xfId="671"/>
    <cellStyle name="Comma 2 8" xfId="672"/>
    <cellStyle name="Comma 2 9" xfId="673"/>
    <cellStyle name="Comma 20" xfId="366"/>
    <cellStyle name="Comma 20 2" xfId="451"/>
    <cellStyle name="Comma 21" xfId="452"/>
    <cellStyle name="Comma 21 2" xfId="674"/>
    <cellStyle name="Comma 22" xfId="675"/>
    <cellStyle name="Comma 23" xfId="676"/>
    <cellStyle name="Comma 24" xfId="677"/>
    <cellStyle name="Comma 3" xfId="8"/>
    <cellStyle name="Comma 3 2" xfId="105"/>
    <cellStyle name="Comma 3 2 2" xfId="106"/>
    <cellStyle name="Comma 3 3" xfId="283"/>
    <cellStyle name="Comma 3 4" xfId="318"/>
    <cellStyle name="Comma 4" xfId="107"/>
    <cellStyle name="Comma 4 2" xfId="108"/>
    <cellStyle name="Comma 4 2 2" xfId="284"/>
    <cellStyle name="Comma 4 2 2 2" xfId="678"/>
    <cellStyle name="Comma 4 2 2 2 2" xfId="679"/>
    <cellStyle name="Comma 4 2 2 3" xfId="680"/>
    <cellStyle name="Comma 4 2 2 3 2" xfId="681"/>
    <cellStyle name="Comma 4 2 2 4" xfId="682"/>
    <cellStyle name="Comma 4 2 3" xfId="453"/>
    <cellStyle name="Comma 4 2 3 2" xfId="683"/>
    <cellStyle name="Comma 4 2 4" xfId="684"/>
    <cellStyle name="Comma 4 2 4 2" xfId="685"/>
    <cellStyle name="Comma 4 2 4 3" xfId="686"/>
    <cellStyle name="Comma 4 2 5" xfId="687"/>
    <cellStyle name="Comma 4 3" xfId="109"/>
    <cellStyle name="Comma 4 3 2" xfId="285"/>
    <cellStyle name="Comma 4 3 2 2" xfId="688"/>
    <cellStyle name="Comma 4 3 3" xfId="454"/>
    <cellStyle name="Comma 4 3 3 2" xfId="689"/>
    <cellStyle name="Comma 4 3 4" xfId="690"/>
    <cellStyle name="Comma 4 3 4 2" xfId="691"/>
    <cellStyle name="Comma 4 4" xfId="286"/>
    <cellStyle name="Comma 4 4 2" xfId="455"/>
    <cellStyle name="Comma 4 4 2 2" xfId="692"/>
    <cellStyle name="Comma 4 4 3" xfId="456"/>
    <cellStyle name="Comma 4 4 3 2" xfId="693"/>
    <cellStyle name="Comma 4 4 4" xfId="694"/>
    <cellStyle name="Comma 4 4 4 2" xfId="695"/>
    <cellStyle name="Comma 4 5" xfId="110"/>
    <cellStyle name="Comma 4 5 2" xfId="457"/>
    <cellStyle name="Comma 4 5 2 2" xfId="696"/>
    <cellStyle name="Comma 4 6" xfId="276"/>
    <cellStyle name="Comma 4 6 2" xfId="564"/>
    <cellStyle name="Comma 4 6 3" xfId="458"/>
    <cellStyle name="Comma 4 7" xfId="697"/>
    <cellStyle name="Comma 5" xfId="111"/>
    <cellStyle name="Comma 5 2" xfId="459"/>
    <cellStyle name="Comma 5 2 2" xfId="698"/>
    <cellStyle name="Comma 5 2 2 2" xfId="699"/>
    <cellStyle name="Comma 5 2 2 2 2" xfId="700"/>
    <cellStyle name="Comma 5 2 2 3" xfId="701"/>
    <cellStyle name="Comma 5 2 3" xfId="702"/>
    <cellStyle name="Comma 5 2 3 2" xfId="703"/>
    <cellStyle name="Comma 5 2 4" xfId="704"/>
    <cellStyle name="Comma 5 3" xfId="460"/>
    <cellStyle name="Comma 5 3 2" xfId="705"/>
    <cellStyle name="Comma 5 3 2 2" xfId="706"/>
    <cellStyle name="Comma 5 3 3" xfId="707"/>
    <cellStyle name="Comma 5 4" xfId="461"/>
    <cellStyle name="Comma 5 4 2" xfId="708"/>
    <cellStyle name="Comma 5 4 2 2" xfId="709"/>
    <cellStyle name="Comma 5 4 3" xfId="710"/>
    <cellStyle name="Comma 5 5" xfId="711"/>
    <cellStyle name="Comma 5 5 2" xfId="712"/>
    <cellStyle name="Comma 5 6" xfId="713"/>
    <cellStyle name="Comma 6" xfId="112"/>
    <cellStyle name="Comma 6 2" xfId="319"/>
    <cellStyle name="Comma 6 2 2" xfId="714"/>
    <cellStyle name="Comma 6 2 2 2" xfId="715"/>
    <cellStyle name="Comma 6 2 2 2 2" xfId="716"/>
    <cellStyle name="Comma 6 2 2 3" xfId="717"/>
    <cellStyle name="Comma 6 2 3" xfId="718"/>
    <cellStyle name="Comma 6 2 3 2" xfId="719"/>
    <cellStyle name="Comma 6 2 4" xfId="720"/>
    <cellStyle name="Comma 6 3" xfId="721"/>
    <cellStyle name="Comma 6 3 2" xfId="722"/>
    <cellStyle name="Comma 6 3 2 2" xfId="723"/>
    <cellStyle name="Comma 6 3 3" xfId="724"/>
    <cellStyle name="Comma 6 4" xfId="725"/>
    <cellStyle name="Comma 6 4 2" xfId="726"/>
    <cellStyle name="Comma 6 4 2 2" xfId="727"/>
    <cellStyle name="Comma 6 4 3" xfId="728"/>
    <cellStyle name="Comma 6 5" xfId="729"/>
    <cellStyle name="Comma 6 5 2" xfId="730"/>
    <cellStyle name="Comma 6 6" xfId="731"/>
    <cellStyle name="Comma 7" xfId="113"/>
    <cellStyle name="Comma 7 2" xfId="732"/>
    <cellStyle name="Comma 7 2 2" xfId="733"/>
    <cellStyle name="Comma 7 2 2 2" xfId="734"/>
    <cellStyle name="Comma 7 2 2 2 2" xfId="735"/>
    <cellStyle name="Comma 7 2 2 3" xfId="736"/>
    <cellStyle name="Comma 7 2 3" xfId="737"/>
    <cellStyle name="Comma 7 2 3 2" xfId="738"/>
    <cellStyle name="Comma 7 2 4" xfId="739"/>
    <cellStyle name="Comma 7 3" xfId="740"/>
    <cellStyle name="Comma 7 3 2" xfId="741"/>
    <cellStyle name="Comma 7 3 2 2" xfId="742"/>
    <cellStyle name="Comma 7 3 3" xfId="743"/>
    <cellStyle name="Comma 7 4" xfId="744"/>
    <cellStyle name="Comma 7 4 2" xfId="745"/>
    <cellStyle name="Comma 7 4 2 2" xfId="746"/>
    <cellStyle name="Comma 7 4 3" xfId="747"/>
    <cellStyle name="Comma 7 5" xfId="748"/>
    <cellStyle name="Comma 7 5 2" xfId="749"/>
    <cellStyle name="Comma 7 6" xfId="750"/>
    <cellStyle name="Comma 8" xfId="114"/>
    <cellStyle name="Comma 8 2" xfId="751"/>
    <cellStyle name="Comma 8 2 2" xfId="752"/>
    <cellStyle name="Comma 8 2 2 2" xfId="753"/>
    <cellStyle name="Comma 8 2 2 3" xfId="754"/>
    <cellStyle name="Comma 8 2 3" xfId="755"/>
    <cellStyle name="Comma 8 3" xfId="756"/>
    <cellStyle name="Comma 8 3 2" xfId="757"/>
    <cellStyle name="Comma 8 3 2 2" xfId="758"/>
    <cellStyle name="Comma 8 3 3" xfId="759"/>
    <cellStyle name="Comma 8 4" xfId="760"/>
    <cellStyle name="Comma 8 4 2" xfId="761"/>
    <cellStyle name="Comma 8 5" xfId="762"/>
    <cellStyle name="Comma 9" xfId="115"/>
    <cellStyle name="Comma 9 2" xfId="763"/>
    <cellStyle name="Comma(2)" xfId="116"/>
    <cellStyle name="Comma0" xfId="462"/>
    <cellStyle name="Comma0 - Style2" xfId="117"/>
    <cellStyle name="Comma1 - Style1" xfId="118"/>
    <cellStyle name="Comments" xfId="119"/>
    <cellStyle name="Currency" xfId="2" builtinId="4"/>
    <cellStyle name="Currency 10" xfId="320"/>
    <cellStyle name="Currency 10 2" xfId="764"/>
    <cellStyle name="Currency 10 2 2" xfId="765"/>
    <cellStyle name="Currency 11" xfId="367"/>
    <cellStyle name="Currency 11 2" xfId="410"/>
    <cellStyle name="Currency 12" xfId="463"/>
    <cellStyle name="Currency 13" xfId="464"/>
    <cellStyle name="Currency 14" xfId="766"/>
    <cellStyle name="Currency 15" xfId="767"/>
    <cellStyle name="Currency 16" xfId="768"/>
    <cellStyle name="Currency 2" xfId="9"/>
    <cellStyle name="Currency 2 2" xfId="10"/>
    <cellStyle name="Currency 2 2 2" xfId="122"/>
    <cellStyle name="Currency 2 2 3" xfId="465"/>
    <cellStyle name="Currency 2 2 3 2" xfId="769"/>
    <cellStyle name="Currency 2 2 4" xfId="770"/>
    <cellStyle name="Currency 2 3" xfId="121"/>
    <cellStyle name="Currency 2 3 2" xfId="321"/>
    <cellStyle name="Currency 2 3 3" xfId="466"/>
    <cellStyle name="Currency 2 4" xfId="467"/>
    <cellStyle name="Currency 2 4 2" xfId="771"/>
    <cellStyle name="Currency 2 4 3" xfId="772"/>
    <cellStyle name="Currency 2 4 4" xfId="773"/>
    <cellStyle name="Currency 2 5" xfId="774"/>
    <cellStyle name="Currency 2 5 2" xfId="775"/>
    <cellStyle name="Currency 2 6" xfId="11"/>
    <cellStyle name="Currency 2 6 2" xfId="12"/>
    <cellStyle name="Currency 2 6 3" xfId="776"/>
    <cellStyle name="Currency 2 7" xfId="777"/>
    <cellStyle name="Currency 3" xfId="13"/>
    <cellStyle name="Currency 3 2" xfId="124"/>
    <cellStyle name="Currency 3 2 2" xfId="778"/>
    <cellStyle name="Currency 3 2 2 2" xfId="779"/>
    <cellStyle name="Currency 3 2 2 2 2" xfId="780"/>
    <cellStyle name="Currency 3 2 2 3" xfId="781"/>
    <cellStyle name="Currency 3 2 3" xfId="782"/>
    <cellStyle name="Currency 3 2 3 2" xfId="783"/>
    <cellStyle name="Currency 3 2 4" xfId="784"/>
    <cellStyle name="Currency 3 3" xfId="123"/>
    <cellStyle name="Currency 3 3 2" xfId="468"/>
    <cellStyle name="Currency 3 3 2 2" xfId="785"/>
    <cellStyle name="Currency 3 3 3" xfId="563"/>
    <cellStyle name="Currency 3 3 4" xfId="398"/>
    <cellStyle name="Currency 3 4" xfId="287"/>
    <cellStyle name="Currency 3 4 2" xfId="786"/>
    <cellStyle name="Currency 3 4 2 2" xfId="787"/>
    <cellStyle name="Currency 3 4 3" xfId="788"/>
    <cellStyle name="Currency 3 5" xfId="469"/>
    <cellStyle name="Currency 3 5 2" xfId="789"/>
    <cellStyle name="Currency 3 6" xfId="399"/>
    <cellStyle name="Currency 4" xfId="14"/>
    <cellStyle name="Currency 4 2" xfId="15"/>
    <cellStyle name="Currency 4 2 2" xfId="790"/>
    <cellStyle name="Currency 4 2 2 2" xfId="791"/>
    <cellStyle name="Currency 4 2 2 2 2" xfId="792"/>
    <cellStyle name="Currency 4 2 2 3" xfId="793"/>
    <cellStyle name="Currency 4 2 3" xfId="794"/>
    <cellStyle name="Currency 4 2 3 2" xfId="795"/>
    <cellStyle name="Currency 4 2 4" xfId="796"/>
    <cellStyle name="Currency 4 3" xfId="470"/>
    <cellStyle name="Currency 4 3 2" xfId="797"/>
    <cellStyle name="Currency 4 3 2 2" xfId="798"/>
    <cellStyle name="Currency 4 3 3" xfId="799"/>
    <cellStyle name="Currency 4 4" xfId="471"/>
    <cellStyle name="Currency 4 4 2" xfId="800"/>
    <cellStyle name="Currency 4 4 2 2" xfId="801"/>
    <cellStyle name="Currency 4 4 3" xfId="802"/>
    <cellStyle name="Currency 4 5" xfId="803"/>
    <cellStyle name="Currency 4 5 2" xfId="804"/>
    <cellStyle name="Currency 4 6" xfId="805"/>
    <cellStyle name="Currency 5" xfId="120"/>
    <cellStyle name="Currency 5 2" xfId="272"/>
    <cellStyle name="Currency 5 2 2" xfId="806"/>
    <cellStyle name="Currency 5 2 2 2" xfId="807"/>
    <cellStyle name="Currency 5 2 3" xfId="808"/>
    <cellStyle name="Currency 5 3" xfId="288"/>
    <cellStyle name="Currency 5 3 2" xfId="809"/>
    <cellStyle name="Currency 5 3 2 2" xfId="810"/>
    <cellStyle name="Currency 5 3 3" xfId="811"/>
    <cellStyle name="Currency 5 4" xfId="812"/>
    <cellStyle name="Currency 5 4 2" xfId="813"/>
    <cellStyle name="Currency 5 5" xfId="814"/>
    <cellStyle name="Currency 6" xfId="289"/>
    <cellStyle name="Currency 7" xfId="290"/>
    <cellStyle name="Currency 8" xfId="322"/>
    <cellStyle name="Currency 8 2" xfId="472"/>
    <cellStyle name="Currency 8 2 2" xfId="815"/>
    <cellStyle name="Currency 8 2 2 2" xfId="816"/>
    <cellStyle name="Currency 8 2 3" xfId="817"/>
    <cellStyle name="Currency 8 3" xfId="568"/>
    <cellStyle name="Currency 8 3 2" xfId="818"/>
    <cellStyle name="Currency 8 3 3" xfId="819"/>
    <cellStyle name="Currency 8 4" xfId="820"/>
    <cellStyle name="Currency 9" xfId="323"/>
    <cellStyle name="Currency 9 2" xfId="821"/>
    <cellStyle name="Currency 9 2 2" xfId="822"/>
    <cellStyle name="Currency 9 3" xfId="823"/>
    <cellStyle name="Currency0" xfId="473"/>
    <cellStyle name="Data Enter" xfId="125"/>
    <cellStyle name="date" xfId="324"/>
    <cellStyle name="Explanatory Text 2" xfId="127"/>
    <cellStyle name="Explanatory Text 3" xfId="126"/>
    <cellStyle name="Explanatory Text 4" xfId="824"/>
    <cellStyle name="F9ReportControlStyle_ctpInquire" xfId="474"/>
    <cellStyle name="FactSheet" xfId="128"/>
    <cellStyle name="fish" xfId="325"/>
    <cellStyle name="Good 2" xfId="130"/>
    <cellStyle name="Good 2 2" xfId="825"/>
    <cellStyle name="Good 2 2 2" xfId="826"/>
    <cellStyle name="Good 2 3" xfId="827"/>
    <cellStyle name="Good 3" xfId="129"/>
    <cellStyle name="Good 3 2" xfId="475"/>
    <cellStyle name="Good 3 3" xfId="828"/>
    <cellStyle name="Good 4" xfId="476"/>
    <cellStyle name="Good 5" xfId="829"/>
    <cellStyle name="Heading 1 2" xfId="132"/>
    <cellStyle name="Heading 1 2 2" xfId="326"/>
    <cellStyle name="Heading 1 2 3" xfId="477"/>
    <cellStyle name="Heading 1 2 4" xfId="830"/>
    <cellStyle name="Heading 1 3" xfId="131"/>
    <cellStyle name="Heading 1 3 2" xfId="327"/>
    <cellStyle name="Heading 1 3 3" xfId="478"/>
    <cellStyle name="Heading 1 4" xfId="390"/>
    <cellStyle name="Heading 1 4 2" xfId="831"/>
    <cellStyle name="Heading 2 2" xfId="134"/>
    <cellStyle name="Heading 2 2 2" xfId="328"/>
    <cellStyle name="Heading 2 2 3" xfId="479"/>
    <cellStyle name="Heading 2 2 4" xfId="832"/>
    <cellStyle name="Heading 2 3" xfId="133"/>
    <cellStyle name="Heading 2 3 2" xfId="329"/>
    <cellStyle name="Heading 2 3 3" xfId="480"/>
    <cellStyle name="Heading 2 4" xfId="389"/>
    <cellStyle name="Heading 2 4 2" xfId="833"/>
    <cellStyle name="Heading 3 2" xfId="136"/>
    <cellStyle name="Heading 3 2 2" xfId="330"/>
    <cellStyle name="Heading 3 2 3" xfId="481"/>
    <cellStyle name="Heading 3 2 4" xfId="834"/>
    <cellStyle name="Heading 3 3" xfId="135"/>
    <cellStyle name="Heading 3 3 2" xfId="331"/>
    <cellStyle name="Heading 3 3 3" xfId="482"/>
    <cellStyle name="Heading 3 4" xfId="388"/>
    <cellStyle name="Heading 3 4 2" xfId="835"/>
    <cellStyle name="Heading 4 2" xfId="138"/>
    <cellStyle name="Heading 4 2 2" xfId="836"/>
    <cellStyle name="Heading 4 2 2 2" xfId="837"/>
    <cellStyle name="Heading 4 2 3" xfId="838"/>
    <cellStyle name="Heading 4 3" xfId="137"/>
    <cellStyle name="Heading 4 3 2" xfId="483"/>
    <cellStyle name="Heading 4 4" xfId="839"/>
    <cellStyle name="Hyperlink 2" xfId="139"/>
    <cellStyle name="Hyperlink 2 2" xfId="840"/>
    <cellStyle name="Hyperlink 2 2 2" xfId="841"/>
    <cellStyle name="Hyperlink 2 2 3" xfId="842"/>
    <cellStyle name="Hyperlink 2 2 4" xfId="843"/>
    <cellStyle name="Hyperlink 2 3" xfId="844"/>
    <cellStyle name="Hyperlink 3" xfId="140"/>
    <cellStyle name="Hyperlink 3 2" xfId="291"/>
    <cellStyle name="Hyperlink 3 2 2" xfId="845"/>
    <cellStyle name="Hyperlink 3 3" xfId="846"/>
    <cellStyle name="Input 2" xfId="142"/>
    <cellStyle name="Input 2 2" xfId="847"/>
    <cellStyle name="Input 2 2 2" xfId="848"/>
    <cellStyle name="Input 2 3" xfId="849"/>
    <cellStyle name="Input 3" xfId="141"/>
    <cellStyle name="Input 3 2" xfId="484"/>
    <cellStyle name="Input 4" xfId="850"/>
    <cellStyle name="input(0)" xfId="143"/>
    <cellStyle name="Input(2)" xfId="144"/>
    <cellStyle name="Labels" xfId="851"/>
    <cellStyle name="Linked Cell 2" xfId="146"/>
    <cellStyle name="Linked Cell 2 2" xfId="332"/>
    <cellStyle name="Linked Cell 2 3" xfId="485"/>
    <cellStyle name="Linked Cell 2 4" xfId="852"/>
    <cellStyle name="Linked Cell 3" xfId="145"/>
    <cellStyle name="Linked Cell 3 2" xfId="486"/>
    <cellStyle name="Linked Cell 4" xfId="853"/>
    <cellStyle name="Neutral 2" xfId="148"/>
    <cellStyle name="Neutral 2 2" xfId="333"/>
    <cellStyle name="Neutral 2 3" xfId="487"/>
    <cellStyle name="Neutral 2 4" xfId="854"/>
    <cellStyle name="Neutral 3" xfId="147"/>
    <cellStyle name="Neutral 3 2" xfId="488"/>
    <cellStyle name="Neutral 4" xfId="855"/>
    <cellStyle name="New_normal" xfId="149"/>
    <cellStyle name="Normal" xfId="0" builtinId="0"/>
    <cellStyle name="Normal - Style1" xfId="150"/>
    <cellStyle name="Normal - Style2" xfId="151"/>
    <cellStyle name="Normal - Style3" xfId="152"/>
    <cellStyle name="Normal - Style4" xfId="153"/>
    <cellStyle name="Normal - Style5" xfId="154"/>
    <cellStyle name="Normal 10" xfId="155"/>
    <cellStyle name="Normal 10 2" xfId="16"/>
    <cellStyle name="Normal 10 2 2" xfId="335"/>
    <cellStyle name="Normal 10 2 2 2" xfId="856"/>
    <cellStyle name="Normal 10 2 2 2 2" xfId="857"/>
    <cellStyle name="Normal 10 2 2 3" xfId="858"/>
    <cellStyle name="Normal 10 2 3" xfId="334"/>
    <cellStyle name="Normal 10 2 3 2" xfId="859"/>
    <cellStyle name="Normal 10 2 4" xfId="489"/>
    <cellStyle name="Normal 10 2 4 2" xfId="860"/>
    <cellStyle name="Normal 10 2 5" xfId="562"/>
    <cellStyle name="Normal 10 3" xfId="490"/>
    <cellStyle name="Normal 10 3 2" xfId="861"/>
    <cellStyle name="Normal 10 3 2 2" xfId="862"/>
    <cellStyle name="Normal 10 3 3" xfId="863"/>
    <cellStyle name="Normal 10 4" xfId="864"/>
    <cellStyle name="Normal 10 4 2" xfId="865"/>
    <cellStyle name="Normal 10 4 2 2" xfId="866"/>
    <cellStyle name="Normal 10 4 3" xfId="867"/>
    <cellStyle name="Normal 10 5" xfId="868"/>
    <cellStyle name="Normal 10 5 2" xfId="869"/>
    <cellStyle name="Normal 10 6" xfId="870"/>
    <cellStyle name="Normal 10_2112 DF Schedule" xfId="336"/>
    <cellStyle name="Normal 100" xfId="376"/>
    <cellStyle name="Normal 100 2" xfId="871"/>
    <cellStyle name="Normal 101" xfId="378"/>
    <cellStyle name="Normal 101 2" xfId="872"/>
    <cellStyle name="Normal 102" xfId="379"/>
    <cellStyle name="Normal 102 2" xfId="873"/>
    <cellStyle name="Normal 103" xfId="380"/>
    <cellStyle name="Normal 103 2" xfId="874"/>
    <cellStyle name="Normal 104" xfId="381"/>
    <cellStyle name="Normal 104 2" xfId="875"/>
    <cellStyle name="Normal 105" xfId="377"/>
    <cellStyle name="Normal 105 2" xfId="876"/>
    <cellStyle name="Normal 106" xfId="382"/>
    <cellStyle name="Normal 107" xfId="383"/>
    <cellStyle name="Normal 107 2" xfId="877"/>
    <cellStyle name="Normal 108" xfId="384"/>
    <cellStyle name="Normal 108 2" xfId="878"/>
    <cellStyle name="Normal 109" xfId="491"/>
    <cellStyle name="Normal 109 2" xfId="879"/>
    <cellStyle name="Normal 109 3" xfId="880"/>
    <cellStyle name="Normal 11" xfId="156"/>
    <cellStyle name="Normal 11 2" xfId="492"/>
    <cellStyle name="Normal 11 2 2" xfId="493"/>
    <cellStyle name="Normal 11 2 2 2" xfId="881"/>
    <cellStyle name="Normal 11 2 2 2 2" xfId="882"/>
    <cellStyle name="Normal 11 2 2 3" xfId="883"/>
    <cellStyle name="Normal 11 2 3" xfId="884"/>
    <cellStyle name="Normal 11 2 3 2" xfId="885"/>
    <cellStyle name="Normal 11 2 4" xfId="886"/>
    <cellStyle name="Normal 11 3" xfId="887"/>
    <cellStyle name="Normal 11 3 2" xfId="888"/>
    <cellStyle name="Normal 11 3 2 2" xfId="889"/>
    <cellStyle name="Normal 11 3 3" xfId="890"/>
    <cellStyle name="Normal 11 3 4" xfId="891"/>
    <cellStyle name="Normal 11 4" xfId="892"/>
    <cellStyle name="Normal 11 4 2" xfId="893"/>
    <cellStyle name="Normal 11 4 2 2" xfId="894"/>
    <cellStyle name="Normal 11 4 3" xfId="895"/>
    <cellStyle name="Normal 11 5" xfId="896"/>
    <cellStyle name="Normal 11 5 2" xfId="897"/>
    <cellStyle name="Normal 11 6" xfId="898"/>
    <cellStyle name="Normal 110" xfId="494"/>
    <cellStyle name="Normal 110 2" xfId="899"/>
    <cellStyle name="Normal 111" xfId="495"/>
    <cellStyle name="Normal 111 2" xfId="900"/>
    <cellStyle name="Normal 111 3" xfId="901"/>
    <cellStyle name="Normal 112" xfId="902"/>
    <cellStyle name="Normal 112 2" xfId="903"/>
    <cellStyle name="Normal 112 3" xfId="904"/>
    <cellStyle name="Normal 113" xfId="905"/>
    <cellStyle name="Normal 113 2" xfId="906"/>
    <cellStyle name="Normal 113 3" xfId="907"/>
    <cellStyle name="Normal 114" xfId="908"/>
    <cellStyle name="Normal 115" xfId="909"/>
    <cellStyle name="Normal 116" xfId="910"/>
    <cellStyle name="Normal 117" xfId="911"/>
    <cellStyle name="Normal 117 2" xfId="912"/>
    <cellStyle name="Normal 118" xfId="913"/>
    <cellStyle name="Normal 118 2" xfId="914"/>
    <cellStyle name="Normal 119" xfId="915"/>
    <cellStyle name="Normal 12" xfId="157"/>
    <cellStyle name="Normal 12 2" xfId="337"/>
    <cellStyle name="Normal 12 2 2" xfId="916"/>
    <cellStyle name="Normal 12 2 2 2" xfId="917"/>
    <cellStyle name="Normal 12 2 2 2 2" xfId="918"/>
    <cellStyle name="Normal 12 2 2 3" xfId="919"/>
    <cellStyle name="Normal 12 2 3" xfId="920"/>
    <cellStyle name="Normal 12 2 3 2" xfId="921"/>
    <cellStyle name="Normal 12 2 4" xfId="922"/>
    <cellStyle name="Normal 12 3" xfId="496"/>
    <cellStyle name="Normal 12 3 2" xfId="923"/>
    <cellStyle name="Normal 12 3 2 2" xfId="924"/>
    <cellStyle name="Normal 12 3 3" xfId="925"/>
    <cellStyle name="Normal 12 4" xfId="497"/>
    <cellStyle name="Normal 12 4 2" xfId="926"/>
    <cellStyle name="Normal 12 4 2 2" xfId="927"/>
    <cellStyle name="Normal 12 4 3" xfId="928"/>
    <cellStyle name="Normal 12 5" xfId="498"/>
    <cellStyle name="Normal 12 5 2" xfId="929"/>
    <cellStyle name="Normal 12 6" xfId="930"/>
    <cellStyle name="Normal 12 7" xfId="931"/>
    <cellStyle name="Normal 12_Sheet1" xfId="499"/>
    <cellStyle name="Normal 120" xfId="932"/>
    <cellStyle name="Normal 121" xfId="933"/>
    <cellStyle name="Normal 122" xfId="934"/>
    <cellStyle name="Normal 123" xfId="935"/>
    <cellStyle name="Normal 124" xfId="936"/>
    <cellStyle name="Normal 125" xfId="937"/>
    <cellStyle name="Normal 126" xfId="938"/>
    <cellStyle name="Normal 127" xfId="939"/>
    <cellStyle name="Normal 13" xfId="158"/>
    <cellStyle name="Normal 13 2" xfId="338"/>
    <cellStyle name="Normal 13 2 2" xfId="940"/>
    <cellStyle name="Normal 13 2 2 2" xfId="941"/>
    <cellStyle name="Normal 13 2 2 2 2" xfId="942"/>
    <cellStyle name="Normal 13 2 2 3" xfId="943"/>
    <cellStyle name="Normal 13 2 3" xfId="944"/>
    <cellStyle name="Normal 13 2 3 2" xfId="945"/>
    <cellStyle name="Normal 13 2 4" xfId="946"/>
    <cellStyle name="Normal 13 3" xfId="500"/>
    <cellStyle name="Normal 13 3 2" xfId="947"/>
    <cellStyle name="Normal 13 3 2 2" xfId="948"/>
    <cellStyle name="Normal 13 3 3" xfId="949"/>
    <cellStyle name="Normal 13 4" xfId="501"/>
    <cellStyle name="Normal 13 4 2" xfId="950"/>
    <cellStyle name="Normal 13 4 2 2" xfId="951"/>
    <cellStyle name="Normal 13 4 3" xfId="952"/>
    <cellStyle name="Normal 13 5" xfId="502"/>
    <cellStyle name="Normal 13 5 2" xfId="953"/>
    <cellStyle name="Normal 13 6" xfId="954"/>
    <cellStyle name="Normal 13 7" xfId="955"/>
    <cellStyle name="Normal 13_Sheet1" xfId="503"/>
    <cellStyle name="Normal 14" xfId="159"/>
    <cellStyle name="Normal 14 2" xfId="339"/>
    <cellStyle name="Normal 14 2 2" xfId="956"/>
    <cellStyle name="Normal 14 2 2 2" xfId="957"/>
    <cellStyle name="Normal 14 2 3" xfId="958"/>
    <cellStyle name="Normal 14 3" xfId="504"/>
    <cellStyle name="Normal 14 3 2" xfId="959"/>
    <cellStyle name="Normal 14 3 2 2" xfId="960"/>
    <cellStyle name="Normal 14 3 3" xfId="961"/>
    <cellStyle name="Normal 14 4" xfId="505"/>
    <cellStyle name="Normal 14 4 2" xfId="962"/>
    <cellStyle name="Normal 14 5" xfId="963"/>
    <cellStyle name="Normal 14_Sheet1" xfId="506"/>
    <cellStyle name="Normal 15" xfId="160"/>
    <cellStyle name="Normal 15 2" xfId="340"/>
    <cellStyle name="Normal 15 2 2" xfId="964"/>
    <cellStyle name="Normal 15 2 2 2" xfId="965"/>
    <cellStyle name="Normal 15 2 3" xfId="966"/>
    <cellStyle name="Normal 15 3" xfId="507"/>
    <cellStyle name="Normal 15 3 2" xfId="967"/>
    <cellStyle name="Normal 15 4" xfId="508"/>
    <cellStyle name="Normal 15 5" xfId="968"/>
    <cellStyle name="Normal 16" xfId="161"/>
    <cellStyle name="Normal 16 2" xfId="341"/>
    <cellStyle name="Normal 16 2 2" xfId="969"/>
    <cellStyle name="Normal 16 2 2 2" xfId="970"/>
    <cellStyle name="Normal 16 3" xfId="509"/>
    <cellStyle name="Normal 16 3 2" xfId="971"/>
    <cellStyle name="Normal 16 3 2 2" xfId="972"/>
    <cellStyle name="Normal 16 3 3" xfId="973"/>
    <cellStyle name="Normal 16 4" xfId="974"/>
    <cellStyle name="Normal 16 4 2" xfId="975"/>
    <cellStyle name="Normal 16 5" xfId="976"/>
    <cellStyle name="Normal 16 6" xfId="977"/>
    <cellStyle name="Normal 17" xfId="162"/>
    <cellStyle name="Normal 17 2" xfId="342"/>
    <cellStyle name="Normal 17 2 2" xfId="978"/>
    <cellStyle name="Normal 17 2 2 2" xfId="979"/>
    <cellStyle name="Normal 17 3" xfId="510"/>
    <cellStyle name="Normal 17 3 2" xfId="980"/>
    <cellStyle name="Normal 17 4" xfId="981"/>
    <cellStyle name="Normal 18" xfId="163"/>
    <cellStyle name="Normal 18 2" xfId="343"/>
    <cellStyle name="Normal 18 2 2" xfId="982"/>
    <cellStyle name="Normal 18 2 2 2" xfId="983"/>
    <cellStyle name="Normal 18 2 3" xfId="984"/>
    <cellStyle name="Normal 18 3" xfId="511"/>
    <cellStyle name="Normal 18 3 2" xfId="985"/>
    <cellStyle name="Normal 18 3 2 2" xfId="986"/>
    <cellStyle name="Normal 18 3 3" xfId="987"/>
    <cellStyle name="Normal 18 4" xfId="988"/>
    <cellStyle name="Normal 18 4 2" xfId="989"/>
    <cellStyle name="Normal 18 5" xfId="990"/>
    <cellStyle name="Normal 18 5 2" xfId="991"/>
    <cellStyle name="Normal 18 6" xfId="992"/>
    <cellStyle name="Normal 18 7" xfId="993"/>
    <cellStyle name="Normal 19" xfId="164"/>
    <cellStyle name="Normal 19 2" xfId="344"/>
    <cellStyle name="Normal 19 2 2" xfId="994"/>
    <cellStyle name="Normal 19 3" xfId="512"/>
    <cellStyle name="Normal 19 3 2" xfId="995"/>
    <cellStyle name="Normal 19 4" xfId="996"/>
    <cellStyle name="Normal 2" xfId="17"/>
    <cellStyle name="Normal 2 10" xfId="513"/>
    <cellStyle name="Normal 2 11" xfId="514"/>
    <cellStyle name="Normal 2 12" xfId="997"/>
    <cellStyle name="Normal 2 2" xfId="18"/>
    <cellStyle name="Normal 2 2 2" xfId="166"/>
    <cellStyle name="Normal 2 2 2 2" xfId="515"/>
    <cellStyle name="Normal 2 2 2_JE_IS11" xfId="998"/>
    <cellStyle name="Normal 2 2 3" xfId="165"/>
    <cellStyle name="Normal 2 2 4" xfId="516"/>
    <cellStyle name="Normal 2 2 5" xfId="999"/>
    <cellStyle name="Normal 2 2 6" xfId="1000"/>
    <cellStyle name="Normal 2 2 7" xfId="1001"/>
    <cellStyle name="Normal 2 2 8" xfId="1002"/>
    <cellStyle name="Normal 2 2_4MthProj2" xfId="517"/>
    <cellStyle name="Normal 2 3" xfId="167"/>
    <cellStyle name="Normal 2 3 2" xfId="168"/>
    <cellStyle name="Normal 2 3 2 2" xfId="1003"/>
    <cellStyle name="Normal 2 3 2 3" xfId="1004"/>
    <cellStyle name="Normal 2 3 3" xfId="292"/>
    <cellStyle name="Normal 2 3 3 2" xfId="1005"/>
    <cellStyle name="Normal 2 3 3 2 2" xfId="1006"/>
    <cellStyle name="Normal 2 3 3 3" xfId="1007"/>
    <cellStyle name="Normal 2 3 4" xfId="1008"/>
    <cellStyle name="Normal 2 3 4 2" xfId="1009"/>
    <cellStyle name="Normal 2 3 5" xfId="1010"/>
    <cellStyle name="Normal 2 3_4MthProj2" xfId="518"/>
    <cellStyle name="Normal 2 4" xfId="293"/>
    <cellStyle name="Normal 2 4 2" xfId="519"/>
    <cellStyle name="Normal 2 4 2 2" xfId="1011"/>
    <cellStyle name="Normal 2 4 3" xfId="1012"/>
    <cellStyle name="Normal 2 4 3 2" xfId="1013"/>
    <cellStyle name="Normal 2 5" xfId="294"/>
    <cellStyle name="Normal 2 5 2" xfId="1014"/>
    <cellStyle name="Normal 2 5 3" xfId="1015"/>
    <cellStyle name="Normal 2 6" xfId="387"/>
    <cellStyle name="Normal 2 6 2" xfId="569"/>
    <cellStyle name="Normal 2 6 2 2" xfId="1016"/>
    <cellStyle name="Normal 2 6 3" xfId="1017"/>
    <cellStyle name="Normal 2 7" xfId="520"/>
    <cellStyle name="Normal 2 7 2" xfId="1018"/>
    <cellStyle name="Normal 2 8" xfId="521"/>
    <cellStyle name="Normal 2 9" xfId="522"/>
    <cellStyle name="Normal 2_2009 Regulated Price Out" xfId="523"/>
    <cellStyle name="Normal 20" xfId="169"/>
    <cellStyle name="Normal 20 2" xfId="524"/>
    <cellStyle name="Normal 20 2 2" xfId="1019"/>
    <cellStyle name="Normal 20 2 3" xfId="1020"/>
    <cellStyle name="Normal 20 3" xfId="525"/>
    <cellStyle name="Normal 20 4" xfId="1021"/>
    <cellStyle name="Normal 20 4 2" xfId="1022"/>
    <cellStyle name="Normal 20 5" xfId="1023"/>
    <cellStyle name="Normal 20 6" xfId="1024"/>
    <cellStyle name="Normal 21" xfId="170"/>
    <cellStyle name="Normal 21 2" xfId="526"/>
    <cellStyle name="Normal 21 2 2" xfId="1025"/>
    <cellStyle name="Normal 21 3" xfId="1026"/>
    <cellStyle name="Normal 21 3 2" xfId="1027"/>
    <cellStyle name="Normal 21 4" xfId="1028"/>
    <cellStyle name="Normal 22" xfId="171"/>
    <cellStyle name="Normal 22 2" xfId="527"/>
    <cellStyle name="Normal 22 2 2" xfId="1029"/>
    <cellStyle name="Normal 22 3" xfId="1030"/>
    <cellStyle name="Normal 22 3 2" xfId="1031"/>
    <cellStyle name="Normal 22 4" xfId="1032"/>
    <cellStyle name="Normal 23" xfId="172"/>
    <cellStyle name="Normal 23 2" xfId="528"/>
    <cellStyle name="Normal 23 2 2" xfId="1033"/>
    <cellStyle name="Normal 23 2 3" xfId="1034"/>
    <cellStyle name="Normal 23 3" xfId="1035"/>
    <cellStyle name="Normal 23 3 2" xfId="1036"/>
    <cellStyle name="Normal 23 3 3" xfId="1037"/>
    <cellStyle name="Normal 23 4" xfId="1038"/>
    <cellStyle name="Normal 24" xfId="173"/>
    <cellStyle name="Normal 24 2" xfId="529"/>
    <cellStyle name="Normal 24 2 2" xfId="1039"/>
    <cellStyle name="Normal 24 2 3" xfId="1040"/>
    <cellStyle name="Normal 24 3" xfId="1041"/>
    <cellStyle name="Normal 24 3 2" xfId="1042"/>
    <cellStyle name="Normal 24 4" xfId="1043"/>
    <cellStyle name="Normal 25" xfId="174"/>
    <cellStyle name="Normal 25 2" xfId="1044"/>
    <cellStyle name="Normal 25 2 2" xfId="1045"/>
    <cellStyle name="Normal 25 3" xfId="1046"/>
    <cellStyle name="Normal 25 4" xfId="1047"/>
    <cellStyle name="Normal 26" xfId="175"/>
    <cellStyle name="Normal 26 2" xfId="1048"/>
    <cellStyle name="Normal 26 2 2" xfId="1049"/>
    <cellStyle name="Normal 26 3" xfId="1050"/>
    <cellStyle name="Normal 26 4" xfId="1051"/>
    <cellStyle name="Normal 27" xfId="176"/>
    <cellStyle name="Normal 27 2" xfId="530"/>
    <cellStyle name="Normal 27 2 2" xfId="1052"/>
    <cellStyle name="Normal 27 2 2 2" xfId="1053"/>
    <cellStyle name="Normal 27 3" xfId="1054"/>
    <cellStyle name="Normal 27 3 2" xfId="1055"/>
    <cellStyle name="Normal 27 4" xfId="1056"/>
    <cellStyle name="Normal 27 5" xfId="1057"/>
    <cellStyle name="Normal 28" xfId="177"/>
    <cellStyle name="Normal 28 2" xfId="1058"/>
    <cellStyle name="Normal 28 2 2" xfId="1059"/>
    <cellStyle name="Normal 28 3" xfId="1060"/>
    <cellStyle name="Normal 28 4" xfId="1061"/>
    <cellStyle name="Normal 29" xfId="178"/>
    <cellStyle name="Normal 29 2" xfId="1062"/>
    <cellStyle name="Normal 29 3" xfId="1063"/>
    <cellStyle name="Normal 29 4" xfId="1064"/>
    <cellStyle name="Normal 3" xfId="19"/>
    <cellStyle name="Normal 3 2" xfId="180"/>
    <cellStyle name="Normal 3 2 2" xfId="531"/>
    <cellStyle name="Normal 3 2 2 2" xfId="1065"/>
    <cellStyle name="Normal 3 2 2 2 2" xfId="1066"/>
    <cellStyle name="Normal 3 2 3" xfId="1067"/>
    <cellStyle name="Normal 3 2 3 2" xfId="1068"/>
    <cellStyle name="Normal 3 3" xfId="179"/>
    <cellStyle name="Normal 3 3 2" xfId="532"/>
    <cellStyle name="Normal 3 3 2 2" xfId="1069"/>
    <cellStyle name="Normal 3 3 3" xfId="1070"/>
    <cellStyle name="Normal 3 3 4" xfId="1071"/>
    <cellStyle name="Normal 3 4" xfId="277"/>
    <cellStyle name="Normal 3 4 2" xfId="565"/>
    <cellStyle name="Normal 3 4 3" xfId="533"/>
    <cellStyle name="Normal 3 5" xfId="1072"/>
    <cellStyle name="Normal 3_12.31.13 and prior Rate" xfId="1073"/>
    <cellStyle name="Normal 30" xfId="181"/>
    <cellStyle name="Normal 30 2" xfId="1074"/>
    <cellStyle name="Normal 30 3" xfId="1075"/>
    <cellStyle name="Normal 30 4" xfId="1076"/>
    <cellStyle name="Normal 31" xfId="182"/>
    <cellStyle name="Normal 31 2" xfId="534"/>
    <cellStyle name="Normal 31 2 2" xfId="1077"/>
    <cellStyle name="Normal 31 2 2 2" xfId="1078"/>
    <cellStyle name="Normal 31 2 3" xfId="1079"/>
    <cellStyle name="Normal 31 3" xfId="1080"/>
    <cellStyle name="Normal 31 3 2" xfId="1081"/>
    <cellStyle name="Normal 31 3 3" xfId="1082"/>
    <cellStyle name="Normal 31 4" xfId="1083"/>
    <cellStyle name="Normal 31 4 2" xfId="1084"/>
    <cellStyle name="Normal 32" xfId="183"/>
    <cellStyle name="Normal 32 2" xfId="1085"/>
    <cellStyle name="Normal 32 2 2" xfId="1086"/>
    <cellStyle name="Normal 32 2 2 2" xfId="1087"/>
    <cellStyle name="Normal 32 2 3" xfId="1088"/>
    <cellStyle name="Normal 32 3" xfId="1089"/>
    <cellStyle name="Normal 32 3 2" xfId="1090"/>
    <cellStyle name="Normal 32 4" xfId="1091"/>
    <cellStyle name="Normal 32 4 2" xfId="1092"/>
    <cellStyle name="Normal 33" xfId="184"/>
    <cellStyle name="Normal 33 2" xfId="1093"/>
    <cellStyle name="Normal 33 3" xfId="1094"/>
    <cellStyle name="Normal 34" xfId="185"/>
    <cellStyle name="Normal 34 2" xfId="1095"/>
    <cellStyle name="Normal 34 3" xfId="1096"/>
    <cellStyle name="Normal 35" xfId="186"/>
    <cellStyle name="Normal 35 2" xfId="1097"/>
    <cellStyle name="Normal 35 2 2" xfId="1098"/>
    <cellStyle name="Normal 35 3" xfId="1099"/>
    <cellStyle name="Normal 35 3 2" xfId="1100"/>
    <cellStyle name="Normal 36" xfId="187"/>
    <cellStyle name="Normal 36 2" xfId="1101"/>
    <cellStyle name="Normal 36 2 2" xfId="1102"/>
    <cellStyle name="Normal 36 3" xfId="1103"/>
    <cellStyle name="Normal 37" xfId="188"/>
    <cellStyle name="Normal 37 2" xfId="1104"/>
    <cellStyle name="Normal 37 2 2" xfId="1105"/>
    <cellStyle name="Normal 37 3" xfId="1106"/>
    <cellStyle name="Normal 38" xfId="189"/>
    <cellStyle name="Normal 38 2" xfId="1107"/>
    <cellStyle name="Normal 38 2 2" xfId="1108"/>
    <cellStyle name="Normal 38 3" xfId="1109"/>
    <cellStyle name="Normal 39" xfId="190"/>
    <cellStyle name="Normal 39 2" xfId="1110"/>
    <cellStyle name="Normal 39 2 2" xfId="1111"/>
    <cellStyle name="Normal 39 3" xfId="1112"/>
    <cellStyle name="Normal 4" xfId="20"/>
    <cellStyle name="Normal 4 2" xfId="191"/>
    <cellStyle name="Normal 4 2 2" xfId="535"/>
    <cellStyle name="Normal 4 2 2 2" xfId="1113"/>
    <cellStyle name="Normal 4 2 3" xfId="1114"/>
    <cellStyle name="Normal 4 2 4" xfId="1115"/>
    <cellStyle name="Normal 4 3" xfId="536"/>
    <cellStyle name="Normal 4 3 2" xfId="537"/>
    <cellStyle name="Normal 4 3 2 2" xfId="1116"/>
    <cellStyle name="Normal 4 3 3" xfId="1117"/>
    <cellStyle name="Normal 4 4" xfId="1118"/>
    <cellStyle name="Normal 4 4 2" xfId="1119"/>
    <cellStyle name="Normal 4 5" xfId="1120"/>
    <cellStyle name="Normal 4_B&amp;O Taxes" xfId="1121"/>
    <cellStyle name="Normal 40" xfId="192"/>
    <cellStyle name="Normal 40 2" xfId="1122"/>
    <cellStyle name="Normal 40 2 2" xfId="1123"/>
    <cellStyle name="Normal 40 3" xfId="1124"/>
    <cellStyle name="Normal 41" xfId="193"/>
    <cellStyle name="Normal 41 2" xfId="1125"/>
    <cellStyle name="Normal 41 2 2" xfId="1126"/>
    <cellStyle name="Normal 41 3" xfId="1127"/>
    <cellStyle name="Normal 42" xfId="194"/>
    <cellStyle name="Normal 42 2" xfId="1128"/>
    <cellStyle name="Normal 42 3" xfId="1129"/>
    <cellStyle name="Normal 43" xfId="195"/>
    <cellStyle name="Normal 43 2" xfId="1130"/>
    <cellStyle name="Normal 43 2 2" xfId="1131"/>
    <cellStyle name="Normal 43 3" xfId="1132"/>
    <cellStyle name="Normal 44" xfId="196"/>
    <cellStyle name="Normal 44 2" xfId="1133"/>
    <cellStyle name="Normal 44 2 2" xfId="1134"/>
    <cellStyle name="Normal 44 3" xfId="1135"/>
    <cellStyle name="Normal 45" xfId="197"/>
    <cellStyle name="Normal 45 2" xfId="1136"/>
    <cellStyle name="Normal 45 2 2" xfId="1137"/>
    <cellStyle name="Normal 45 3" xfId="1138"/>
    <cellStyle name="Normal 46" xfId="198"/>
    <cellStyle name="Normal 46 2" xfId="1139"/>
    <cellStyle name="Normal 46 2 2" xfId="1140"/>
    <cellStyle name="Normal 46 3" xfId="1141"/>
    <cellStyle name="Normal 47" xfId="199"/>
    <cellStyle name="Normal 47 2" xfId="1142"/>
    <cellStyle name="Normal 47 2 2" xfId="1143"/>
    <cellStyle name="Normal 47 3" xfId="1144"/>
    <cellStyle name="Normal 48" xfId="200"/>
    <cellStyle name="Normal 48 2" xfId="1145"/>
    <cellStyle name="Normal 48 2 2" xfId="1146"/>
    <cellStyle name="Normal 48 3" xfId="1147"/>
    <cellStyle name="Normal 49" xfId="201"/>
    <cellStyle name="Normal 49 2" xfId="1148"/>
    <cellStyle name="Normal 49 2 2" xfId="1149"/>
    <cellStyle name="Normal 49 3" xfId="1150"/>
    <cellStyle name="Normal 5" xfId="21"/>
    <cellStyle name="Normal 5 2" xfId="202"/>
    <cellStyle name="Normal 5 2 2" xfId="1151"/>
    <cellStyle name="Normal 5 2 2 2" xfId="1152"/>
    <cellStyle name="Normal 5 2 2 2 2" xfId="1153"/>
    <cellStyle name="Normal 5 2 2 3" xfId="1154"/>
    <cellStyle name="Normal 5 2 3" xfId="1155"/>
    <cellStyle name="Normal 5 2 3 2" xfId="1156"/>
    <cellStyle name="Normal 5 2 4" xfId="1157"/>
    <cellStyle name="Normal 5 3" xfId="538"/>
    <cellStyle name="Normal 5 3 2" xfId="1158"/>
    <cellStyle name="Normal 5 3 2 2" xfId="1159"/>
    <cellStyle name="Normal 5 3 3" xfId="1160"/>
    <cellStyle name="Normal 5 4" xfId="539"/>
    <cellStyle name="Normal 5 4 2" xfId="1161"/>
    <cellStyle name="Normal 5 4 2 2" xfId="1162"/>
    <cellStyle name="Normal 5 4 3" xfId="1163"/>
    <cellStyle name="Normal 5 5" xfId="1164"/>
    <cellStyle name="Normal 5 5 2" xfId="1165"/>
    <cellStyle name="Normal 5 6" xfId="1166"/>
    <cellStyle name="Normal 5_2112 DF Schedule" xfId="345"/>
    <cellStyle name="Normal 50" xfId="203"/>
    <cellStyle name="Normal 50 2" xfId="1167"/>
    <cellStyle name="Normal 50 2 2" xfId="1168"/>
    <cellStyle name="Normal 50 3" xfId="1169"/>
    <cellStyle name="Normal 51" xfId="204"/>
    <cellStyle name="Normal 51 2" xfId="1170"/>
    <cellStyle name="Normal 51 2 2" xfId="1171"/>
    <cellStyle name="Normal 51 3" xfId="1172"/>
    <cellStyle name="Normal 52" xfId="205"/>
    <cellStyle name="Normal 52 2" xfId="1173"/>
    <cellStyle name="Normal 52 2 2" xfId="1174"/>
    <cellStyle name="Normal 52 3" xfId="1175"/>
    <cellStyle name="Normal 53" xfId="206"/>
    <cellStyle name="Normal 53 2" xfId="1176"/>
    <cellStyle name="Normal 53 2 2" xfId="1177"/>
    <cellStyle name="Normal 53 3" xfId="1178"/>
    <cellStyle name="Normal 54" xfId="207"/>
    <cellStyle name="Normal 54 2" xfId="1179"/>
    <cellStyle name="Normal 54 2 2" xfId="1180"/>
    <cellStyle name="Normal 54 3" xfId="1181"/>
    <cellStyle name="Normal 55" xfId="208"/>
    <cellStyle name="Normal 55 2" xfId="1182"/>
    <cellStyle name="Normal 55 2 2" xfId="1183"/>
    <cellStyle name="Normal 55 3" xfId="1184"/>
    <cellStyle name="Normal 56" xfId="209"/>
    <cellStyle name="Normal 56 2" xfId="1185"/>
    <cellStyle name="Normal 56 2 2" xfId="1186"/>
    <cellStyle name="Normal 56 3" xfId="1187"/>
    <cellStyle name="Normal 57" xfId="210"/>
    <cellStyle name="Normal 57 2" xfId="1188"/>
    <cellStyle name="Normal 57 2 2" xfId="1189"/>
    <cellStyle name="Normal 57 3" xfId="1190"/>
    <cellStyle name="Normal 58" xfId="211"/>
    <cellStyle name="Normal 58 2" xfId="1191"/>
    <cellStyle name="Normal 58 2 2" xfId="1192"/>
    <cellStyle name="Normal 58 3" xfId="1193"/>
    <cellStyle name="Normal 59" xfId="212"/>
    <cellStyle name="Normal 59 2" xfId="1194"/>
    <cellStyle name="Normal 59 2 2" xfId="1195"/>
    <cellStyle name="Normal 59 3" xfId="1196"/>
    <cellStyle name="Normal 6" xfId="22"/>
    <cellStyle name="Normal 6 2" xfId="213"/>
    <cellStyle name="Normal 6 2 2" xfId="540"/>
    <cellStyle name="Normal 6 2 2 2" xfId="1197"/>
    <cellStyle name="Normal 6 2 2 2 2" xfId="1198"/>
    <cellStyle name="Normal 6 2 2 3" xfId="1199"/>
    <cellStyle name="Normal 6 2 3" xfId="1200"/>
    <cellStyle name="Normal 6 2 3 2" xfId="1201"/>
    <cellStyle name="Normal 6 2 4" xfId="1202"/>
    <cellStyle name="Normal 6 3" xfId="541"/>
    <cellStyle name="Normal 6 3 2" xfId="1203"/>
    <cellStyle name="Normal 6 3 2 2" xfId="1204"/>
    <cellStyle name="Normal 6 3 3" xfId="1205"/>
    <cellStyle name="Normal 6 3 4" xfId="1206"/>
    <cellStyle name="Normal 6 4" xfId="1207"/>
    <cellStyle name="Normal 6 4 2" xfId="1208"/>
    <cellStyle name="Normal 6 4 2 2" xfId="1209"/>
    <cellStyle name="Normal 6 4 3" xfId="1210"/>
    <cellStyle name="Normal 6 5" xfId="1211"/>
    <cellStyle name="Normal 6 5 2" xfId="1212"/>
    <cellStyle name="Normal 6 6" xfId="1213"/>
    <cellStyle name="Normal 60" xfId="214"/>
    <cellStyle name="Normal 60 2" xfId="1214"/>
    <cellStyle name="Normal 60 2 2" xfId="1215"/>
    <cellStyle name="Normal 60 3" xfId="1216"/>
    <cellStyle name="Normal 61" xfId="215"/>
    <cellStyle name="Normal 61 2" xfId="1217"/>
    <cellStyle name="Normal 61 2 2" xfId="1218"/>
    <cellStyle name="Normal 61 3" xfId="1219"/>
    <cellStyle name="Normal 62" xfId="216"/>
    <cellStyle name="Normal 62 2" xfId="1220"/>
    <cellStyle name="Normal 62 2 2" xfId="1221"/>
    <cellStyle name="Normal 62 3" xfId="1222"/>
    <cellStyle name="Normal 63" xfId="217"/>
    <cellStyle name="Normal 63 2" xfId="1223"/>
    <cellStyle name="Normal 63 2 2" xfId="1224"/>
    <cellStyle name="Normal 63 3" xfId="1225"/>
    <cellStyle name="Normal 64" xfId="218"/>
    <cellStyle name="Normal 64 2" xfId="1226"/>
    <cellStyle name="Normal 64 3" xfId="1227"/>
    <cellStyle name="Normal 65" xfId="219"/>
    <cellStyle name="Normal 65 2" xfId="1228"/>
    <cellStyle name="Normal 65 2 2" xfId="1229"/>
    <cellStyle name="Normal 65 3" xfId="1230"/>
    <cellStyle name="Normal 66" xfId="220"/>
    <cellStyle name="Normal 66 2" xfId="1231"/>
    <cellStyle name="Normal 66 3" xfId="1232"/>
    <cellStyle name="Normal 67" xfId="221"/>
    <cellStyle name="Normal 67 2" xfId="1233"/>
    <cellStyle name="Normal 67 3" xfId="1234"/>
    <cellStyle name="Normal 68" xfId="222"/>
    <cellStyle name="Normal 68 2" xfId="1235"/>
    <cellStyle name="Normal 68 3" xfId="1236"/>
    <cellStyle name="Normal 69" xfId="223"/>
    <cellStyle name="Normal 69 2" xfId="1237"/>
    <cellStyle name="Normal 69 3" xfId="1238"/>
    <cellStyle name="Normal 7" xfId="224"/>
    <cellStyle name="Normal 7 2" xfId="407"/>
    <cellStyle name="Normal 7 2 2" xfId="542"/>
    <cellStyle name="Normal 7 2 2 2" xfId="1239"/>
    <cellStyle name="Normal 7 2 2 2 2" xfId="1240"/>
    <cellStyle name="Normal 7 2 2 2 2 2" xfId="1241"/>
    <cellStyle name="Normal 7 2 2 2 3" xfId="1242"/>
    <cellStyle name="Normal 7 2 2 3" xfId="1243"/>
    <cellStyle name="Normal 7 2 2 3 2" xfId="1244"/>
    <cellStyle name="Normal 7 2 2 4" xfId="1245"/>
    <cellStyle name="Normal 7 2 3" xfId="1246"/>
    <cellStyle name="Normal 7 2 3 2" xfId="1247"/>
    <cellStyle name="Normal 7 2 3 2 2" xfId="1248"/>
    <cellStyle name="Normal 7 2 3 3" xfId="1249"/>
    <cellStyle name="Normal 7 2 4" xfId="1250"/>
    <cellStyle name="Normal 7 2 4 2" xfId="1251"/>
    <cellStyle name="Normal 7 2 4 2 2" xfId="1252"/>
    <cellStyle name="Normal 7 2 4 3" xfId="1253"/>
    <cellStyle name="Normal 7 2 5" xfId="1254"/>
    <cellStyle name="Normal 7 2 5 2" xfId="1255"/>
    <cellStyle name="Normal 7 2 6" xfId="1256"/>
    <cellStyle name="Normal 7 3" xfId="1257"/>
    <cellStyle name="Normal 7 3 2" xfId="1258"/>
    <cellStyle name="Normal 7 3 2 2" xfId="1259"/>
    <cellStyle name="Normal 7 3 2 2 2" xfId="1260"/>
    <cellStyle name="Normal 7 3 2 3" xfId="1261"/>
    <cellStyle name="Normal 7 3 3" xfId="1262"/>
    <cellStyle name="Normal 7 3 3 2" xfId="1263"/>
    <cellStyle name="Normal 7 3 4" xfId="1264"/>
    <cellStyle name="Normal 7 3 5" xfId="1265"/>
    <cellStyle name="Normal 7 4" xfId="1266"/>
    <cellStyle name="Normal 7 4 2" xfId="1267"/>
    <cellStyle name="Normal 7 4 2 2" xfId="1268"/>
    <cellStyle name="Normal 7 4 3" xfId="1269"/>
    <cellStyle name="Normal 7 5" xfId="1270"/>
    <cellStyle name="Normal 7 5 2" xfId="1271"/>
    <cellStyle name="Normal 7 5 2 2" xfId="1272"/>
    <cellStyle name="Normal 7 5 3" xfId="1273"/>
    <cellStyle name="Normal 7 6" xfId="1274"/>
    <cellStyle name="Normal 7 6 2" xfId="1275"/>
    <cellStyle name="Normal 7 7" xfId="1276"/>
    <cellStyle name="Normal 70" xfId="225"/>
    <cellStyle name="Normal 70 2" xfId="1277"/>
    <cellStyle name="Normal 70 3" xfId="1278"/>
    <cellStyle name="Normal 71" xfId="226"/>
    <cellStyle name="Normal 72" xfId="227"/>
    <cellStyle name="Normal 72 2" xfId="1279"/>
    <cellStyle name="Normal 73" xfId="228"/>
    <cellStyle name="Normal 73 2" xfId="1280"/>
    <cellStyle name="Normal 74" xfId="229"/>
    <cellStyle name="Normal 75" xfId="230"/>
    <cellStyle name="Normal 76" xfId="231"/>
    <cellStyle name="Normal 77" xfId="232"/>
    <cellStyle name="Normal 78" xfId="233"/>
    <cellStyle name="Normal 79" xfId="234"/>
    <cellStyle name="Normal 8" xfId="235"/>
    <cellStyle name="Normal 8 2" xfId="543"/>
    <cellStyle name="Normal 8 2 2" xfId="544"/>
    <cellStyle name="Normal 8 2 2 2" xfId="1281"/>
    <cellStyle name="Normal 8 2 2 2 2" xfId="1282"/>
    <cellStyle name="Normal 8 2 2 3" xfId="1283"/>
    <cellStyle name="Normal 8 2 3" xfId="1284"/>
    <cellStyle name="Normal 8 2 3 2" xfId="1285"/>
    <cellStyle name="Normal 8 2 4" xfId="1286"/>
    <cellStyle name="Normal 8 3" xfId="1287"/>
    <cellStyle name="Normal 8 3 2" xfId="1288"/>
    <cellStyle name="Normal 8 3 2 2" xfId="1289"/>
    <cellStyle name="Normal 8 3 3" xfId="1290"/>
    <cellStyle name="Normal 8 4" xfId="1291"/>
    <cellStyle name="Normal 8 4 2" xfId="1292"/>
    <cellStyle name="Normal 8 4 2 2" xfId="1293"/>
    <cellStyle name="Normal 8 4 3" xfId="1294"/>
    <cellStyle name="Normal 8 5" xfId="1295"/>
    <cellStyle name="Normal 8 5 2" xfId="1296"/>
    <cellStyle name="Normal 8 6" xfId="1297"/>
    <cellStyle name="Normal 80" xfId="236"/>
    <cellStyle name="Normal 81" xfId="237"/>
    <cellStyle name="Normal 82" xfId="238"/>
    <cellStyle name="Normal 83" xfId="239"/>
    <cellStyle name="Normal 84" xfId="37"/>
    <cellStyle name="Normal 84 2" xfId="274"/>
    <cellStyle name="Normal 84 3" xfId="346"/>
    <cellStyle name="Normal 85" xfId="248"/>
    <cellStyle name="Normal 85 2" xfId="405"/>
    <cellStyle name="Normal 85 2 2" xfId="1298"/>
    <cellStyle name="Normal 85 3" xfId="545"/>
    <cellStyle name="Normal 86" xfId="266"/>
    <cellStyle name="Normal 86 2" xfId="1299"/>
    <cellStyle name="Normal 86 3" xfId="1300"/>
    <cellStyle name="Normal 87" xfId="267"/>
    <cellStyle name="Normal 87 2" xfId="1301"/>
    <cellStyle name="Normal 88" xfId="268"/>
    <cellStyle name="Normal 88 2" xfId="1302"/>
    <cellStyle name="Normal 89" xfId="269"/>
    <cellStyle name="Normal 9" xfId="240"/>
    <cellStyle name="Normal 9 2" xfId="546"/>
    <cellStyle name="Normal 9 2 2" xfId="547"/>
    <cellStyle name="Normal 9 2 2 2" xfId="1303"/>
    <cellStyle name="Normal 9 2 2 2 2" xfId="1304"/>
    <cellStyle name="Normal 9 2 2 3" xfId="1305"/>
    <cellStyle name="Normal 9 2 3" xfId="1306"/>
    <cellStyle name="Normal 9 2 3 2" xfId="1307"/>
    <cellStyle name="Normal 9 2 4" xfId="1308"/>
    <cellStyle name="Normal 9 3" xfId="1309"/>
    <cellStyle name="Normal 9 3 2" xfId="1310"/>
    <cellStyle name="Normal 9 3 2 2" xfId="1311"/>
    <cellStyle name="Normal 9 3 3" xfId="1312"/>
    <cellStyle name="Normal 9 3 4" xfId="1313"/>
    <cellStyle name="Normal 9 4" xfId="1314"/>
    <cellStyle name="Normal 9 4 2" xfId="1315"/>
    <cellStyle name="Normal 9 4 2 2" xfId="1316"/>
    <cellStyle name="Normal 9 4 3" xfId="1317"/>
    <cellStyle name="Normal 9 5" xfId="1318"/>
    <cellStyle name="Normal 9 5 2" xfId="1319"/>
    <cellStyle name="Normal 9 6" xfId="1320"/>
    <cellStyle name="Normal 90" xfId="270"/>
    <cellStyle name="Normal 91" xfId="275"/>
    <cellStyle name="Normal 92" xfId="365"/>
    <cellStyle name="Normal 92 2" xfId="400"/>
    <cellStyle name="Normal 93" xfId="369"/>
    <cellStyle name="Normal 93 2" xfId="406"/>
    <cellStyle name="Normal 94" xfId="370"/>
    <cellStyle name="Normal 94 2" xfId="1321"/>
    <cellStyle name="Normal 95" xfId="371"/>
    <cellStyle name="Normal 95 2" xfId="1322"/>
    <cellStyle name="Normal 96" xfId="372"/>
    <cellStyle name="Normal 96 2" xfId="1323"/>
    <cellStyle name="Normal 97" xfId="373"/>
    <cellStyle name="Normal 97 2" xfId="1324"/>
    <cellStyle name="Normal 98" xfId="374"/>
    <cellStyle name="Normal 98 2" xfId="1325"/>
    <cellStyle name="Normal 99" xfId="375"/>
    <cellStyle name="Normal 99 2" xfId="1326"/>
    <cellStyle name="Normal_Regulated Price Out 9-6-2011 Final HL" xfId="385"/>
    <cellStyle name="Note 2" xfId="242"/>
    <cellStyle name="Note 2 2" xfId="347"/>
    <cellStyle name="Note 2 3" xfId="548"/>
    <cellStyle name="Note 2 4" xfId="1327"/>
    <cellStyle name="Note 3" xfId="241"/>
    <cellStyle name="Note 3 2" xfId="348"/>
    <cellStyle name="Note 3 3" xfId="549"/>
    <cellStyle name="Note 3 4" xfId="1328"/>
    <cellStyle name="Note 4" xfId="408"/>
    <cellStyle name="Note 4 2" xfId="1329"/>
    <cellStyle name="Note 5" xfId="1330"/>
    <cellStyle name="Notes" xfId="243"/>
    <cellStyle name="Output 2" xfId="245"/>
    <cellStyle name="Output 2 2" xfId="1331"/>
    <cellStyle name="Output 2 2 2" xfId="1332"/>
    <cellStyle name="Output 2 3" xfId="1333"/>
    <cellStyle name="Output 3" xfId="244"/>
    <cellStyle name="Output 3 2" xfId="550"/>
    <cellStyle name="Output 4" xfId="1334"/>
    <cellStyle name="Percent" xfId="3" builtinId="5"/>
    <cellStyle name="Percent 10" xfId="551"/>
    <cellStyle name="Percent 10 2" xfId="1335"/>
    <cellStyle name="Percent 10 3" xfId="1336"/>
    <cellStyle name="Percent 11" xfId="1337"/>
    <cellStyle name="Percent 2" xfId="23"/>
    <cellStyle name="Percent 2 2" xfId="24"/>
    <cellStyle name="Percent 2 2 2" xfId="247"/>
    <cellStyle name="Percent 2 2 3" xfId="552"/>
    <cellStyle name="Percent 2 3" xfId="349"/>
    <cellStyle name="Percent 2 4" xfId="553"/>
    <cellStyle name="Percent 2 5" xfId="1338"/>
    <cellStyle name="Percent 2 6" xfId="25"/>
    <cellStyle name="Percent 3" xfId="26"/>
    <cellStyle name="Percent 3 2" xfId="27"/>
    <cellStyle name="Percent 3 2 2" xfId="554"/>
    <cellStyle name="Percent 3 2 2 2" xfId="1339"/>
    <cellStyle name="Percent 3 2 2 2 2" xfId="1340"/>
    <cellStyle name="Percent 3 2 2 3" xfId="1341"/>
    <cellStyle name="Percent 3 2 3" xfId="1342"/>
    <cellStyle name="Percent 3 2 3 2" xfId="1343"/>
    <cellStyle name="Percent 3 2 4" xfId="1344"/>
    <cellStyle name="Percent 3 3" xfId="1345"/>
    <cellStyle name="Percent 3 3 2" xfId="1346"/>
    <cellStyle name="Percent 3 3 2 2" xfId="1347"/>
    <cellStyle name="Percent 3 3 3" xfId="1348"/>
    <cellStyle name="Percent 3 4" xfId="1349"/>
    <cellStyle name="Percent 3 4 2" xfId="1350"/>
    <cellStyle name="Percent 3 4 2 2" xfId="1351"/>
    <cellStyle name="Percent 3 4 3" xfId="1352"/>
    <cellStyle name="Percent 3 5" xfId="1353"/>
    <cellStyle name="Percent 3 5 2" xfId="1354"/>
    <cellStyle name="Percent 3 6" xfId="1355"/>
    <cellStyle name="Percent 4" xfId="28"/>
    <cellStyle name="Percent 4 2" xfId="351"/>
    <cellStyle name="Percent 4 3" xfId="350"/>
    <cellStyle name="Percent 4 4" xfId="555"/>
    <cellStyle name="Percent 4 4 2" xfId="1356"/>
    <cellStyle name="Percent 4 4 2 2" xfId="1357"/>
    <cellStyle name="Percent 5" xfId="249"/>
    <cellStyle name="Percent 5 2" xfId="556"/>
    <cellStyle name="Percent 5 2 2" xfId="1358"/>
    <cellStyle name="Percent 5 2 2 2" xfId="1359"/>
    <cellStyle name="Percent 5 2 3" xfId="1360"/>
    <cellStyle name="Percent 5 3" xfId="1361"/>
    <cellStyle name="Percent 5 3 2" xfId="1362"/>
    <cellStyle name="Percent 5 4" xfId="1363"/>
    <cellStyle name="Percent 5 4 2" xfId="1364"/>
    <cellStyle name="Percent 6" xfId="250"/>
    <cellStyle name="Percent 6 2" xfId="557"/>
    <cellStyle name="Percent 6 2 2" xfId="1365"/>
    <cellStyle name="Percent 6 3" xfId="1366"/>
    <cellStyle name="Percent 7" xfId="246"/>
    <cellStyle name="Percent 7 2" xfId="271"/>
    <cellStyle name="Percent 7 2 2" xfId="1367"/>
    <cellStyle name="Percent 7 3" xfId="352"/>
    <cellStyle name="Percent 7 4" xfId="1368"/>
    <cellStyle name="Percent 8" xfId="353"/>
    <cellStyle name="Percent 8 2" xfId="1369"/>
    <cellStyle name="Percent 9" xfId="368"/>
    <cellStyle name="Percent 9 2" xfId="558"/>
    <cellStyle name="Percent 9 3" xfId="1370"/>
    <cellStyle name="Percent(1)" xfId="251"/>
    <cellStyle name="Percent(2)" xfId="252"/>
    <cellStyle name="Posting_Period" xfId="1371"/>
    <cellStyle name="PRM" xfId="253"/>
    <cellStyle name="PRM 2" xfId="254"/>
    <cellStyle name="PRM 3" xfId="255"/>
    <cellStyle name="PRM_2011-11" xfId="256"/>
    <cellStyle name="PS_Comma" xfId="29"/>
    <cellStyle name="PSChar" xfId="30"/>
    <cellStyle name="PSDate" xfId="31"/>
    <cellStyle name="PSDec" xfId="32"/>
    <cellStyle name="PSHeading" xfId="33"/>
    <cellStyle name="PSHeading 2" xfId="1372"/>
    <cellStyle name="PSInt" xfId="34"/>
    <cellStyle name="PSSpacer" xfId="35"/>
    <cellStyle name="STYL0 - Style1" xfId="354"/>
    <cellStyle name="STYL1 - Style2" xfId="355"/>
    <cellStyle name="STYL2 - Style3" xfId="356"/>
    <cellStyle name="STYL3 - Style4" xfId="357"/>
    <cellStyle name="STYL4 - Style5" xfId="358"/>
    <cellStyle name="STYL5 - Style6" xfId="359"/>
    <cellStyle name="STYL6 - Style7" xfId="360"/>
    <cellStyle name="STYL7 - Style8" xfId="361"/>
    <cellStyle name="Style 1" xfId="257"/>
    <cellStyle name="Style 1 2" xfId="258"/>
    <cellStyle name="STYLE1" xfId="259"/>
    <cellStyle name="STYLE1 2" xfId="1373"/>
    <cellStyle name="sub heading" xfId="362"/>
    <cellStyle name="Tax_Rate" xfId="1374"/>
    <cellStyle name="Title 2" xfId="261"/>
    <cellStyle name="Title 2 2" xfId="1375"/>
    <cellStyle name="Title 2 2 2" xfId="1376"/>
    <cellStyle name="Title 2 3" xfId="1377"/>
    <cellStyle name="Title 3" xfId="260"/>
    <cellStyle name="Title 3 2" xfId="559"/>
    <cellStyle name="Title 4" xfId="1378"/>
    <cellStyle name="Total 2" xfId="263"/>
    <cellStyle name="Total 2 2" xfId="363"/>
    <cellStyle name="Total 2 3" xfId="560"/>
    <cellStyle name="Total 2 4" xfId="1379"/>
    <cellStyle name="Total 3" xfId="262"/>
    <cellStyle name="Total 3 2" xfId="364"/>
    <cellStyle name="Total 3 3" xfId="561"/>
    <cellStyle name="Total 4" xfId="409"/>
    <cellStyle name="Total 4 2" xfId="1380"/>
    <cellStyle name="Transcript_Date" xfId="1381"/>
    <cellStyle name="Warning Text 2" xfId="265"/>
    <cellStyle name="Warning Text 3" xfId="264"/>
    <cellStyle name="Warning Text 4" xfId="1382"/>
    <cellStyle name="WM_STANDARD" xfId="36"/>
  </cellStyles>
  <dxfs count="0"/>
  <tableStyles count="0" defaultTableStyle="TableStyleMedium2" defaultPivotStyle="PivotStyleLight16"/>
  <colors>
    <mruColors>
      <color rgb="FF0000FF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theme" Target="theme/theme1.xml"/><Relationship Id="rId20" Type="http://schemas.openxmlformats.org/officeDocument/2006/relationships/externalLink" Target="externalLinks/externalLink15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UTC-Columbia%202025\General%20Filing%204-15-2016\Filed%204-15-16\CRD%20Pro%20forma%203-31-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195%20Yakima\General%20Rate%20Filings\2017%20Rate%20Filing\.Yakima%20Waste%20Pro%20forma%20YE%206.30.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share\sacshare\Data_Automation\DMS\RouteManagerReports\RM_MM001_Query_v4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nnual%20Reports\2180%20LeMay\2009\LeMay%20Annual%20Report%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Annual%20Reports\2180%20LeMay\2009\LeMay%20Annual%20Report%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regulatedIndustries/transportation/TransportationDocuments/SolidWaste-NonPublic%20LG%202018%20V5.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LeMay\Master%20Truck%20Schedule\South_LeMay%20Master%20Truck%20Schedule-Shar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RC%20Reports\SRC%20Format\Bonus%20Schedule\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LeMay\2183-1%20Pacific%20Disp,%20Butlers%20Cove\Filing%20Possibly%202012\Filing\Audit\Final%20Outcome%208-14-2012\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ason\Rate%20Increase%201-1-2013\1%20Filing%2011-14-2012\Revised%202-21-2013\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 refreshError="1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 refreshError="1">
        <row r="3">
          <cell r="E3" t="str">
            <v>Western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kima BS"/>
      <sheetName val="Yakima IS"/>
      <sheetName val="References"/>
      <sheetName val="Yakima Consolidated IS"/>
      <sheetName val="Ratios"/>
      <sheetName val="Restating Adj's"/>
      <sheetName val="Pro-forma Adj's"/>
      <sheetName val="LG-Total Reg"/>
      <sheetName val="LG-Garbage"/>
      <sheetName val="LG-Recycle"/>
      <sheetName val="LG-Yardwaste"/>
      <sheetName val="Yakima Regulated Price Out"/>
      <sheetName val="Proposed Rates"/>
      <sheetName val="Revenue Summary"/>
      <sheetName val="Depr Summary"/>
      <sheetName val="Yakima Payroll"/>
      <sheetName val="Disposal"/>
      <sheetName val="Fuel Schedule"/>
      <sheetName val="A-Team Summary"/>
      <sheetName val="Roll Off Cust Count"/>
      <sheetName val="DivCon-DVP Alloc In"/>
      <sheetName val="Region OH Calc"/>
      <sheetName val="WCI P&amp;L"/>
      <sheetName val="WCI BS"/>
      <sheetName val="Corp OH"/>
      <sheetName val="July Fuel"/>
      <sheetName val="70149 Detail"/>
      <sheetName val="70095 Detail"/>
      <sheetName val="70195 Detail"/>
      <sheetName val="70255 Detail"/>
      <sheetName val="6.30.17 BS"/>
      <sheetName val="Yakima BS "/>
      <sheetName val="Pro-forma Adj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view="pageBreakPreview" topLeftCell="A28" zoomScale="85" zoomScaleNormal="85" zoomScaleSheetLayoutView="85" workbookViewId="0">
      <selection activeCell="D55" sqref="D55"/>
    </sheetView>
  </sheetViews>
  <sheetFormatPr defaultRowHeight="15"/>
  <cols>
    <col min="1" max="1" width="36.28515625" style="18" bestFit="1" customWidth="1"/>
    <col min="2" max="2" width="19.42578125" style="18" customWidth="1"/>
    <col min="3" max="3" width="11" style="18" bestFit="1" customWidth="1"/>
    <col min="4" max="4" width="10.5703125" style="18" bestFit="1" customWidth="1"/>
    <col min="5" max="5" width="7" style="18" bestFit="1" customWidth="1"/>
    <col min="6" max="6" width="11.42578125" style="18" bestFit="1" customWidth="1"/>
    <col min="7" max="7" width="10" style="18" bestFit="1" customWidth="1"/>
    <col min="8" max="8" width="8" style="18" bestFit="1" customWidth="1"/>
    <col min="9" max="9" width="15.85546875" style="18" bestFit="1" customWidth="1"/>
    <col min="10" max="10" width="12" style="18" bestFit="1" customWidth="1"/>
    <col min="11" max="16384" width="9.140625" style="18"/>
  </cols>
  <sheetData>
    <row r="1" spans="1:8">
      <c r="A1" s="37" t="s">
        <v>433</v>
      </c>
      <c r="B1" s="38"/>
      <c r="C1" s="36"/>
      <c r="D1" s="36"/>
      <c r="E1" s="36"/>
      <c r="F1" s="36"/>
      <c r="G1" s="36"/>
      <c r="H1" s="36"/>
    </row>
    <row r="2" spans="1:8">
      <c r="A2" s="37" t="s">
        <v>434</v>
      </c>
      <c r="B2" s="38"/>
      <c r="C2" s="36"/>
      <c r="D2" s="36"/>
      <c r="E2" s="36"/>
      <c r="F2" s="36"/>
      <c r="G2" s="36"/>
      <c r="H2" s="36"/>
    </row>
    <row r="3" spans="1:8">
      <c r="A3" s="37" t="s">
        <v>435</v>
      </c>
      <c r="B3" s="38"/>
      <c r="C3" s="36"/>
      <c r="D3" s="36"/>
      <c r="E3" s="36"/>
      <c r="F3" s="36"/>
      <c r="G3" s="36"/>
      <c r="H3" s="36"/>
    </row>
    <row r="4" spans="1:8">
      <c r="A4" s="263"/>
      <c r="B4" s="263"/>
      <c r="C4" s="263"/>
      <c r="D4" s="263"/>
      <c r="E4" s="263"/>
      <c r="F4" s="263"/>
      <c r="G4" s="263"/>
      <c r="H4" s="263"/>
    </row>
    <row r="5" spans="1:8">
      <c r="A5" s="261" t="s">
        <v>16</v>
      </c>
      <c r="B5" s="261"/>
      <c r="C5" s="261"/>
      <c r="D5" s="261"/>
      <c r="E5" s="261"/>
      <c r="F5" s="261"/>
      <c r="G5" s="261"/>
      <c r="H5" s="261"/>
    </row>
    <row r="6" spans="1:8">
      <c r="A6" s="18" t="s">
        <v>55</v>
      </c>
      <c r="B6" s="9" t="s">
        <v>42</v>
      </c>
      <c r="C6" s="9" t="s">
        <v>43</v>
      </c>
      <c r="D6" s="9" t="s">
        <v>44</v>
      </c>
      <c r="E6" s="10" t="s">
        <v>46</v>
      </c>
      <c r="F6" s="10" t="s">
        <v>47</v>
      </c>
      <c r="G6" s="10" t="s">
        <v>48</v>
      </c>
      <c r="H6" s="9" t="s">
        <v>51</v>
      </c>
    </row>
    <row r="7" spans="1:8">
      <c r="A7" s="18" t="s">
        <v>52</v>
      </c>
      <c r="B7" s="1">
        <f>52*5/12</f>
        <v>21.666666666666668</v>
      </c>
      <c r="C7" s="11">
        <f>$B$7*2</f>
        <v>43.333333333333336</v>
      </c>
      <c r="D7" s="11">
        <f>$B$7*3</f>
        <v>65</v>
      </c>
      <c r="E7" s="11">
        <f>$B$7*4</f>
        <v>86.666666666666671</v>
      </c>
      <c r="F7" s="11">
        <f>$B$7*5</f>
        <v>108.33333333333334</v>
      </c>
      <c r="G7" s="11">
        <f>$B$7*6</f>
        <v>130</v>
      </c>
      <c r="H7" s="11">
        <f>$B$7*7</f>
        <v>151.66666666666669</v>
      </c>
    </row>
    <row r="8" spans="1:8">
      <c r="A8" s="18" t="s">
        <v>87</v>
      </c>
      <c r="B8" s="1">
        <f>52*4/12</f>
        <v>17.333333333333332</v>
      </c>
      <c r="C8" s="11">
        <f>$B$8*2</f>
        <v>34.666666666666664</v>
      </c>
      <c r="D8" s="11">
        <f>$B$8*3</f>
        <v>52</v>
      </c>
      <c r="E8" s="11">
        <f>$B$8*4</f>
        <v>69.333333333333329</v>
      </c>
      <c r="F8" s="11">
        <f>$B$8*5</f>
        <v>86.666666666666657</v>
      </c>
      <c r="G8" s="11">
        <f>$B$8*6</f>
        <v>104</v>
      </c>
      <c r="H8" s="11">
        <f>$B$8*7</f>
        <v>121.33333333333333</v>
      </c>
    </row>
    <row r="9" spans="1:8">
      <c r="A9" s="18" t="s">
        <v>53</v>
      </c>
      <c r="B9" s="1">
        <f>52*3/12</f>
        <v>13</v>
      </c>
      <c r="C9" s="11">
        <f>$B$9*2</f>
        <v>26</v>
      </c>
      <c r="D9" s="11">
        <f>$B$9*3</f>
        <v>39</v>
      </c>
      <c r="E9" s="11">
        <f>$B$9*4</f>
        <v>52</v>
      </c>
      <c r="F9" s="11">
        <f>$B$9*5</f>
        <v>65</v>
      </c>
      <c r="G9" s="11">
        <f>$B$9*6</f>
        <v>78</v>
      </c>
      <c r="H9" s="11">
        <f>$B$9*7</f>
        <v>91</v>
      </c>
    </row>
    <row r="10" spans="1:8">
      <c r="A10" s="18" t="s">
        <v>54</v>
      </c>
      <c r="B10" s="1">
        <f>52*2/12</f>
        <v>8.6666666666666661</v>
      </c>
      <c r="C10" s="22">
        <f>$B$10*2</f>
        <v>17.333333333333332</v>
      </c>
      <c r="D10" s="22">
        <f>$B$10*3</f>
        <v>26</v>
      </c>
      <c r="E10" s="22">
        <f>$B$10*4</f>
        <v>34.666666666666664</v>
      </c>
      <c r="F10" s="22">
        <f>$B$10*5</f>
        <v>43.333333333333329</v>
      </c>
      <c r="G10" s="22">
        <f>$B$10*6</f>
        <v>52</v>
      </c>
      <c r="H10" s="22">
        <f>$B$10*7</f>
        <v>60.666666666666664</v>
      </c>
    </row>
    <row r="11" spans="1:8">
      <c r="A11" s="18" t="s">
        <v>19</v>
      </c>
      <c r="B11" s="1">
        <f>52/12</f>
        <v>4.333333333333333</v>
      </c>
      <c r="C11" s="22">
        <f>$B$11*2</f>
        <v>8.6666666666666661</v>
      </c>
      <c r="D11" s="22">
        <f>$B$11*3</f>
        <v>13</v>
      </c>
      <c r="E11" s="22">
        <f>$B$11*4</f>
        <v>17.333333333333332</v>
      </c>
      <c r="F11" s="22">
        <f>$B$11*5</f>
        <v>21.666666666666664</v>
      </c>
      <c r="G11" s="22">
        <f>$B$11*6</f>
        <v>26</v>
      </c>
      <c r="H11" s="22">
        <f>$B$11*7</f>
        <v>30.333333333333332</v>
      </c>
    </row>
    <row r="12" spans="1:8">
      <c r="A12" s="18" t="s">
        <v>21</v>
      </c>
      <c r="B12" s="1">
        <f>26/12</f>
        <v>2.1666666666666665</v>
      </c>
      <c r="C12" s="22">
        <f>$B$12*2</f>
        <v>4.333333333333333</v>
      </c>
      <c r="D12" s="22">
        <f>$B$12*3</f>
        <v>6.5</v>
      </c>
      <c r="E12" s="22">
        <f>$B$12*4</f>
        <v>8.6666666666666661</v>
      </c>
      <c r="F12" s="22">
        <f>$B$12*5</f>
        <v>10.833333333333332</v>
      </c>
      <c r="G12" s="22">
        <f>$B$12*6</f>
        <v>13</v>
      </c>
      <c r="H12" s="22">
        <f>$B$12*7</f>
        <v>15.166666666666666</v>
      </c>
    </row>
    <row r="13" spans="1:8">
      <c r="A13" s="18" t="s">
        <v>20</v>
      </c>
      <c r="B13" s="1">
        <f>12/12</f>
        <v>1</v>
      </c>
      <c r="C13" s="22">
        <f>$B$13*2</f>
        <v>2</v>
      </c>
      <c r="D13" s="22">
        <f>$B$13*3</f>
        <v>3</v>
      </c>
      <c r="E13" s="22">
        <f>$B$13*4</f>
        <v>4</v>
      </c>
      <c r="F13" s="22">
        <f>$B$13*5</f>
        <v>5</v>
      </c>
      <c r="G13" s="22">
        <f>$B$13*6</f>
        <v>6</v>
      </c>
      <c r="H13" s="22">
        <f>$B$13*7</f>
        <v>7</v>
      </c>
    </row>
    <row r="14" spans="1:8">
      <c r="B14" s="1"/>
      <c r="C14" s="22"/>
      <c r="D14" s="22"/>
      <c r="E14" s="22"/>
      <c r="F14" s="22"/>
      <c r="G14" s="22"/>
      <c r="H14" s="22"/>
    </row>
    <row r="15" spans="1:8">
      <c r="A15" s="261" t="s">
        <v>8</v>
      </c>
      <c r="B15" s="261"/>
      <c r="C15" s="22"/>
      <c r="D15" s="22"/>
      <c r="E15" s="22"/>
      <c r="F15" s="22"/>
      <c r="G15" s="22"/>
      <c r="H15" s="22"/>
    </row>
    <row r="16" spans="1:8">
      <c r="A16" s="19" t="s">
        <v>50</v>
      </c>
      <c r="B16" s="20" t="s">
        <v>80</v>
      </c>
      <c r="C16" s="22"/>
      <c r="D16" s="22"/>
      <c r="E16" s="22"/>
      <c r="F16" s="22"/>
      <c r="G16" s="22"/>
      <c r="H16" s="22"/>
    </row>
    <row r="17" spans="1:8">
      <c r="A17" s="23" t="s">
        <v>81</v>
      </c>
      <c r="B17" s="21">
        <v>20</v>
      </c>
      <c r="C17" s="22"/>
      <c r="D17" s="22"/>
      <c r="E17" s="22"/>
      <c r="F17" s="22"/>
      <c r="G17" s="22"/>
      <c r="H17" s="22"/>
    </row>
    <row r="18" spans="1:8">
      <c r="A18" s="23" t="s">
        <v>56</v>
      </c>
      <c r="B18" s="21">
        <v>34</v>
      </c>
      <c r="C18" s="22"/>
      <c r="D18" s="22"/>
      <c r="E18" s="22"/>
      <c r="F18" s="22"/>
      <c r="G18" s="22"/>
      <c r="H18" s="22"/>
    </row>
    <row r="19" spans="1:8">
      <c r="A19" s="23" t="s">
        <v>57</v>
      </c>
      <c r="B19" s="21">
        <v>51</v>
      </c>
      <c r="C19" s="22"/>
      <c r="D19" s="22"/>
      <c r="E19" s="22"/>
      <c r="F19" s="22"/>
      <c r="G19" s="22"/>
      <c r="H19" s="22"/>
    </row>
    <row r="20" spans="1:8">
      <c r="A20" s="23" t="s">
        <v>58</v>
      </c>
      <c r="B20" s="21">
        <v>77</v>
      </c>
      <c r="C20" s="22"/>
      <c r="D20" s="22"/>
      <c r="E20" s="22"/>
      <c r="F20" s="18" t="s">
        <v>17</v>
      </c>
      <c r="G20" s="21">
        <v>2000</v>
      </c>
      <c r="H20" s="22"/>
    </row>
    <row r="21" spans="1:8">
      <c r="A21" s="23" t="s">
        <v>59</v>
      </c>
      <c r="B21" s="21">
        <v>97</v>
      </c>
      <c r="C21" s="22"/>
      <c r="D21" s="22"/>
      <c r="E21" s="22"/>
      <c r="F21" s="18" t="s">
        <v>18</v>
      </c>
      <c r="G21" s="12" t="s">
        <v>45</v>
      </c>
      <c r="H21" s="22"/>
    </row>
    <row r="22" spans="1:8">
      <c r="A22" s="23" t="s">
        <v>60</v>
      </c>
      <c r="B22" s="21">
        <v>117</v>
      </c>
      <c r="C22" s="22"/>
      <c r="D22" s="22"/>
      <c r="E22" s="22"/>
      <c r="H22" s="22"/>
    </row>
    <row r="23" spans="1:8">
      <c r="A23" s="23" t="s">
        <v>61</v>
      </c>
      <c r="B23" s="21">
        <v>157</v>
      </c>
      <c r="C23" s="22"/>
      <c r="D23" s="22"/>
      <c r="E23" s="22"/>
      <c r="F23" s="7"/>
      <c r="G23" s="8"/>
      <c r="H23" s="22"/>
    </row>
    <row r="24" spans="1:8">
      <c r="A24" s="23" t="s">
        <v>92</v>
      </c>
      <c r="B24" s="21">
        <v>37</v>
      </c>
      <c r="C24" s="22" t="s">
        <v>82</v>
      </c>
      <c r="D24" s="22"/>
      <c r="E24" s="22"/>
      <c r="F24" s="7"/>
      <c r="G24" s="8"/>
      <c r="H24" s="22"/>
    </row>
    <row r="25" spans="1:8">
      <c r="A25" s="23" t="s">
        <v>62</v>
      </c>
      <c r="B25" s="21">
        <v>47</v>
      </c>
      <c r="C25" s="22"/>
      <c r="D25" s="22"/>
      <c r="E25" s="22"/>
      <c r="F25" s="22"/>
      <c r="G25" s="22"/>
      <c r="H25" s="22"/>
    </row>
    <row r="26" spans="1:8">
      <c r="A26" s="23" t="s">
        <v>63</v>
      </c>
      <c r="B26" s="21">
        <v>68</v>
      </c>
      <c r="C26" s="22"/>
      <c r="D26" s="22"/>
      <c r="E26" s="22"/>
      <c r="F26" s="22"/>
      <c r="G26" s="22"/>
      <c r="H26" s="22"/>
    </row>
    <row r="27" spans="1:8">
      <c r="A27" s="23" t="s">
        <v>64</v>
      </c>
      <c r="B27" s="21">
        <v>34</v>
      </c>
      <c r="C27" s="22"/>
      <c r="D27" s="22"/>
      <c r="E27" s="22"/>
      <c r="F27" s="22"/>
      <c r="G27" s="22"/>
      <c r="H27" s="22"/>
    </row>
    <row r="28" spans="1:8">
      <c r="A28" s="23" t="s">
        <v>29</v>
      </c>
      <c r="B28" s="21">
        <v>34</v>
      </c>
      <c r="C28" s="22"/>
      <c r="D28" s="22"/>
      <c r="E28" s="22"/>
      <c r="F28" s="22"/>
      <c r="G28" s="22"/>
      <c r="H28" s="22"/>
    </row>
    <row r="29" spans="1:8">
      <c r="A29" s="19" t="s">
        <v>65</v>
      </c>
      <c r="B29" s="21"/>
      <c r="C29" s="22"/>
      <c r="D29" s="22"/>
      <c r="E29" s="22"/>
      <c r="F29" s="22"/>
      <c r="G29" s="22"/>
      <c r="H29" s="22"/>
    </row>
    <row r="30" spans="1:8">
      <c r="A30" s="23" t="s">
        <v>66</v>
      </c>
      <c r="B30" s="21">
        <v>29</v>
      </c>
      <c r="C30" s="22"/>
      <c r="D30" s="22"/>
      <c r="E30" s="22"/>
      <c r="F30" s="22"/>
      <c r="G30" s="22"/>
      <c r="H30" s="22"/>
    </row>
    <row r="31" spans="1:8">
      <c r="A31" s="23" t="s">
        <v>67</v>
      </c>
      <c r="B31" s="21">
        <v>175</v>
      </c>
      <c r="C31" s="22"/>
      <c r="D31" s="22"/>
      <c r="E31" s="22"/>
      <c r="F31" s="22"/>
      <c r="G31" s="22"/>
      <c r="H31" s="22"/>
    </row>
    <row r="32" spans="1:8">
      <c r="A32" s="23" t="s">
        <v>68</v>
      </c>
      <c r="B32" s="21">
        <v>250</v>
      </c>
      <c r="C32" s="22"/>
      <c r="D32" s="22"/>
      <c r="E32" s="22"/>
      <c r="F32" s="22"/>
      <c r="G32" s="22"/>
      <c r="H32" s="22"/>
    </row>
    <row r="33" spans="1:8">
      <c r="A33" s="23" t="s">
        <v>69</v>
      </c>
      <c r="B33" s="21">
        <v>324</v>
      </c>
      <c r="C33" s="22"/>
      <c r="D33" s="22"/>
      <c r="E33" s="22"/>
      <c r="F33" s="22"/>
      <c r="G33" s="22"/>
      <c r="H33" s="22"/>
    </row>
    <row r="34" spans="1:8">
      <c r="A34" s="23" t="s">
        <v>70</v>
      </c>
      <c r="B34" s="21">
        <v>473</v>
      </c>
      <c r="C34" s="22"/>
      <c r="D34" s="22"/>
      <c r="E34" s="22"/>
      <c r="F34" s="22"/>
      <c r="G34" s="22"/>
      <c r="H34" s="22"/>
    </row>
    <row r="35" spans="1:8">
      <c r="A35" s="23" t="s">
        <v>71</v>
      </c>
      <c r="B35" s="21">
        <v>613</v>
      </c>
      <c r="C35" s="22"/>
      <c r="D35" s="22"/>
      <c r="E35" s="22"/>
      <c r="F35" s="22"/>
      <c r="G35" s="22"/>
      <c r="H35" s="22"/>
    </row>
    <row r="36" spans="1:8">
      <c r="A36" s="23" t="s">
        <v>72</v>
      </c>
      <c r="B36" s="21">
        <v>840</v>
      </c>
      <c r="C36" s="22"/>
      <c r="D36" s="22"/>
      <c r="E36" s="22"/>
      <c r="F36" s="22"/>
      <c r="G36" s="22"/>
      <c r="H36" s="22"/>
    </row>
    <row r="37" spans="1:8">
      <c r="A37" s="23" t="s">
        <v>73</v>
      </c>
      <c r="B37" s="21">
        <v>980</v>
      </c>
      <c r="C37" s="22"/>
      <c r="D37" s="22"/>
      <c r="E37" s="22"/>
      <c r="F37" s="22"/>
      <c r="G37" s="22"/>
      <c r="H37" s="22"/>
    </row>
    <row r="38" spans="1:8">
      <c r="A38" s="23" t="s">
        <v>88</v>
      </c>
      <c r="B38" s="21">
        <v>482</v>
      </c>
      <c r="C38" s="22" t="s">
        <v>82</v>
      </c>
      <c r="D38" s="22"/>
      <c r="E38" s="22"/>
      <c r="F38" s="22"/>
      <c r="G38" s="22"/>
      <c r="H38" s="22"/>
    </row>
    <row r="39" spans="1:8">
      <c r="A39" s="23" t="s">
        <v>89</v>
      </c>
      <c r="B39" s="21">
        <v>689</v>
      </c>
      <c r="C39" s="22" t="s">
        <v>82</v>
      </c>
      <c r="D39" s="22"/>
      <c r="E39" s="22"/>
      <c r="F39" s="22"/>
      <c r="G39" s="22"/>
      <c r="H39" s="22"/>
    </row>
    <row r="40" spans="1:8">
      <c r="A40" s="23" t="s">
        <v>75</v>
      </c>
      <c r="B40" s="21">
        <v>892</v>
      </c>
      <c r="C40" s="22" t="s">
        <v>82</v>
      </c>
      <c r="D40" s="22"/>
      <c r="E40" s="22"/>
      <c r="F40" s="22"/>
      <c r="G40" s="22"/>
      <c r="H40" s="22"/>
    </row>
    <row r="41" spans="1:8">
      <c r="A41" s="23" t="s">
        <v>74</v>
      </c>
      <c r="B41" s="21">
        <v>1301</v>
      </c>
      <c r="C41" s="22"/>
      <c r="D41" s="22"/>
      <c r="E41" s="22"/>
      <c r="F41" s="22"/>
      <c r="G41" s="22"/>
      <c r="H41" s="22"/>
    </row>
    <row r="42" spans="1:8">
      <c r="A42" s="23" t="s">
        <v>76</v>
      </c>
      <c r="B42" s="21">
        <v>1686</v>
      </c>
      <c r="C42" s="22"/>
      <c r="D42" s="22"/>
      <c r="E42" s="22"/>
      <c r="F42" s="22"/>
      <c r="G42" s="22"/>
      <c r="H42" s="22"/>
    </row>
    <row r="43" spans="1:8">
      <c r="A43" s="23" t="s">
        <v>77</v>
      </c>
      <c r="B43" s="21">
        <v>2046</v>
      </c>
      <c r="C43" s="22"/>
      <c r="D43" s="22"/>
      <c r="E43" s="22"/>
      <c r="F43" s="22"/>
      <c r="G43" s="22"/>
      <c r="H43" s="22"/>
    </row>
    <row r="44" spans="1:8">
      <c r="A44" s="23" t="s">
        <v>78</v>
      </c>
      <c r="B44" s="21">
        <v>2310</v>
      </c>
      <c r="C44" s="22"/>
      <c r="D44" s="22"/>
      <c r="E44" s="22"/>
      <c r="F44" s="22"/>
      <c r="G44" s="22"/>
      <c r="H44" s="22"/>
    </row>
    <row r="45" spans="1:8">
      <c r="A45" s="23" t="s">
        <v>90</v>
      </c>
      <c r="B45" s="21">
        <v>2800</v>
      </c>
      <c r="C45" s="22" t="s">
        <v>82</v>
      </c>
      <c r="D45" s="22"/>
      <c r="E45" s="22"/>
      <c r="F45" s="22"/>
      <c r="G45" s="22"/>
      <c r="H45" s="22"/>
    </row>
    <row r="46" spans="1:8">
      <c r="A46" s="23" t="s">
        <v>79</v>
      </c>
      <c r="B46" s="21">
        <v>125</v>
      </c>
      <c r="C46" s="22"/>
      <c r="D46" s="22"/>
      <c r="E46" s="22"/>
      <c r="F46" s="22"/>
      <c r="G46" s="22"/>
      <c r="H46" s="22"/>
    </row>
    <row r="47" spans="1:8">
      <c r="B47" s="30" t="s">
        <v>430</v>
      </c>
      <c r="C47" s="30"/>
      <c r="D47" s="30"/>
    </row>
    <row r="48" spans="1:8">
      <c r="B48" s="30"/>
      <c r="C48" s="30"/>
      <c r="D48" s="30"/>
    </row>
    <row r="49" spans="1:7">
      <c r="A49" s="23" t="s">
        <v>431</v>
      </c>
      <c r="B49" s="31">
        <v>2</v>
      </c>
    </row>
    <row r="50" spans="1:7">
      <c r="A50" s="23" t="s">
        <v>432</v>
      </c>
    </row>
    <row r="51" spans="1:7">
      <c r="A51" s="23"/>
    </row>
    <row r="52" spans="1:7">
      <c r="A52" s="25" t="s">
        <v>95</v>
      </c>
      <c r="B52" s="24" t="s">
        <v>4</v>
      </c>
      <c r="C52" s="24" t="s">
        <v>5</v>
      </c>
      <c r="F52" s="262" t="s">
        <v>24</v>
      </c>
      <c r="G52" s="262"/>
    </row>
    <row r="53" spans="1:7">
      <c r="A53" s="13" t="s">
        <v>6</v>
      </c>
      <c r="B53" s="259">
        <v>104.85</v>
      </c>
      <c r="C53" s="103">
        <f>B53/2000</f>
        <v>5.2424999999999999E-2</v>
      </c>
      <c r="F53" s="18" t="s">
        <v>25</v>
      </c>
      <c r="G53" s="3">
        <f>0.015</f>
        <v>1.4999999999999999E-2</v>
      </c>
    </row>
    <row r="54" spans="1:7">
      <c r="A54" s="13" t="s">
        <v>675</v>
      </c>
      <c r="B54" s="259">
        <v>106.77</v>
      </c>
      <c r="C54" s="104">
        <f>B54/2000</f>
        <v>5.3384999999999995E-2</v>
      </c>
      <c r="F54" s="18" t="s">
        <v>26</v>
      </c>
      <c r="G54" s="4">
        <v>5.1000000000000004E-3</v>
      </c>
    </row>
    <row r="55" spans="1:7">
      <c r="A55" s="23" t="s">
        <v>7</v>
      </c>
      <c r="B55" s="105">
        <f>B54-B53</f>
        <v>1.9200000000000017</v>
      </c>
      <c r="C55" s="106">
        <f>C54-C53</f>
        <v>9.5999999999999558E-4</v>
      </c>
      <c r="D55" s="32">
        <f>B55/B53</f>
        <v>1.8311874105865541E-2</v>
      </c>
      <c r="F55" s="18" t="s">
        <v>49</v>
      </c>
      <c r="G55" s="5">
        <v>0</v>
      </c>
    </row>
    <row r="56" spans="1:7">
      <c r="F56" s="18" t="s">
        <v>14</v>
      </c>
      <c r="G56" s="14">
        <f>SUM(G53:G55)</f>
        <v>2.01E-2</v>
      </c>
    </row>
    <row r="57" spans="1:7">
      <c r="B57" s="17" t="str">
        <f>A52</f>
        <v>Grays Harbor County</v>
      </c>
    </row>
    <row r="58" spans="1:7">
      <c r="A58" s="74" t="s">
        <v>440</v>
      </c>
      <c r="B58" s="15">
        <f>B55</f>
        <v>1.9200000000000017</v>
      </c>
      <c r="F58" s="18" t="s">
        <v>27</v>
      </c>
      <c r="G58" s="16">
        <f>1-G56</f>
        <v>0.97989999999999999</v>
      </c>
    </row>
    <row r="59" spans="1:7">
      <c r="A59" s="72" t="s">
        <v>23</v>
      </c>
      <c r="B59" s="15">
        <f>B58/$G$58</f>
        <v>1.9593836105725091</v>
      </c>
      <c r="C59" s="15"/>
    </row>
    <row r="60" spans="1:7">
      <c r="A60" s="72" t="s">
        <v>22</v>
      </c>
      <c r="B60" s="6">
        <f>+Disposal!E19</f>
        <v>8813.2468809782513</v>
      </c>
    </row>
    <row r="61" spans="1:7">
      <c r="A61" s="73" t="s">
        <v>28</v>
      </c>
      <c r="B61" s="2">
        <f>B59*B60</f>
        <v>17268.531494518069</v>
      </c>
    </row>
    <row r="64" spans="1:7" ht="15.75" thickBot="1"/>
    <row r="65" spans="1:4">
      <c r="A65" s="26" t="s">
        <v>85</v>
      </c>
      <c r="B65" s="27" t="s">
        <v>83</v>
      </c>
      <c r="D65" s="15"/>
    </row>
    <row r="66" spans="1:4">
      <c r="A66" s="28" t="s">
        <v>84</v>
      </c>
      <c r="B66" s="29">
        <f>+'Gray''s DF Calc'!R127</f>
        <v>17330.650104324028</v>
      </c>
    </row>
    <row r="67" spans="1:4">
      <c r="A67" s="28" t="s">
        <v>10</v>
      </c>
      <c r="B67" s="29">
        <f>B66-B61</f>
        <v>62.11860980595884</v>
      </c>
    </row>
    <row r="68" spans="1:4" ht="15.75" thickBot="1">
      <c r="A68" s="33"/>
      <c r="B68" s="34"/>
    </row>
  </sheetData>
  <mergeCells count="4">
    <mergeCell ref="A5:H5"/>
    <mergeCell ref="F52:G52"/>
    <mergeCell ref="A15:B15"/>
    <mergeCell ref="A4:H4"/>
  </mergeCells>
  <pageMargins left="0.7" right="0.7" top="0.75" bottom="0.75" header="0.3" footer="0.3"/>
  <pageSetup scale="69" orientation="portrait" r:id="rId1"/>
  <headerFooter>
    <oddFooter>&amp;L&amp;8&amp;F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64"/>
  <sheetViews>
    <sheetView view="pageBreakPreview" zoomScale="85" zoomScaleNormal="85" zoomScaleSheetLayoutView="85" workbookViewId="0">
      <pane xSplit="3" ySplit="6" topLeftCell="E7" activePane="bottomRight" state="frozen"/>
      <selection activeCell="I73" sqref="I73"/>
      <selection pane="topRight" activeCell="I73" sqref="I73"/>
      <selection pane="bottomLeft" activeCell="I73" sqref="I73"/>
      <selection pane="bottomRight" activeCell="Y93" sqref="Y93:Y99"/>
    </sheetView>
  </sheetViews>
  <sheetFormatPr defaultRowHeight="15"/>
  <cols>
    <col min="1" max="1" width="4.140625" style="43" customWidth="1"/>
    <col min="2" max="2" width="7.7109375" style="80" customWidth="1"/>
    <col min="3" max="3" width="28" style="43" bestFit="1" customWidth="1"/>
    <col min="4" max="4" width="13" style="44" bestFit="1" customWidth="1"/>
    <col min="5" max="5" width="11.5703125" style="56" bestFit="1" customWidth="1"/>
    <col min="6" max="6" width="13.28515625" style="44" bestFit="1" customWidth="1"/>
    <col min="7" max="7" width="8.7109375" style="44" bestFit="1" customWidth="1"/>
    <col min="8" max="8" width="16.5703125" style="44" bestFit="1" customWidth="1"/>
    <col min="9" max="9" width="12" style="44" customWidth="1"/>
    <col min="10" max="12" width="10.85546875" style="58" bestFit="1" customWidth="1"/>
    <col min="13" max="13" width="12.5703125" style="58" bestFit="1" customWidth="1"/>
    <col min="14" max="14" width="10.5703125" style="58" bestFit="1" customWidth="1"/>
    <col min="15" max="15" width="10.42578125" style="58" bestFit="1" customWidth="1"/>
    <col min="16" max="16" width="16" style="58" customWidth="1"/>
    <col min="17" max="17" width="17.85546875" style="58" customWidth="1"/>
    <col min="18" max="18" width="15.5703125" style="58" bestFit="1" customWidth="1"/>
    <col min="19" max="19" width="14.28515625" style="58" bestFit="1" customWidth="1"/>
    <col min="20" max="20" width="13.140625" style="58" bestFit="1" customWidth="1"/>
    <col min="21" max="21" width="10.42578125" style="58" bestFit="1" customWidth="1"/>
    <col min="22" max="22" width="16.42578125" style="58" bestFit="1" customWidth="1"/>
    <col min="23" max="23" width="15.5703125" style="58" bestFit="1" customWidth="1"/>
    <col min="24" max="24" width="12.5703125" style="43" bestFit="1" customWidth="1"/>
    <col min="25" max="26" width="9.140625" style="43"/>
    <col min="27" max="31" width="9.140625" style="55"/>
    <col min="32" max="16384" width="9.140625" style="43"/>
  </cols>
  <sheetData>
    <row r="1" spans="1:31">
      <c r="A1" s="97" t="s">
        <v>433</v>
      </c>
    </row>
    <row r="2" spans="1:31">
      <c r="A2" s="97" t="s">
        <v>434</v>
      </c>
    </row>
    <row r="3" spans="1:31">
      <c r="A3" s="97" t="s">
        <v>443</v>
      </c>
    </row>
    <row r="4" spans="1:31">
      <c r="A4" s="98" t="s">
        <v>677</v>
      </c>
    </row>
    <row r="5" spans="1:31">
      <c r="A5" s="39" t="s">
        <v>661</v>
      </c>
    </row>
    <row r="6" spans="1:31" ht="45" customHeight="1">
      <c r="A6" s="96"/>
      <c r="B6" s="96" t="s">
        <v>13</v>
      </c>
      <c r="C6" s="96" t="s">
        <v>15</v>
      </c>
      <c r="D6" s="96" t="s">
        <v>38</v>
      </c>
      <c r="E6" s="96" t="s">
        <v>0</v>
      </c>
      <c r="F6" s="96" t="s">
        <v>444</v>
      </c>
      <c r="G6" s="96" t="s">
        <v>8</v>
      </c>
      <c r="H6" s="96" t="s">
        <v>32</v>
      </c>
      <c r="I6" s="96" t="s">
        <v>33</v>
      </c>
      <c r="J6" s="96" t="s">
        <v>7</v>
      </c>
      <c r="K6" s="96" t="s">
        <v>1</v>
      </c>
      <c r="L6" s="96" t="s">
        <v>39</v>
      </c>
      <c r="M6" s="96" t="s">
        <v>36</v>
      </c>
      <c r="N6" s="96" t="s">
        <v>445</v>
      </c>
      <c r="O6" s="96" t="s">
        <v>34</v>
      </c>
      <c r="P6" s="96" t="s">
        <v>37</v>
      </c>
      <c r="Q6" s="96" t="s">
        <v>35</v>
      </c>
      <c r="R6" s="96" t="s">
        <v>40</v>
      </c>
      <c r="S6" s="96" t="s">
        <v>446</v>
      </c>
      <c r="T6" s="96" t="s">
        <v>447</v>
      </c>
      <c r="U6" s="96" t="s">
        <v>41</v>
      </c>
      <c r="V6" s="96" t="s">
        <v>448</v>
      </c>
      <c r="W6" s="96" t="s">
        <v>449</v>
      </c>
    </row>
    <row r="7" spans="1:31" ht="15" customHeight="1">
      <c r="A7" s="264" t="s">
        <v>11</v>
      </c>
      <c r="B7" s="92">
        <v>20</v>
      </c>
      <c r="C7" s="43" t="s">
        <v>176</v>
      </c>
      <c r="D7" s="44">
        <f>+SUMIF('Price Out'!D:D,C7,'Price Out'!AH:AH)</f>
        <v>90.32197390891541</v>
      </c>
      <c r="E7" s="56">
        <f>+References!B11</f>
        <v>4.333333333333333</v>
      </c>
      <c r="F7" s="44">
        <f>+D7*E7*12</f>
        <v>4696.7426432636012</v>
      </c>
      <c r="G7" s="44">
        <f>+References!B17</f>
        <v>20</v>
      </c>
      <c r="H7" s="44">
        <f>+F7*G7</f>
        <v>93934.852865272027</v>
      </c>
      <c r="I7" s="44">
        <f t="shared" ref="I7:I25" si="0">+H7*$D$158</f>
        <v>93584.732233058414</v>
      </c>
      <c r="J7" s="58">
        <f>+I7*References!$C$55</f>
        <v>89.841342943735668</v>
      </c>
      <c r="K7" s="58">
        <f>+J7/References!$G$58</f>
        <v>91.684195268635236</v>
      </c>
      <c r="L7" s="58">
        <f>+K7/F7*E7</f>
        <v>8.4590153149492309E-2</v>
      </c>
      <c r="M7" s="58">
        <f>+'Proposed Rates'!B31</f>
        <v>11.6</v>
      </c>
      <c r="N7" s="58">
        <f>+L7+M7</f>
        <v>11.684590153149491</v>
      </c>
      <c r="O7" s="58">
        <f>+'Proposed Rates'!D31</f>
        <v>11.68</v>
      </c>
      <c r="P7" s="58">
        <f>+D7*M7*12</f>
        <v>12572.818768121024</v>
      </c>
      <c r="Q7" s="58">
        <f>+D7*O7*12</f>
        <v>12659.527863073585</v>
      </c>
      <c r="R7" s="58">
        <f>+Q7-P7</f>
        <v>86.709094952560918</v>
      </c>
      <c r="S7" s="58">
        <f>+D7*N7*12</f>
        <v>12664.502963389659</v>
      </c>
      <c r="T7" s="58">
        <f>+Q7-S7</f>
        <v>-4.9751003160745313</v>
      </c>
      <c r="U7" s="57">
        <f>+N7</f>
        <v>11.684590153149491</v>
      </c>
      <c r="V7" s="57">
        <f>+D7*U7*12</f>
        <v>12664.502963389659</v>
      </c>
      <c r="W7" s="57">
        <f>+V7-P7</f>
        <v>91.684195268635449</v>
      </c>
      <c r="X7" s="109">
        <f>W7-K7</f>
        <v>2.1316282072803006E-13</v>
      </c>
      <c r="Y7" s="273">
        <f>(G7*E7*$D$158)*(References!$C$55/References!$G$58)-L7</f>
        <v>0</v>
      </c>
    </row>
    <row r="8" spans="1:31" s="72" customFormat="1" ht="15" customHeight="1">
      <c r="A8" s="265"/>
      <c r="B8" s="92">
        <v>20</v>
      </c>
      <c r="C8" s="72" t="s">
        <v>512</v>
      </c>
      <c r="D8" s="44">
        <f>+SUMIF('Price Out'!D:D,C8,'Price Out'!AH:AH)</f>
        <v>2.0334424444501087</v>
      </c>
      <c r="E8" s="94">
        <f>+References!B11</f>
        <v>4.333333333333333</v>
      </c>
      <c r="F8" s="44">
        <f>+D8*E8*12</f>
        <v>105.73900711140564</v>
      </c>
      <c r="G8" s="44">
        <f>+References!B17</f>
        <v>20</v>
      </c>
      <c r="H8" s="44">
        <f>+F8*G8</f>
        <v>2114.7801422281127</v>
      </c>
      <c r="I8" s="44">
        <f t="shared" si="0"/>
        <v>2106.8977839999939</v>
      </c>
      <c r="J8" s="58">
        <f>+I8*References!$C$55</f>
        <v>2.0226218726399847</v>
      </c>
      <c r="K8" s="58">
        <f>+J8/References!$G$58</f>
        <v>2.0641104935605519</v>
      </c>
      <c r="L8" s="58">
        <f>+K8/F8*E8</f>
        <v>8.4590153149492295E-2</v>
      </c>
      <c r="M8" s="58">
        <f>+'Proposed Rates'!B31</f>
        <v>11.6</v>
      </c>
      <c r="N8" s="58">
        <f>+L8+M8</f>
        <v>11.684590153149491</v>
      </c>
      <c r="O8" s="58">
        <f>+'Proposed Rates'!D31</f>
        <v>11.68</v>
      </c>
      <c r="P8" s="58">
        <f>+D8*M8*12</f>
        <v>283.05518826745509</v>
      </c>
      <c r="Q8" s="58">
        <f>+D8*O8*12</f>
        <v>285.00729301412724</v>
      </c>
      <c r="R8" s="58">
        <f>+Q8-P8</f>
        <v>1.9521047466721484</v>
      </c>
      <c r="S8" s="58">
        <f>+D8*N8*12</f>
        <v>285.11929876101567</v>
      </c>
      <c r="T8" s="58">
        <f>+Q8-S8</f>
        <v>-0.11200574688842835</v>
      </c>
      <c r="U8" s="57">
        <f>+N8</f>
        <v>11.684590153149491</v>
      </c>
      <c r="V8" s="57">
        <f>+D8*U8*12</f>
        <v>285.11929876101567</v>
      </c>
      <c r="W8" s="57">
        <f>+V8-P8</f>
        <v>2.0641104935605767</v>
      </c>
      <c r="X8" s="109">
        <f>W8-K8</f>
        <v>2.4868995751603507E-14</v>
      </c>
      <c r="Y8" s="273">
        <f>(G8*E8*$D$158)*(References!$C$55/References!$G$58)-L8</f>
        <v>0</v>
      </c>
      <c r="AA8" s="55"/>
      <c r="AB8" s="55"/>
      <c r="AC8" s="55"/>
      <c r="AD8" s="55"/>
      <c r="AE8" s="55"/>
    </row>
    <row r="9" spans="1:31">
      <c r="A9" s="265"/>
      <c r="B9" s="92">
        <v>20</v>
      </c>
      <c r="C9" s="43" t="s">
        <v>178</v>
      </c>
      <c r="D9" s="44">
        <f>+SUMIF('Price Out'!D:D,C9,'Price Out'!AH:AH)</f>
        <v>13.842073725124949</v>
      </c>
      <c r="E9" s="56">
        <f>+References!B11</f>
        <v>4.333333333333333</v>
      </c>
      <c r="F9" s="44">
        <f t="shared" ref="F9:F52" si="1">+D9*E9*12</f>
        <v>719.78783370649739</v>
      </c>
      <c r="G9" s="44">
        <f>+References!B17</f>
        <v>20</v>
      </c>
      <c r="H9" s="44">
        <f t="shared" ref="H9:H49" si="2">+F9*G9</f>
        <v>14395.756674129949</v>
      </c>
      <c r="I9" s="44">
        <f t="shared" si="0"/>
        <v>14342.099790936989</v>
      </c>
      <c r="J9" s="58">
        <f>+I9*References!$C$55</f>
        <v>13.768415799299445</v>
      </c>
      <c r="K9" s="58">
        <f>+J9/References!$G$58</f>
        <v>14.050837635778596</v>
      </c>
      <c r="L9" s="58">
        <f t="shared" ref="L9:L49" si="3">+K9/F9*E9</f>
        <v>8.4590153149492295E-2</v>
      </c>
      <c r="M9" s="58">
        <f>+'Proposed Rates'!B12</f>
        <v>13.6</v>
      </c>
      <c r="N9" s="58">
        <f t="shared" ref="N9:N50" si="4">+L9+M9</f>
        <v>13.684590153149491</v>
      </c>
      <c r="O9" s="58">
        <f>+'Proposed Rates'!D12</f>
        <v>13.68</v>
      </c>
      <c r="P9" s="58">
        <f t="shared" ref="P9:P49" si="5">+D9*M9*12</f>
        <v>2259.0264319403914</v>
      </c>
      <c r="Q9" s="58">
        <f t="shared" ref="Q9:Q49" si="6">+D9*O9*12</f>
        <v>2272.314822716512</v>
      </c>
      <c r="R9" s="58">
        <f t="shared" ref="R9:R49" si="7">+Q9-P9</f>
        <v>13.28839077612065</v>
      </c>
      <c r="S9" s="58">
        <f t="shared" ref="S9:S49" si="8">+D9*N9*12</f>
        <v>2273.0772695761702</v>
      </c>
      <c r="T9" s="58">
        <f t="shared" ref="T9:T49" si="9">+Q9-S9</f>
        <v>-0.76244685965821191</v>
      </c>
      <c r="U9" s="57">
        <f t="shared" ref="U9:U49" si="10">+N9</f>
        <v>13.684590153149491</v>
      </c>
      <c r="V9" s="57">
        <f t="shared" ref="V9:V49" si="11">+D9*U9*12</f>
        <v>2273.0772695761702</v>
      </c>
      <c r="W9" s="57">
        <f t="shared" ref="W9:W49" si="12">+V9-P9</f>
        <v>14.050837635778862</v>
      </c>
      <c r="X9" s="109">
        <f t="shared" ref="X9:X62" si="13">W9-K9</f>
        <v>2.6645352591003757E-13</v>
      </c>
      <c r="Y9" s="273">
        <f>(G9*E9*$D$158)*(References!$C$55/References!$G$58)-L9</f>
        <v>0</v>
      </c>
    </row>
    <row r="10" spans="1:31">
      <c r="A10" s="265"/>
      <c r="B10" s="92">
        <v>20</v>
      </c>
      <c r="C10" s="43" t="s">
        <v>181</v>
      </c>
      <c r="D10" s="44">
        <f>+SUMIF('Price Out'!D:D,C10,'Price Out'!AH:AH)</f>
        <v>1.1666666666666667</v>
      </c>
      <c r="E10" s="56">
        <f>+References!B13</f>
        <v>1</v>
      </c>
      <c r="F10" s="44">
        <f t="shared" si="1"/>
        <v>14</v>
      </c>
      <c r="G10" s="44">
        <f>+References!B18</f>
        <v>34</v>
      </c>
      <c r="H10" s="44">
        <f t="shared" si="2"/>
        <v>476</v>
      </c>
      <c r="I10" s="44">
        <f t="shared" si="0"/>
        <v>474.22581910919996</v>
      </c>
      <c r="J10" s="58">
        <f>+I10*References!$C$55</f>
        <v>0.45525678634482986</v>
      </c>
      <c r="K10" s="58">
        <f>+J10/References!$G$58</f>
        <v>0.46459514883644237</v>
      </c>
      <c r="L10" s="58">
        <f t="shared" si="3"/>
        <v>3.3185367774031596E-2</v>
      </c>
      <c r="M10" s="58">
        <f>+'Proposed Rates'!B32</f>
        <v>6.5299999999999994</v>
      </c>
      <c r="N10" s="58">
        <f t="shared" si="4"/>
        <v>6.5631853677740306</v>
      </c>
      <c r="O10" s="58">
        <f>+'Proposed Rates'!D32</f>
        <v>6.56</v>
      </c>
      <c r="P10" s="58">
        <f t="shared" si="5"/>
        <v>91.42</v>
      </c>
      <c r="Q10" s="58">
        <f t="shared" si="6"/>
        <v>91.84</v>
      </c>
      <c r="R10" s="58">
        <f t="shared" si="7"/>
        <v>0.42000000000000171</v>
      </c>
      <c r="S10" s="58">
        <f t="shared" si="8"/>
        <v>91.884595148836439</v>
      </c>
      <c r="T10" s="58">
        <f t="shared" si="9"/>
        <v>-4.4595148836435783E-2</v>
      </c>
      <c r="U10" s="57">
        <f t="shared" si="10"/>
        <v>6.5631853677740306</v>
      </c>
      <c r="V10" s="57">
        <f t="shared" si="11"/>
        <v>91.884595148836439</v>
      </c>
      <c r="W10" s="57">
        <f t="shared" si="12"/>
        <v>0.46459514883643749</v>
      </c>
      <c r="X10" s="109">
        <f t="shared" si="13"/>
        <v>-4.8849813083506888E-15</v>
      </c>
      <c r="Y10" s="273">
        <f>(G10*E10*$D$158)*(References!$C$55/References!$G$58)-L10</f>
        <v>0</v>
      </c>
    </row>
    <row r="11" spans="1:31">
      <c r="A11" s="265"/>
      <c r="B11" s="92">
        <v>20</v>
      </c>
      <c r="C11" s="43" t="s">
        <v>184</v>
      </c>
      <c r="D11" s="44">
        <f>+SUMIF('Price Out'!D:D,C11,'Price Out'!AH:AH)</f>
        <v>9.6656225139220346</v>
      </c>
      <c r="E11" s="56">
        <f>+References!B13</f>
        <v>1</v>
      </c>
      <c r="F11" s="44">
        <f t="shared" si="1"/>
        <v>115.98747016706442</v>
      </c>
      <c r="G11" s="44">
        <f>+References!B18</f>
        <v>34</v>
      </c>
      <c r="H11" s="44">
        <f t="shared" si="2"/>
        <v>3943.5739856801902</v>
      </c>
      <c r="I11" s="44">
        <f t="shared" si="0"/>
        <v>3928.8752175985724</v>
      </c>
      <c r="J11" s="58">
        <f>+I11*References!$C$55</f>
        <v>3.771720208894612</v>
      </c>
      <c r="K11" s="58">
        <f>+J11/References!$G$58</f>
        <v>3.8490868546735504</v>
      </c>
      <c r="L11" s="58">
        <f t="shared" si="3"/>
        <v>3.3185367774031596E-2</v>
      </c>
      <c r="M11" s="58">
        <f>+'Proposed Rates'!B13</f>
        <v>8.5299999999999994</v>
      </c>
      <c r="N11" s="58">
        <f t="shared" si="4"/>
        <v>8.5631853677740306</v>
      </c>
      <c r="O11" s="58">
        <f>+'Proposed Rates'!D13</f>
        <v>8.5599999999999987</v>
      </c>
      <c r="P11" s="58">
        <f t="shared" si="5"/>
        <v>989.37312052505945</v>
      </c>
      <c r="Q11" s="58">
        <f t="shared" si="6"/>
        <v>992.85274463007136</v>
      </c>
      <c r="R11" s="58">
        <f t="shared" si="7"/>
        <v>3.4796241050119079</v>
      </c>
      <c r="S11" s="58">
        <f t="shared" si="8"/>
        <v>993.22220737973294</v>
      </c>
      <c r="T11" s="58">
        <f t="shared" si="9"/>
        <v>-0.36946274966157944</v>
      </c>
      <c r="U11" s="57">
        <f t="shared" si="10"/>
        <v>8.5631853677740306</v>
      </c>
      <c r="V11" s="57">
        <f t="shared" si="11"/>
        <v>993.22220737973294</v>
      </c>
      <c r="W11" s="57">
        <f t="shared" si="12"/>
        <v>3.8490868546734873</v>
      </c>
      <c r="X11" s="109">
        <f t="shared" si="13"/>
        <v>-6.3060667798708891E-14</v>
      </c>
      <c r="Y11" s="273">
        <f>(G11*E11*$D$158)*(References!$C$55/References!$G$58)-L11</f>
        <v>0</v>
      </c>
    </row>
    <row r="12" spans="1:31">
      <c r="A12" s="265"/>
      <c r="B12" s="92">
        <v>20</v>
      </c>
      <c r="C12" s="43" t="s">
        <v>186</v>
      </c>
      <c r="D12" s="44">
        <f>+SUMIF('Price Out'!D:D,C12,'Price Out'!AH:AH)</f>
        <v>63.738571055381406</v>
      </c>
      <c r="E12" s="56">
        <f>+References!B13</f>
        <v>1</v>
      </c>
      <c r="F12" s="44">
        <f t="shared" si="1"/>
        <v>764.86285266457685</v>
      </c>
      <c r="G12" s="44">
        <f>+References!B18</f>
        <v>34</v>
      </c>
      <c r="H12" s="44">
        <f t="shared" si="2"/>
        <v>26005.336990595613</v>
      </c>
      <c r="I12" s="44">
        <f t="shared" si="0"/>
        <v>25908.408057932735</v>
      </c>
      <c r="J12" s="58">
        <f>+I12*References!$C$55</f>
        <v>24.872071735615311</v>
      </c>
      <c r="K12" s="58">
        <f>+J12/References!$G$58</f>
        <v>25.382255062368927</v>
      </c>
      <c r="L12" s="58">
        <f t="shared" si="3"/>
        <v>3.3185367774031596E-2</v>
      </c>
      <c r="M12" s="58">
        <f>+'Proposed Rates'!B32</f>
        <v>6.5299999999999994</v>
      </c>
      <c r="N12" s="58">
        <f t="shared" si="4"/>
        <v>6.5631853677740306</v>
      </c>
      <c r="O12" s="58">
        <f>+'Proposed Rates'!D32</f>
        <v>6.56</v>
      </c>
      <c r="P12" s="58">
        <f t="shared" si="5"/>
        <v>4994.5544278996867</v>
      </c>
      <c r="Q12" s="58">
        <f t="shared" si="6"/>
        <v>5017.5003134796243</v>
      </c>
      <c r="R12" s="58">
        <f t="shared" si="7"/>
        <v>22.945885579937567</v>
      </c>
      <c r="S12" s="58">
        <f t="shared" si="8"/>
        <v>5019.9366829620558</v>
      </c>
      <c r="T12" s="58">
        <f t="shared" si="9"/>
        <v>-2.4363694824314734</v>
      </c>
      <c r="U12" s="57">
        <f t="shared" si="10"/>
        <v>6.5631853677740306</v>
      </c>
      <c r="V12" s="57">
        <f t="shared" si="11"/>
        <v>5019.9366829620558</v>
      </c>
      <c r="W12" s="57">
        <f t="shared" si="12"/>
        <v>25.38225506236904</v>
      </c>
      <c r="X12" s="109">
        <f t="shared" si="13"/>
        <v>1.1368683772161603E-13</v>
      </c>
      <c r="Y12" s="273">
        <f>(G12*E12*$D$158)*(References!$C$55/References!$G$58)-L12</f>
        <v>0</v>
      </c>
    </row>
    <row r="13" spans="1:31">
      <c r="A13" s="265"/>
      <c r="B13" s="92">
        <v>20</v>
      </c>
      <c r="C13" s="107" t="s">
        <v>188</v>
      </c>
      <c r="D13" s="44">
        <f>+SUMIF('Price Out'!D:D,C13,'Price Out'!AH:AH)</f>
        <v>224.36253650386763</v>
      </c>
      <c r="E13" s="46">
        <f>+References!B11</f>
        <v>4.333333333333333</v>
      </c>
      <c r="F13" s="108">
        <f t="shared" si="1"/>
        <v>11666.851898201116</v>
      </c>
      <c r="G13" s="108">
        <f>+References!B18</f>
        <v>34</v>
      </c>
      <c r="H13" s="108">
        <f t="shared" si="2"/>
        <v>396672.9645388379</v>
      </c>
      <c r="I13" s="108">
        <f t="shared" si="0"/>
        <v>395194.45698929625</v>
      </c>
      <c r="J13" s="100">
        <f>+I13*References!$C$55</f>
        <v>379.38667870972267</v>
      </c>
      <c r="K13" s="100">
        <f>+J13/References!$G$58</f>
        <v>387.16877100696263</v>
      </c>
      <c r="L13" s="100">
        <f t="shared" si="3"/>
        <v>0.1438032603541369</v>
      </c>
      <c r="M13" s="100">
        <f>+'Proposed Rates'!B14</f>
        <v>18.73</v>
      </c>
      <c r="N13" s="100">
        <f t="shared" si="4"/>
        <v>18.873803260354137</v>
      </c>
      <c r="O13" s="100">
        <f>+'Proposed Rates'!D14</f>
        <v>18.87</v>
      </c>
      <c r="P13" s="100">
        <f t="shared" si="5"/>
        <v>50427.723704609285</v>
      </c>
      <c r="Q13" s="100">
        <f t="shared" si="6"/>
        <v>50804.652765935782</v>
      </c>
      <c r="R13" s="100">
        <f t="shared" si="7"/>
        <v>376.92906132649659</v>
      </c>
      <c r="S13" s="100">
        <f t="shared" si="8"/>
        <v>50814.892475616245</v>
      </c>
      <c r="T13" s="100">
        <f t="shared" si="9"/>
        <v>-10.23970968046342</v>
      </c>
      <c r="U13" s="57">
        <f t="shared" si="10"/>
        <v>18.873803260354137</v>
      </c>
      <c r="V13" s="57">
        <f t="shared" si="11"/>
        <v>50814.892475616245</v>
      </c>
      <c r="W13" s="57">
        <f t="shared" si="12"/>
        <v>387.16877100696001</v>
      </c>
      <c r="X13" s="109">
        <f t="shared" si="13"/>
        <v>-2.6147972675971687E-12</v>
      </c>
      <c r="Y13" s="273">
        <f>(G13*E13*$D$158)*(References!$C$55/References!$G$58)-L13</f>
        <v>0</v>
      </c>
    </row>
    <row r="14" spans="1:31">
      <c r="A14" s="265"/>
      <c r="B14" s="92">
        <v>20</v>
      </c>
      <c r="C14" s="107" t="s">
        <v>190</v>
      </c>
      <c r="D14" s="44">
        <f>+SUMIF('Price Out'!D:D,C14,'Price Out'!AH:AH)</f>
        <v>412.17545903485569</v>
      </c>
      <c r="E14" s="46">
        <f>+References!B11</f>
        <v>4.333333333333333</v>
      </c>
      <c r="F14" s="108">
        <f t="shared" si="1"/>
        <v>21433.123869812494</v>
      </c>
      <c r="G14" s="108">
        <f>+References!B18</f>
        <v>34</v>
      </c>
      <c r="H14" s="108">
        <f t="shared" si="2"/>
        <v>728726.21157362475</v>
      </c>
      <c r="I14" s="108">
        <f t="shared" si="0"/>
        <v>726010.05165934109</v>
      </c>
      <c r="J14" s="100">
        <f>+I14*References!$C$55</f>
        <v>696.96964959296429</v>
      </c>
      <c r="K14" s="100">
        <f>+J14/References!$G$58</f>
        <v>711.26609816610301</v>
      </c>
      <c r="L14" s="100">
        <f t="shared" si="3"/>
        <v>0.14380326035413693</v>
      </c>
      <c r="M14" s="100">
        <f>+'Proposed Rates'!B33</f>
        <v>16.73</v>
      </c>
      <c r="N14" s="100">
        <f t="shared" si="4"/>
        <v>16.873803260354137</v>
      </c>
      <c r="O14" s="100">
        <f>+'Proposed Rates'!D33</f>
        <v>16.87</v>
      </c>
      <c r="P14" s="100">
        <f t="shared" si="5"/>
        <v>82748.345155837625</v>
      </c>
      <c r="Q14" s="100">
        <f t="shared" si="6"/>
        <v>83440.799927016196</v>
      </c>
      <c r="R14" s="100">
        <f t="shared" si="7"/>
        <v>692.45477117857081</v>
      </c>
      <c r="S14" s="100">
        <f t="shared" si="8"/>
        <v>83459.611254003728</v>
      </c>
      <c r="T14" s="100">
        <f t="shared" si="9"/>
        <v>-18.811326987532084</v>
      </c>
      <c r="U14" s="57">
        <f t="shared" si="10"/>
        <v>16.873803260354137</v>
      </c>
      <c r="V14" s="57">
        <f t="shared" si="11"/>
        <v>83459.611254003728</v>
      </c>
      <c r="W14" s="57">
        <f t="shared" si="12"/>
        <v>711.26609816610289</v>
      </c>
      <c r="X14" s="109">
        <f t="shared" si="13"/>
        <v>0</v>
      </c>
      <c r="Y14" s="273">
        <f>(G14*E14*$D$158)*(References!$C$55/References!$G$58)-L14</f>
        <v>0</v>
      </c>
    </row>
    <row r="15" spans="1:31">
      <c r="A15" s="265"/>
      <c r="B15" s="92">
        <v>20</v>
      </c>
      <c r="C15" s="107" t="s">
        <v>192</v>
      </c>
      <c r="D15" s="44">
        <f>+SUMIF('Price Out'!D:D,C15,'Price Out'!AH:AH)</f>
        <v>18.114378220565477</v>
      </c>
      <c r="E15" s="46">
        <f>+References!B11</f>
        <v>4.333333333333333</v>
      </c>
      <c r="F15" s="108">
        <f t="shared" si="1"/>
        <v>941.94766746940479</v>
      </c>
      <c r="G15" s="108">
        <f>+References!B19</f>
        <v>51</v>
      </c>
      <c r="H15" s="108">
        <f t="shared" si="2"/>
        <v>48039.331040939644</v>
      </c>
      <c r="I15" s="108">
        <f t="shared" si="0"/>
        <v>47860.275446108441</v>
      </c>
      <c r="J15" s="100">
        <f>+I15*References!$C$55</f>
        <v>45.945864428263889</v>
      </c>
      <c r="K15" s="100">
        <f>+J15/References!$G$58</f>
        <v>46.88831965329512</v>
      </c>
      <c r="L15" s="100">
        <f t="shared" si="3"/>
        <v>0.21570489053120534</v>
      </c>
      <c r="M15" s="100">
        <f>+'Proposed Rates'!B15</f>
        <v>27.72</v>
      </c>
      <c r="N15" s="100">
        <f t="shared" si="4"/>
        <v>27.935704890531206</v>
      </c>
      <c r="O15" s="100">
        <f>+'Proposed Rates'!D15</f>
        <v>27.939999999999998</v>
      </c>
      <c r="P15" s="100">
        <f t="shared" si="5"/>
        <v>6025.5667712889008</v>
      </c>
      <c r="Q15" s="100">
        <f t="shared" si="6"/>
        <v>6073.3887297911924</v>
      </c>
      <c r="R15" s="100">
        <f t="shared" si="7"/>
        <v>47.821958502291636</v>
      </c>
      <c r="S15" s="100">
        <f t="shared" si="8"/>
        <v>6072.455090942196</v>
      </c>
      <c r="T15" s="100">
        <f t="shared" si="9"/>
        <v>0.933638848996452</v>
      </c>
      <c r="U15" s="57">
        <f t="shared" si="10"/>
        <v>27.935704890531206</v>
      </c>
      <c r="V15" s="57">
        <f t="shared" si="11"/>
        <v>6072.455090942196</v>
      </c>
      <c r="W15" s="57">
        <f t="shared" si="12"/>
        <v>46.888319653295184</v>
      </c>
      <c r="X15" s="109">
        <f t="shared" si="13"/>
        <v>6.3948846218409017E-14</v>
      </c>
      <c r="Y15" s="273">
        <f>(G15*E15*$D$158)*(References!$C$55/References!$G$58)-L15</f>
        <v>0</v>
      </c>
    </row>
    <row r="16" spans="1:31">
      <c r="A16" s="265"/>
      <c r="B16" s="92">
        <v>20</v>
      </c>
      <c r="C16" s="107" t="s">
        <v>194</v>
      </c>
      <c r="D16" s="44">
        <f>+SUMIF('Price Out'!D:D,C16,'Price Out'!AH:AH)</f>
        <v>14.911529223378702</v>
      </c>
      <c r="E16" s="46">
        <f>+References!B11</f>
        <v>4.333333333333333</v>
      </c>
      <c r="F16" s="108">
        <f t="shared" si="1"/>
        <v>775.3995196156925</v>
      </c>
      <c r="G16" s="108">
        <f>+References!B19</f>
        <v>51</v>
      </c>
      <c r="H16" s="108">
        <f t="shared" si="2"/>
        <v>39545.375500400318</v>
      </c>
      <c r="I16" s="108">
        <f t="shared" si="0"/>
        <v>39397.97917785342</v>
      </c>
      <c r="J16" s="100">
        <f>+I16*References!$C$55</f>
        <v>37.822060010739108</v>
      </c>
      <c r="K16" s="100">
        <f>+J16/References!$G$58</f>
        <v>38.597877345381271</v>
      </c>
      <c r="L16" s="100">
        <f t="shared" si="3"/>
        <v>0.21570489053120534</v>
      </c>
      <c r="M16" s="100">
        <f>+'Proposed Rates'!B34</f>
        <v>25.72</v>
      </c>
      <c r="N16" s="100">
        <f t="shared" si="4"/>
        <v>25.935704890531206</v>
      </c>
      <c r="O16" s="100">
        <f>+'Proposed Rates'!D34</f>
        <v>25.939999999999998</v>
      </c>
      <c r="P16" s="100">
        <f t="shared" si="5"/>
        <v>4602.2943795036026</v>
      </c>
      <c r="Q16" s="100">
        <f t="shared" si="6"/>
        <v>4641.6608166533224</v>
      </c>
      <c r="R16" s="100">
        <f t="shared" si="7"/>
        <v>39.366437149719786</v>
      </c>
      <c r="S16" s="100">
        <f t="shared" si="8"/>
        <v>4640.8922568489843</v>
      </c>
      <c r="T16" s="100">
        <f t="shared" si="9"/>
        <v>0.76855980433811055</v>
      </c>
      <c r="U16" s="57">
        <f t="shared" si="10"/>
        <v>25.935704890531206</v>
      </c>
      <c r="V16" s="57">
        <f t="shared" si="11"/>
        <v>4640.8922568489843</v>
      </c>
      <c r="W16" s="57">
        <f t="shared" si="12"/>
        <v>38.597877345381676</v>
      </c>
      <c r="X16" s="109">
        <f t="shared" si="13"/>
        <v>4.0500935938325711E-13</v>
      </c>
      <c r="Y16" s="273">
        <f>(G16*E16*$D$158)*(References!$C$55/References!$G$58)-L16</f>
        <v>0</v>
      </c>
    </row>
    <row r="17" spans="1:31">
      <c r="A17" s="265"/>
      <c r="B17" s="92">
        <v>20</v>
      </c>
      <c r="C17" s="107" t="s">
        <v>196</v>
      </c>
      <c r="D17" s="44">
        <f>+SUMIF('Price Out'!D:D,C17,'Price Out'!AH:AH)</f>
        <v>2</v>
      </c>
      <c r="E17" s="46">
        <f>+References!B11</f>
        <v>4.333333333333333</v>
      </c>
      <c r="F17" s="108">
        <f t="shared" si="1"/>
        <v>104</v>
      </c>
      <c r="G17" s="108">
        <f>+References!B20</f>
        <v>77</v>
      </c>
      <c r="H17" s="108">
        <f t="shared" si="2"/>
        <v>8008</v>
      </c>
      <c r="I17" s="108">
        <f t="shared" si="0"/>
        <v>7978.1520156018341</v>
      </c>
      <c r="J17" s="100">
        <f>+I17*References!$C$55</f>
        <v>7.6590259349777252</v>
      </c>
      <c r="K17" s="100">
        <f>+J17/References!$G$58</f>
        <v>7.8161301510130885</v>
      </c>
      <c r="L17" s="100">
        <f t="shared" si="3"/>
        <v>0.32567208962554534</v>
      </c>
      <c r="M17" s="100">
        <f>+'Proposed Rates'!B16</f>
        <v>36.979999999999997</v>
      </c>
      <c r="N17" s="100">
        <f t="shared" si="4"/>
        <v>37.305672089625546</v>
      </c>
      <c r="O17" s="100">
        <f>+'Proposed Rates'!D16</f>
        <v>37.309999999999995</v>
      </c>
      <c r="P17" s="100">
        <f t="shared" si="5"/>
        <v>887.52</v>
      </c>
      <c r="Q17" s="100">
        <f t="shared" si="6"/>
        <v>895.43999999999983</v>
      </c>
      <c r="R17" s="100">
        <f t="shared" si="7"/>
        <v>7.9199999999998454</v>
      </c>
      <c r="S17" s="100">
        <f t="shared" si="8"/>
        <v>895.33613015101309</v>
      </c>
      <c r="T17" s="100">
        <f t="shared" si="9"/>
        <v>0.1038698489867329</v>
      </c>
      <c r="U17" s="57">
        <f t="shared" si="10"/>
        <v>37.305672089625546</v>
      </c>
      <c r="V17" s="57">
        <f t="shared" si="11"/>
        <v>895.33613015101309</v>
      </c>
      <c r="W17" s="57">
        <f t="shared" si="12"/>
        <v>7.8161301510131125</v>
      </c>
      <c r="X17" s="109">
        <f t="shared" si="13"/>
        <v>2.3980817331903381E-14</v>
      </c>
      <c r="Y17" s="273">
        <f>(G17*E17*$D$158)*(References!$C$55/References!$G$58)-L17</f>
        <v>0</v>
      </c>
    </row>
    <row r="18" spans="1:31">
      <c r="A18" s="265"/>
      <c r="B18" s="92">
        <v>20</v>
      </c>
      <c r="C18" s="107" t="s">
        <v>198</v>
      </c>
      <c r="D18" s="44">
        <f>+SUMIF('Price Out'!D:D,C18,'Price Out'!AH:AH)</f>
        <v>2.6033434090238869</v>
      </c>
      <c r="E18" s="46">
        <f>+References!B11</f>
        <v>4.333333333333333</v>
      </c>
      <c r="F18" s="108">
        <f t="shared" si="1"/>
        <v>135.37385726924211</v>
      </c>
      <c r="G18" s="108">
        <f>+References!B20</f>
        <v>77</v>
      </c>
      <c r="H18" s="108">
        <f t="shared" si="2"/>
        <v>10423.787009731643</v>
      </c>
      <c r="I18" s="108">
        <f t="shared" si="0"/>
        <v>10384.934733003836</v>
      </c>
      <c r="J18" s="100">
        <f>+I18*References!$C$55</f>
        <v>9.969537343683637</v>
      </c>
      <c r="K18" s="100">
        <f>+J18/References!$G$58</f>
        <v>10.174035456356401</v>
      </c>
      <c r="L18" s="100">
        <f t="shared" si="3"/>
        <v>0.32567208962554534</v>
      </c>
      <c r="M18" s="100">
        <f>+'Proposed Rates'!B35</f>
        <v>34.979999999999997</v>
      </c>
      <c r="N18" s="100">
        <f t="shared" si="4"/>
        <v>35.305672089625546</v>
      </c>
      <c r="O18" s="100">
        <f>+'Proposed Rates'!D35</f>
        <v>35.309999999999995</v>
      </c>
      <c r="P18" s="100">
        <f t="shared" si="5"/>
        <v>1092.7794293718666</v>
      </c>
      <c r="Q18" s="100">
        <f t="shared" si="6"/>
        <v>1103.0886692716012</v>
      </c>
      <c r="R18" s="100">
        <f t="shared" si="7"/>
        <v>10.309239899734621</v>
      </c>
      <c r="S18" s="100">
        <f t="shared" si="8"/>
        <v>1102.9534648282233</v>
      </c>
      <c r="T18" s="100">
        <f t="shared" si="9"/>
        <v>0.1352044433779156</v>
      </c>
      <c r="U18" s="57">
        <f t="shared" si="10"/>
        <v>35.305672089625546</v>
      </c>
      <c r="V18" s="57">
        <f t="shared" si="11"/>
        <v>1102.9534648282233</v>
      </c>
      <c r="W18" s="57">
        <f t="shared" si="12"/>
        <v>10.174035456356705</v>
      </c>
      <c r="X18" s="109">
        <f t="shared" si="13"/>
        <v>3.0375701953744283E-13</v>
      </c>
      <c r="Y18" s="273">
        <f>(G18*E18*$D$158)*(References!$C$55/References!$G$58)-L18</f>
        <v>0</v>
      </c>
    </row>
    <row r="19" spans="1:31">
      <c r="A19" s="265"/>
      <c r="B19" s="92">
        <v>20</v>
      </c>
      <c r="C19" s="107" t="s">
        <v>200</v>
      </c>
      <c r="D19" s="44">
        <f>+SUMIF('Price Out'!D:D,C19,'Price Out'!AH:AH)</f>
        <v>0.99921418949259089</v>
      </c>
      <c r="E19" s="46">
        <f>+References!B11</f>
        <v>4.333333333333333</v>
      </c>
      <c r="F19" s="108">
        <f t="shared" si="1"/>
        <v>51.95913785361472</v>
      </c>
      <c r="G19" s="108">
        <f>+References!B21</f>
        <v>97</v>
      </c>
      <c r="H19" s="108">
        <f t="shared" si="2"/>
        <v>5040.0363718006283</v>
      </c>
      <c r="I19" s="108">
        <f t="shared" si="0"/>
        <v>5021.25079150696</v>
      </c>
      <c r="J19" s="100">
        <f>+I19*References!$C$55</f>
        <v>4.8204007598466596</v>
      </c>
      <c r="K19" s="100">
        <f>+J19/References!$G$58</f>
        <v>4.9192782527264614</v>
      </c>
      <c r="L19" s="100">
        <f t="shared" si="3"/>
        <v>0.41026224277503764</v>
      </c>
      <c r="M19" s="100">
        <f>+'Proposed Rates'!B17</f>
        <v>45.89</v>
      </c>
      <c r="N19" s="100">
        <f t="shared" si="4"/>
        <v>46.300262242775041</v>
      </c>
      <c r="O19" s="100">
        <f>+'Proposed Rates'!D17</f>
        <v>46.3</v>
      </c>
      <c r="P19" s="100">
        <f t="shared" si="5"/>
        <v>550.24726986977998</v>
      </c>
      <c r="Q19" s="100">
        <f t="shared" si="6"/>
        <v>555.16340368208353</v>
      </c>
      <c r="R19" s="100">
        <f t="shared" si="7"/>
        <v>4.9161338123035421</v>
      </c>
      <c r="S19" s="100">
        <f t="shared" si="8"/>
        <v>555.16654812250636</v>
      </c>
      <c r="T19" s="100">
        <f t="shared" si="9"/>
        <v>-3.1444404228295753E-3</v>
      </c>
      <c r="U19" s="57">
        <f t="shared" si="10"/>
        <v>46.300262242775041</v>
      </c>
      <c r="V19" s="57">
        <f t="shared" si="11"/>
        <v>555.16654812250636</v>
      </c>
      <c r="W19" s="57">
        <f t="shared" si="12"/>
        <v>4.9192782527263716</v>
      </c>
      <c r="X19" s="109">
        <f t="shared" si="13"/>
        <v>-8.9706020389712648E-14</v>
      </c>
      <c r="Y19" s="273">
        <f>(G19*E19*$D$158)*(References!$C$55/References!$G$58)-L19</f>
        <v>0</v>
      </c>
    </row>
    <row r="20" spans="1:31">
      <c r="A20" s="265"/>
      <c r="B20" s="92">
        <v>20</v>
      </c>
      <c r="C20" s="107" t="s">
        <v>202</v>
      </c>
      <c r="D20" s="44">
        <f>+SUMIF('Price Out'!D:D,C20,'Price Out'!AH:AH)</f>
        <v>29.296810216608645</v>
      </c>
      <c r="E20" s="46">
        <f>+References!B12</f>
        <v>2.1666666666666665</v>
      </c>
      <c r="F20" s="108">
        <f t="shared" si="1"/>
        <v>761.71706563182477</v>
      </c>
      <c r="G20" s="108">
        <f>+References!B18</f>
        <v>34</v>
      </c>
      <c r="H20" s="108">
        <f t="shared" si="2"/>
        <v>25898.380231482042</v>
      </c>
      <c r="I20" s="108">
        <f t="shared" si="0"/>
        <v>25801.849955622023</v>
      </c>
      <c r="J20" s="100">
        <f>+I20*References!$C$55</f>
        <v>24.769775957397027</v>
      </c>
      <c r="K20" s="100">
        <f>+J20/References!$G$58</f>
        <v>25.277860962748267</v>
      </c>
      <c r="L20" s="100">
        <f t="shared" si="3"/>
        <v>7.1901630177068451E-2</v>
      </c>
      <c r="M20" s="100">
        <f>+'Proposed Rates'!B19</f>
        <v>13.9</v>
      </c>
      <c r="N20" s="100">
        <f t="shared" si="4"/>
        <v>13.971901630177069</v>
      </c>
      <c r="O20" s="100">
        <f>+'Proposed Rates'!D19</f>
        <v>13.97</v>
      </c>
      <c r="P20" s="100">
        <f t="shared" si="5"/>
        <v>4886.7079441303222</v>
      </c>
      <c r="Q20" s="100">
        <f t="shared" si="6"/>
        <v>4911.3172647122738</v>
      </c>
      <c r="R20" s="100">
        <f t="shared" si="7"/>
        <v>24.609320581951579</v>
      </c>
      <c r="S20" s="100">
        <f t="shared" si="8"/>
        <v>4911.9858050930707</v>
      </c>
      <c r="T20" s="100">
        <f t="shared" si="9"/>
        <v>-0.66854038079691236</v>
      </c>
      <c r="U20" s="57">
        <f t="shared" si="10"/>
        <v>13.971901630177069</v>
      </c>
      <c r="V20" s="57">
        <f t="shared" si="11"/>
        <v>4911.9858050930707</v>
      </c>
      <c r="W20" s="57">
        <f t="shared" si="12"/>
        <v>25.277860962748491</v>
      </c>
      <c r="X20" s="109">
        <f t="shared" si="13"/>
        <v>2.2382096176443156E-13</v>
      </c>
      <c r="Y20" s="273">
        <f>(G20*E20*$D$158)*(References!$C$55/References!$G$58)-L20</f>
        <v>0</v>
      </c>
    </row>
    <row r="21" spans="1:31">
      <c r="A21" s="265"/>
      <c r="B21" s="92">
        <v>20</v>
      </c>
      <c r="C21" s="107" t="s">
        <v>204</v>
      </c>
      <c r="D21" s="44">
        <f>+SUMIF('Price Out'!D:D,C21,'Price Out'!AH:AH)</f>
        <v>117.6938743605816</v>
      </c>
      <c r="E21" s="46">
        <f>+References!B12</f>
        <v>2.1666666666666665</v>
      </c>
      <c r="F21" s="108">
        <f t="shared" si="1"/>
        <v>3060.0407333751214</v>
      </c>
      <c r="G21" s="108">
        <f>+References!B18</f>
        <v>34</v>
      </c>
      <c r="H21" s="108">
        <f t="shared" si="2"/>
        <v>104041.38493475413</v>
      </c>
      <c r="I21" s="108">
        <f t="shared" si="0"/>
        <v>103653.59452088099</v>
      </c>
      <c r="J21" s="100">
        <f>+I21*References!$C$55</f>
        <v>99.507450740045286</v>
      </c>
      <c r="K21" s="100">
        <f>+J21/References!$G$58</f>
        <v>101.54857714057076</v>
      </c>
      <c r="L21" s="100">
        <f t="shared" si="3"/>
        <v>7.1901630177068451E-2</v>
      </c>
      <c r="M21" s="100">
        <f>+'Proposed Rates'!B38</f>
        <v>11.9</v>
      </c>
      <c r="N21" s="100">
        <f t="shared" si="4"/>
        <v>11.971901630177069</v>
      </c>
      <c r="O21" s="100">
        <f>+'Proposed Rates'!D38</f>
        <v>11.97</v>
      </c>
      <c r="P21" s="100">
        <f t="shared" si="5"/>
        <v>16806.685258691054</v>
      </c>
      <c r="Q21" s="100">
        <f t="shared" si="6"/>
        <v>16905.548113153942</v>
      </c>
      <c r="R21" s="100">
        <f t="shared" si="7"/>
        <v>98.862854462888208</v>
      </c>
      <c r="S21" s="100">
        <f t="shared" si="8"/>
        <v>16908.233835831623</v>
      </c>
      <c r="T21" s="100">
        <f t="shared" si="9"/>
        <v>-2.6857226776810421</v>
      </c>
      <c r="U21" s="57">
        <f t="shared" si="10"/>
        <v>11.971901630177069</v>
      </c>
      <c r="V21" s="57">
        <f t="shared" si="11"/>
        <v>16908.233835831623</v>
      </c>
      <c r="W21" s="57">
        <f t="shared" si="12"/>
        <v>101.54857714056925</v>
      </c>
      <c r="X21" s="109">
        <f t="shared" si="13"/>
        <v>-1.5063505998114124E-12</v>
      </c>
      <c r="Y21" s="273">
        <f>(G21*E21*$D$158)*(References!$C$55/References!$G$58)-L21</f>
        <v>0</v>
      </c>
    </row>
    <row r="22" spans="1:31">
      <c r="A22" s="265"/>
      <c r="B22" s="92">
        <v>20</v>
      </c>
      <c r="C22" s="107" t="s">
        <v>206</v>
      </c>
      <c r="D22" s="44">
        <f>+SUMIF('Price Out'!D:D,C22,'Price Out'!AH:AH)</f>
        <v>7.5</v>
      </c>
      <c r="E22" s="46">
        <f>+References!B13</f>
        <v>1</v>
      </c>
      <c r="F22" s="108">
        <f t="shared" si="1"/>
        <v>90</v>
      </c>
      <c r="G22" s="108">
        <f>+References!B25</f>
        <v>47</v>
      </c>
      <c r="H22" s="108">
        <f t="shared" si="2"/>
        <v>4230</v>
      </c>
      <c r="I22" s="108">
        <f t="shared" si="0"/>
        <v>4214.2336446048648</v>
      </c>
      <c r="J22" s="100">
        <f>+I22*References!$C$55</f>
        <v>4.0456642988206513</v>
      </c>
      <c r="K22" s="100">
        <f>+J22/References!$G$58</f>
        <v>4.1286501671809894</v>
      </c>
      <c r="L22" s="100">
        <f t="shared" si="3"/>
        <v>4.587389074645544E-2</v>
      </c>
      <c r="M22" s="100">
        <f>+'Proposed Rates'!B42</f>
        <v>9.7799999999999994</v>
      </c>
      <c r="N22" s="100">
        <f t="shared" si="4"/>
        <v>9.825873890746454</v>
      </c>
      <c r="O22" s="100">
        <f>+'Proposed Rates'!D42</f>
        <v>9.83</v>
      </c>
      <c r="P22" s="100">
        <f t="shared" si="5"/>
        <v>880.19999999999993</v>
      </c>
      <c r="Q22" s="100">
        <f t="shared" si="6"/>
        <v>884.69999999999993</v>
      </c>
      <c r="R22" s="100">
        <f t="shared" si="7"/>
        <v>4.5</v>
      </c>
      <c r="S22" s="100">
        <f t="shared" si="8"/>
        <v>884.32865016718074</v>
      </c>
      <c r="T22" s="100">
        <f t="shared" si="9"/>
        <v>0.37134983281919176</v>
      </c>
      <c r="U22" s="57">
        <f t="shared" si="10"/>
        <v>9.825873890746454</v>
      </c>
      <c r="V22" s="57">
        <f t="shared" si="11"/>
        <v>884.32865016718074</v>
      </c>
      <c r="W22" s="57">
        <f t="shared" si="12"/>
        <v>4.1286501671808082</v>
      </c>
      <c r="X22" s="109">
        <f t="shared" si="13"/>
        <v>-1.8118839761882555E-13</v>
      </c>
      <c r="Y22" s="273">
        <f>(G22*E22*$D$158)*(References!$C$55/References!$G$58)-L22</f>
        <v>0</v>
      </c>
    </row>
    <row r="23" spans="1:31">
      <c r="A23" s="265"/>
      <c r="B23" s="92">
        <v>20</v>
      </c>
      <c r="C23" s="107" t="s">
        <v>208</v>
      </c>
      <c r="D23" s="44">
        <f>+SUMIF('Price Out'!D:D,C23,'Price Out'!AH:AH)</f>
        <v>59.13315731039765</v>
      </c>
      <c r="E23" s="46">
        <f>+References!B13</f>
        <v>1</v>
      </c>
      <c r="F23" s="108">
        <f t="shared" si="1"/>
        <v>709.59788772477179</v>
      </c>
      <c r="G23" s="108">
        <f>+References!B25</f>
        <v>47</v>
      </c>
      <c r="H23" s="108">
        <f t="shared" si="2"/>
        <v>33351.100723064272</v>
      </c>
      <c r="I23" s="108">
        <f t="shared" si="0"/>
        <v>33226.792139891986</v>
      </c>
      <c r="J23" s="100">
        <f>+I23*References!$C$55</f>
        <v>31.897720454296159</v>
      </c>
      <c r="K23" s="100">
        <f>+J23/References!$G$58</f>
        <v>32.552015975401737</v>
      </c>
      <c r="L23" s="100">
        <f t="shared" si="3"/>
        <v>4.587389074645544E-2</v>
      </c>
      <c r="M23" s="100">
        <f>+'Proposed Rates'!B23</f>
        <v>11.78</v>
      </c>
      <c r="N23" s="100">
        <f t="shared" si="4"/>
        <v>11.825873890746454</v>
      </c>
      <c r="O23" s="100">
        <f>+'Proposed Rates'!D23</f>
        <v>11.83</v>
      </c>
      <c r="P23" s="100">
        <f t="shared" si="5"/>
        <v>8359.0631173978109</v>
      </c>
      <c r="Q23" s="100">
        <f t="shared" si="6"/>
        <v>8394.5430117840497</v>
      </c>
      <c r="R23" s="100">
        <f t="shared" si="7"/>
        <v>35.479894386238811</v>
      </c>
      <c r="S23" s="100">
        <f t="shared" si="8"/>
        <v>8391.6151333732123</v>
      </c>
      <c r="T23" s="100">
        <f t="shared" si="9"/>
        <v>2.9278784108373657</v>
      </c>
      <c r="U23" s="57">
        <f t="shared" si="10"/>
        <v>11.825873890746454</v>
      </c>
      <c r="V23" s="57">
        <f t="shared" si="11"/>
        <v>8391.6151333732123</v>
      </c>
      <c r="W23" s="57">
        <f t="shared" si="12"/>
        <v>32.552015975401446</v>
      </c>
      <c r="X23" s="109">
        <f t="shared" si="13"/>
        <v>-2.9132252166164108E-13</v>
      </c>
      <c r="Y23" s="273">
        <f>(G23*E23*$D$158)*(References!$C$55/References!$G$58)-L23</f>
        <v>0</v>
      </c>
    </row>
    <row r="24" spans="1:31">
      <c r="A24" s="265"/>
      <c r="B24" s="92">
        <v>20</v>
      </c>
      <c r="C24" s="107" t="s">
        <v>210</v>
      </c>
      <c r="D24" s="44">
        <f>+SUMIF('Price Out'!D:D,C24,'Price Out'!AH:AH)</f>
        <v>564.18227837078769</v>
      </c>
      <c r="E24" s="46">
        <f>+References!B13</f>
        <v>1</v>
      </c>
      <c r="F24" s="108">
        <f t="shared" si="1"/>
        <v>6770.1873404494527</v>
      </c>
      <c r="G24" s="108">
        <f>+References!B25</f>
        <v>47</v>
      </c>
      <c r="H24" s="108">
        <f t="shared" si="2"/>
        <v>318198.80500112427</v>
      </c>
      <c r="I24" s="108">
        <f t="shared" si="0"/>
        <v>317012.79189333349</v>
      </c>
      <c r="J24" s="100">
        <f>+I24*References!$C$55</f>
        <v>304.33228021759874</v>
      </c>
      <c r="K24" s="100">
        <f>+J24/References!$G$58</f>
        <v>310.57483438881388</v>
      </c>
      <c r="L24" s="100">
        <f t="shared" si="3"/>
        <v>4.5873890746455433E-2</v>
      </c>
      <c r="M24" s="100">
        <f>+'Proposed Rates'!B42</f>
        <v>9.7799999999999994</v>
      </c>
      <c r="N24" s="100">
        <f t="shared" si="4"/>
        <v>9.825873890746454</v>
      </c>
      <c r="O24" s="100">
        <f>+'Proposed Rates'!D42</f>
        <v>9.83</v>
      </c>
      <c r="P24" s="100">
        <f t="shared" si="5"/>
        <v>66212.432189595638</v>
      </c>
      <c r="Q24" s="100">
        <f t="shared" si="6"/>
        <v>66550.941556618112</v>
      </c>
      <c r="R24" s="100">
        <f t="shared" si="7"/>
        <v>338.50936702247418</v>
      </c>
      <c r="S24" s="100">
        <f t="shared" si="8"/>
        <v>66523.00702398445</v>
      </c>
      <c r="T24" s="100">
        <f t="shared" si="9"/>
        <v>27.934532633662457</v>
      </c>
      <c r="U24" s="57">
        <f t="shared" si="10"/>
        <v>9.825873890746454</v>
      </c>
      <c r="V24" s="57">
        <f t="shared" si="11"/>
        <v>66523.00702398445</v>
      </c>
      <c r="W24" s="57">
        <f t="shared" si="12"/>
        <v>310.57483438881172</v>
      </c>
      <c r="X24" s="109">
        <f t="shared" si="13"/>
        <v>-2.1600499167107046E-12</v>
      </c>
      <c r="Y24" s="273">
        <f>(G24*E24*$D$158)*(References!$C$55/References!$G$58)-L24</f>
        <v>0</v>
      </c>
    </row>
    <row r="25" spans="1:31" s="72" customFormat="1">
      <c r="A25" s="265"/>
      <c r="B25" s="92">
        <v>20</v>
      </c>
      <c r="C25" s="107" t="s">
        <v>514</v>
      </c>
      <c r="D25" s="44">
        <f>+SUMIF('Price Out'!D:D,C25,'Price Out'!AH:AH)</f>
        <v>1.25</v>
      </c>
      <c r="E25" s="46">
        <f>+References!B13</f>
        <v>1</v>
      </c>
      <c r="F25" s="108">
        <f t="shared" si="1"/>
        <v>15</v>
      </c>
      <c r="G25" s="108">
        <f>+References!B25*2</f>
        <v>94</v>
      </c>
      <c r="H25" s="108">
        <f t="shared" ref="H25" si="14">+F25*G25</f>
        <v>1410</v>
      </c>
      <c r="I25" s="108">
        <f t="shared" si="0"/>
        <v>1404.7445482016217</v>
      </c>
      <c r="J25" s="100">
        <f>+I25*References!$C$55</f>
        <v>1.3485547662735506</v>
      </c>
      <c r="K25" s="100">
        <f>+J25/References!$G$58</f>
        <v>1.3762167223936632</v>
      </c>
      <c r="L25" s="100">
        <f t="shared" ref="L25" si="15">+K25/F25*E25</f>
        <v>9.1747781492910879E-2</v>
      </c>
      <c r="M25" s="100">
        <f>+'Proposed Rates'!B42*2</f>
        <v>19.559999999999999</v>
      </c>
      <c r="N25" s="100">
        <f t="shared" si="4"/>
        <v>19.651747781492908</v>
      </c>
      <c r="O25" s="100">
        <f>+'Proposed Rates'!D42*2</f>
        <v>19.66</v>
      </c>
      <c r="P25" s="100">
        <f t="shared" ref="P25" si="16">+D25*M25*12</f>
        <v>293.39999999999998</v>
      </c>
      <c r="Q25" s="100">
        <f t="shared" ref="Q25" si="17">+D25*O25*12</f>
        <v>294.89999999999998</v>
      </c>
      <c r="R25" s="100">
        <f t="shared" ref="R25" si="18">+Q25-P25</f>
        <v>1.5</v>
      </c>
      <c r="S25" s="100">
        <f t="shared" ref="S25" si="19">+D25*N25*12</f>
        <v>294.7762167223936</v>
      </c>
      <c r="T25" s="100">
        <f t="shared" ref="T25" si="20">+Q25-S25</f>
        <v>0.12378327760637831</v>
      </c>
      <c r="U25" s="57">
        <f t="shared" ref="U25" si="21">+N25</f>
        <v>19.651747781492908</v>
      </c>
      <c r="V25" s="57">
        <f t="shared" ref="V25" si="22">+D25*U25*12</f>
        <v>294.7762167223936</v>
      </c>
      <c r="W25" s="57">
        <f t="shared" ref="W25" si="23">+V25-P25</f>
        <v>1.3762167223936217</v>
      </c>
      <c r="X25" s="109">
        <f t="shared" ref="X25" si="24">W25-K25</f>
        <v>-4.1522341120980855E-14</v>
      </c>
      <c r="Y25" s="273">
        <f>(G25*E25*$D$158)*(References!$C$55/References!$G$58)-L25</f>
        <v>0</v>
      </c>
      <c r="AA25" s="55"/>
      <c r="AB25" s="55"/>
      <c r="AC25" s="55"/>
      <c r="AD25" s="55"/>
      <c r="AE25" s="55"/>
    </row>
    <row r="26" spans="1:31">
      <c r="A26" s="265"/>
      <c r="B26" s="92">
        <v>20</v>
      </c>
      <c r="C26" s="107" t="s">
        <v>212</v>
      </c>
      <c r="D26" s="44">
        <f>+SUMIF('Price Out'!D:D,C26,'Price Out'!AH:AH)</f>
        <v>13.196435635553883</v>
      </c>
      <c r="E26" s="46">
        <f>+References!B11</f>
        <v>4.333333333333333</v>
      </c>
      <c r="F26" s="108">
        <f t="shared" si="1"/>
        <v>686.21465304880178</v>
      </c>
      <c r="G26" s="108">
        <f>+References!B25</f>
        <v>47</v>
      </c>
      <c r="H26" s="108">
        <f t="shared" si="2"/>
        <v>32252.088693293685</v>
      </c>
      <c r="I26" s="108">
        <f t="shared" ref="I26:I50" si="25">+H26*$D$158</f>
        <v>32131.876425545721</v>
      </c>
      <c r="J26" s="100">
        <f>+I26*References!$C$55</f>
        <v>30.84660136852375</v>
      </c>
      <c r="K26" s="100">
        <f>+J26/References!$G$58</f>
        <v>31.479336022577559</v>
      </c>
      <c r="L26" s="100">
        <f t="shared" si="3"/>
        <v>0.1987868599013069</v>
      </c>
      <c r="M26" s="100">
        <f>+'Proposed Rates'!B44</f>
        <v>26.29</v>
      </c>
      <c r="N26" s="100">
        <f t="shared" si="4"/>
        <v>26.488786859901307</v>
      </c>
      <c r="O26" s="100">
        <f>+'Proposed Rates'!D44</f>
        <v>26.49</v>
      </c>
      <c r="P26" s="100">
        <f t="shared" si="5"/>
        <v>4163.2115143045385</v>
      </c>
      <c r="Q26" s="100">
        <f t="shared" si="6"/>
        <v>4194.882959829868</v>
      </c>
      <c r="R26" s="100">
        <f t="shared" si="7"/>
        <v>31.671445525329545</v>
      </c>
      <c r="S26" s="100">
        <f t="shared" si="8"/>
        <v>4194.690850327117</v>
      </c>
      <c r="T26" s="100">
        <f t="shared" si="9"/>
        <v>0.19210950275100913</v>
      </c>
      <c r="U26" s="57">
        <f t="shared" si="10"/>
        <v>26.488786859901307</v>
      </c>
      <c r="V26" s="57">
        <f t="shared" si="11"/>
        <v>4194.690850327117</v>
      </c>
      <c r="W26" s="57">
        <f t="shared" si="12"/>
        <v>31.479336022578536</v>
      </c>
      <c r="X26" s="109">
        <f t="shared" si="13"/>
        <v>9.7699626167013776E-13</v>
      </c>
      <c r="Y26" s="273">
        <f>(G26*E26*$D$158)*(References!$C$55/References!$G$58)-L26</f>
        <v>0</v>
      </c>
    </row>
    <row r="27" spans="1:31">
      <c r="A27" s="265"/>
      <c r="B27" s="92">
        <v>20</v>
      </c>
      <c r="C27" s="107" t="s">
        <v>214</v>
      </c>
      <c r="D27" s="44">
        <f>+SUMIF('Price Out'!D:D,C27,'Price Out'!AH:AH)</f>
        <v>155.33829097985776</v>
      </c>
      <c r="E27" s="46">
        <f>+References!B11</f>
        <v>4.333333333333333</v>
      </c>
      <c r="F27" s="108">
        <f t="shared" si="1"/>
        <v>8077.5911309526036</v>
      </c>
      <c r="G27" s="108">
        <f>+References!B25</f>
        <v>47</v>
      </c>
      <c r="H27" s="108">
        <f t="shared" si="2"/>
        <v>379646.78315477236</v>
      </c>
      <c r="I27" s="108">
        <f t="shared" si="25"/>
        <v>378231.7367935814</v>
      </c>
      <c r="J27" s="100">
        <f>+I27*References!$C$55</f>
        <v>363.10246732183646</v>
      </c>
      <c r="K27" s="100">
        <f>+J27/References!$G$58</f>
        <v>370.5505330358572</v>
      </c>
      <c r="L27" s="100">
        <f t="shared" si="3"/>
        <v>0.1987868599013069</v>
      </c>
      <c r="M27" s="100">
        <f>+'Proposed Rates'!B25</f>
        <v>28.29</v>
      </c>
      <c r="N27" s="100">
        <f t="shared" si="4"/>
        <v>28.488786859901307</v>
      </c>
      <c r="O27" s="100">
        <f>+'Proposed Rates'!D25</f>
        <v>28.49</v>
      </c>
      <c r="P27" s="100">
        <f t="shared" si="5"/>
        <v>52734.243021842107</v>
      </c>
      <c r="Q27" s="100">
        <f t="shared" si="6"/>
        <v>53107.054920193768</v>
      </c>
      <c r="R27" s="100">
        <f t="shared" si="7"/>
        <v>372.81189835166151</v>
      </c>
      <c r="S27" s="100">
        <f t="shared" si="8"/>
        <v>53104.793554877964</v>
      </c>
      <c r="T27" s="100">
        <f t="shared" si="9"/>
        <v>2.2613653158041416</v>
      </c>
      <c r="U27" s="57">
        <f t="shared" si="10"/>
        <v>28.488786859901307</v>
      </c>
      <c r="V27" s="57">
        <f t="shared" si="11"/>
        <v>53104.793554877964</v>
      </c>
      <c r="W27" s="57">
        <f t="shared" si="12"/>
        <v>370.55053303585737</v>
      </c>
      <c r="X27" s="109">
        <f t="shared" si="13"/>
        <v>0</v>
      </c>
      <c r="Y27" s="273">
        <f>(G27*E27*$D$158)*(References!$C$55/References!$G$58)-L27</f>
        <v>0</v>
      </c>
    </row>
    <row r="28" spans="1:31">
      <c r="A28" s="265"/>
      <c r="B28" s="92">
        <v>20</v>
      </c>
      <c r="C28" s="107" t="s">
        <v>216</v>
      </c>
      <c r="D28" s="44">
        <f>+SUMIF('Price Out'!D:D,C28,'Price Out'!AH:AH)</f>
        <v>1150.934144917969</v>
      </c>
      <c r="E28" s="46">
        <f>+References!B11</f>
        <v>4.333333333333333</v>
      </c>
      <c r="F28" s="108">
        <f t="shared" si="1"/>
        <v>59848.575535734388</v>
      </c>
      <c r="G28" s="108">
        <f>+References!B25</f>
        <v>47</v>
      </c>
      <c r="H28" s="108">
        <f t="shared" si="2"/>
        <v>2812883.0501795164</v>
      </c>
      <c r="I28" s="108">
        <f t="shared" si="25"/>
        <v>2802398.6733818613</v>
      </c>
      <c r="J28" s="100">
        <f>+I28*References!$C$55</f>
        <v>2690.3027264465745</v>
      </c>
      <c r="K28" s="100">
        <f>+J28/References!$G$58</f>
        <v>2745.4870154572654</v>
      </c>
      <c r="L28" s="100">
        <f t="shared" si="3"/>
        <v>0.19878685990130693</v>
      </c>
      <c r="M28" s="100">
        <f>+'Proposed Rates'!B44</f>
        <v>26.29</v>
      </c>
      <c r="N28" s="100">
        <f t="shared" si="4"/>
        <v>26.488786859901307</v>
      </c>
      <c r="O28" s="100">
        <f>+'Proposed Rates'!D44</f>
        <v>26.49</v>
      </c>
      <c r="P28" s="100">
        <f t="shared" si="5"/>
        <v>363096.70403872081</v>
      </c>
      <c r="Q28" s="100">
        <f t="shared" si="6"/>
        <v>365858.94598652399</v>
      </c>
      <c r="R28" s="100">
        <f t="shared" si="7"/>
        <v>2762.2419478031807</v>
      </c>
      <c r="S28" s="100">
        <f t="shared" si="8"/>
        <v>365842.19105417811</v>
      </c>
      <c r="T28" s="100">
        <f t="shared" si="9"/>
        <v>16.754932345880661</v>
      </c>
      <c r="U28" s="57">
        <f t="shared" si="10"/>
        <v>26.488786859901307</v>
      </c>
      <c r="V28" s="57">
        <f t="shared" si="11"/>
        <v>365842.19105417811</v>
      </c>
      <c r="W28" s="57">
        <f t="shared" si="12"/>
        <v>2745.4870154573</v>
      </c>
      <c r="X28" s="109">
        <f t="shared" si="13"/>
        <v>3.4560798667371273E-11</v>
      </c>
      <c r="Y28" s="273">
        <f>(G28*E28*$D$158)*(References!$C$55/References!$G$58)-L28</f>
        <v>0</v>
      </c>
    </row>
    <row r="29" spans="1:31">
      <c r="A29" s="265"/>
      <c r="B29" s="92">
        <v>20</v>
      </c>
      <c r="C29" s="107" t="s">
        <v>218</v>
      </c>
      <c r="D29" s="44">
        <f>+SUMIF('Price Out'!D:D,C29,'Price Out'!AH:AH)</f>
        <v>0.99933189936123068</v>
      </c>
      <c r="E29" s="46">
        <f>+References!B11</f>
        <v>4.333333333333333</v>
      </c>
      <c r="F29" s="108">
        <f t="shared" si="1"/>
        <v>51.965258766783997</v>
      </c>
      <c r="G29" s="108">
        <f>+References!B25*2</f>
        <v>94</v>
      </c>
      <c r="H29" s="108">
        <f t="shared" si="2"/>
        <v>4884.7343240776954</v>
      </c>
      <c r="I29" s="108">
        <f t="shared" si="25"/>
        <v>4866.5275965684232</v>
      </c>
      <c r="J29" s="100">
        <f>+I29*References!$C$55</f>
        <v>4.6718664927056643</v>
      </c>
      <c r="K29" s="100">
        <f>+J29/References!$G$58</f>
        <v>4.7676972065574699</v>
      </c>
      <c r="L29" s="100">
        <f t="shared" si="3"/>
        <v>0.3975737198026138</v>
      </c>
      <c r="M29" s="100">
        <f>+'Proposed Rates'!B44*2</f>
        <v>52.58</v>
      </c>
      <c r="N29" s="100">
        <f t="shared" si="4"/>
        <v>52.977573719802614</v>
      </c>
      <c r="O29" s="100">
        <f>+'Proposed Rates'!D44*2</f>
        <v>52.98</v>
      </c>
      <c r="P29" s="100">
        <f t="shared" si="5"/>
        <v>630.53845522096208</v>
      </c>
      <c r="Q29" s="100">
        <f t="shared" si="6"/>
        <v>635.33524833789602</v>
      </c>
      <c r="R29" s="100">
        <f t="shared" si="7"/>
        <v>4.7967931169339408</v>
      </c>
      <c r="S29" s="100">
        <f t="shared" si="8"/>
        <v>635.30615242751958</v>
      </c>
      <c r="T29" s="100">
        <f t="shared" si="9"/>
        <v>2.909591037644077E-2</v>
      </c>
      <c r="U29" s="57">
        <f t="shared" si="10"/>
        <v>52.977573719802614</v>
      </c>
      <c r="V29" s="57">
        <f t="shared" si="11"/>
        <v>635.30615242751958</v>
      </c>
      <c r="W29" s="57">
        <f t="shared" si="12"/>
        <v>4.7676972065575001</v>
      </c>
      <c r="X29" s="109">
        <f t="shared" si="13"/>
        <v>3.0198066269804258E-14</v>
      </c>
      <c r="Y29" s="273">
        <f>(G29*E29*$D$158)*(References!$C$55/References!$G$58)-L29</f>
        <v>0</v>
      </c>
    </row>
    <row r="30" spans="1:31">
      <c r="A30" s="265"/>
      <c r="B30" s="92">
        <v>20</v>
      </c>
      <c r="C30" s="107" t="s">
        <v>220</v>
      </c>
      <c r="D30" s="44">
        <f>+SUMIF('Price Out'!D:D,C30,'Price Out'!AH:AH)</f>
        <v>14.360855020243433</v>
      </c>
      <c r="E30" s="46">
        <f>+References!B12</f>
        <v>2.1666666666666665</v>
      </c>
      <c r="F30" s="108">
        <f t="shared" si="1"/>
        <v>373.38223052632918</v>
      </c>
      <c r="G30" s="108">
        <f>+References!B25</f>
        <v>47</v>
      </c>
      <c r="H30" s="108">
        <f t="shared" si="2"/>
        <v>17548.964834737471</v>
      </c>
      <c r="I30" s="108">
        <f t="shared" si="25"/>
        <v>17483.555090907401</v>
      </c>
      <c r="J30" s="100">
        <f>+I30*References!$C$55</f>
        <v>16.784212887271028</v>
      </c>
      <c r="K30" s="100">
        <f>+J30/References!$G$58</f>
        <v>17.128495649832665</v>
      </c>
      <c r="L30" s="100">
        <f t="shared" si="3"/>
        <v>9.939342995065345E-2</v>
      </c>
      <c r="M30" s="100">
        <f>+'Proposed Rates'!B43</f>
        <v>16.899999999999999</v>
      </c>
      <c r="N30" s="100">
        <f t="shared" si="4"/>
        <v>16.999393429950651</v>
      </c>
      <c r="O30" s="100">
        <f>+'Proposed Rates'!D43</f>
        <v>17</v>
      </c>
      <c r="P30" s="100">
        <f t="shared" si="5"/>
        <v>2912.3813981053681</v>
      </c>
      <c r="Q30" s="100">
        <f t="shared" si="6"/>
        <v>2929.6144241296602</v>
      </c>
      <c r="R30" s="100">
        <f t="shared" si="7"/>
        <v>17.23302602429203</v>
      </c>
      <c r="S30" s="100">
        <f t="shared" si="8"/>
        <v>2929.5098937552002</v>
      </c>
      <c r="T30" s="100">
        <f t="shared" si="9"/>
        <v>0.10453037445995506</v>
      </c>
      <c r="U30" s="57">
        <f t="shared" si="10"/>
        <v>16.999393429950651</v>
      </c>
      <c r="V30" s="57">
        <f t="shared" si="11"/>
        <v>2929.5098937552002</v>
      </c>
      <c r="W30" s="57">
        <f t="shared" si="12"/>
        <v>17.128495649832075</v>
      </c>
      <c r="X30" s="109">
        <f t="shared" si="13"/>
        <v>-5.8975047068088315E-13</v>
      </c>
      <c r="Y30" s="273">
        <f>(G30*E30*$D$158)*(References!$C$55/References!$G$58)-L30</f>
        <v>0</v>
      </c>
    </row>
    <row r="31" spans="1:31">
      <c r="A31" s="265"/>
      <c r="B31" s="92">
        <v>20</v>
      </c>
      <c r="C31" s="107" t="s">
        <v>222</v>
      </c>
      <c r="D31" s="44">
        <f>+SUMIF('Price Out'!D:D,C31,'Price Out'!AH:AH)</f>
        <v>239.97381442818335</v>
      </c>
      <c r="E31" s="46">
        <f>+References!B12</f>
        <v>2.1666666666666665</v>
      </c>
      <c r="F31" s="108">
        <f t="shared" si="1"/>
        <v>6239.3191751327668</v>
      </c>
      <c r="G31" s="108">
        <f>+References!B25</f>
        <v>47</v>
      </c>
      <c r="H31" s="108">
        <f t="shared" si="2"/>
        <v>293248.00123124005</v>
      </c>
      <c r="I31" s="108">
        <f t="shared" si="25"/>
        <v>292154.9865252531</v>
      </c>
      <c r="J31" s="100">
        <f>+I31*References!$C$55</f>
        <v>280.46878706424167</v>
      </c>
      <c r="K31" s="100">
        <f>+J31/References!$G$58</f>
        <v>286.22184617230499</v>
      </c>
      <c r="L31" s="100">
        <f t="shared" si="3"/>
        <v>9.9393429950653436E-2</v>
      </c>
      <c r="M31" s="100">
        <f>+'Proposed Rates'!B24</f>
        <v>18.899999999999999</v>
      </c>
      <c r="N31" s="100">
        <f t="shared" si="4"/>
        <v>18.999393429950651</v>
      </c>
      <c r="O31" s="100">
        <f>+'Proposed Rates'!D24</f>
        <v>19</v>
      </c>
      <c r="P31" s="100">
        <f t="shared" si="5"/>
        <v>54426.061112311982</v>
      </c>
      <c r="Q31" s="100">
        <f t="shared" si="6"/>
        <v>54714.029689625808</v>
      </c>
      <c r="R31" s="100">
        <f t="shared" si="7"/>
        <v>287.96857731382624</v>
      </c>
      <c r="S31" s="100">
        <f t="shared" si="8"/>
        <v>54712.282958484284</v>
      </c>
      <c r="T31" s="100">
        <f t="shared" si="9"/>
        <v>1.7467311415239237</v>
      </c>
      <c r="U31" s="57">
        <f t="shared" si="10"/>
        <v>18.999393429950651</v>
      </c>
      <c r="V31" s="57">
        <f t="shared" si="11"/>
        <v>54712.282958484284</v>
      </c>
      <c r="W31" s="57">
        <f t="shared" si="12"/>
        <v>286.22184617230232</v>
      </c>
      <c r="X31" s="109">
        <f t="shared" si="13"/>
        <v>-2.6716406864579767E-12</v>
      </c>
      <c r="Y31" s="273">
        <f>(G31*E31*$D$158)*(References!$C$55/References!$G$58)-L31</f>
        <v>0</v>
      </c>
    </row>
    <row r="32" spans="1:31">
      <c r="A32" s="265"/>
      <c r="B32" s="92">
        <v>20</v>
      </c>
      <c r="C32" s="107" t="s">
        <v>224</v>
      </c>
      <c r="D32" s="44">
        <f>+SUMIF('Price Out'!D:D,C32,'Price Out'!AH:AH)</f>
        <v>2467.106401893217</v>
      </c>
      <c r="E32" s="46">
        <f>+References!B12</f>
        <v>2.1666666666666665</v>
      </c>
      <c r="F32" s="108">
        <f t="shared" si="1"/>
        <v>64144.766449223636</v>
      </c>
      <c r="G32" s="108">
        <f>+References!B25</f>
        <v>47</v>
      </c>
      <c r="H32" s="108">
        <f t="shared" si="2"/>
        <v>3014804.023113511</v>
      </c>
      <c r="I32" s="108">
        <f t="shared" si="25"/>
        <v>3003567.0321737733</v>
      </c>
      <c r="J32" s="100">
        <f>+I32*References!$C$55</f>
        <v>2883.424350886809</v>
      </c>
      <c r="K32" s="100">
        <f>+J32/References!$G$58</f>
        <v>2942.5700080485854</v>
      </c>
      <c r="L32" s="100">
        <f t="shared" si="3"/>
        <v>9.939342995065345E-2</v>
      </c>
      <c r="M32" s="100">
        <f>+'Proposed Rates'!B43</f>
        <v>16.899999999999999</v>
      </c>
      <c r="N32" s="100">
        <f t="shared" si="4"/>
        <v>16.999393429950651</v>
      </c>
      <c r="O32" s="100">
        <f>+'Proposed Rates'!D43</f>
        <v>17</v>
      </c>
      <c r="P32" s="100">
        <f t="shared" si="5"/>
        <v>500329.17830394435</v>
      </c>
      <c r="Q32" s="100">
        <f t="shared" si="6"/>
        <v>503289.70598621626</v>
      </c>
      <c r="R32" s="100">
        <f t="shared" si="7"/>
        <v>2960.5276822719024</v>
      </c>
      <c r="S32" s="100">
        <f t="shared" si="8"/>
        <v>503271.74831199285</v>
      </c>
      <c r="T32" s="100">
        <f t="shared" si="9"/>
        <v>17.957674223405775</v>
      </c>
      <c r="U32" s="57">
        <f t="shared" si="10"/>
        <v>16.999393429950651</v>
      </c>
      <c r="V32" s="57">
        <f t="shared" si="11"/>
        <v>503271.74831199285</v>
      </c>
      <c r="W32" s="57">
        <f t="shared" si="12"/>
        <v>2942.5700080484967</v>
      </c>
      <c r="X32" s="109">
        <f t="shared" si="13"/>
        <v>-8.8675733422860503E-11</v>
      </c>
      <c r="Y32" s="273">
        <f>(G32*E32*$D$158)*(References!$C$55/References!$G$58)-L32</f>
        <v>0</v>
      </c>
    </row>
    <row r="33" spans="1:25">
      <c r="A33" s="265"/>
      <c r="B33" s="92">
        <v>20</v>
      </c>
      <c r="C33" s="107" t="s">
        <v>226</v>
      </c>
      <c r="D33" s="44">
        <f>+SUMIF('Price Out'!D:D,C33,'Price Out'!AH:AH)</f>
        <v>2.4166666666666665</v>
      </c>
      <c r="E33" s="56">
        <f>+References!B13</f>
        <v>1</v>
      </c>
      <c r="F33" s="44">
        <f t="shared" si="1"/>
        <v>29</v>
      </c>
      <c r="G33" s="44">
        <f>+References!B26</f>
        <v>68</v>
      </c>
      <c r="H33" s="44">
        <f t="shared" si="2"/>
        <v>1972</v>
      </c>
      <c r="I33" s="44">
        <f t="shared" si="25"/>
        <v>1964.6498220238284</v>
      </c>
      <c r="J33" s="58">
        <f>+I33*References!$C$55</f>
        <v>1.8860638291428666</v>
      </c>
      <c r="K33" s="58">
        <f>+J33/References!$G$58</f>
        <v>1.9247513308938327</v>
      </c>
      <c r="L33" s="58">
        <f t="shared" si="3"/>
        <v>6.6370735548063192E-2</v>
      </c>
      <c r="M33" s="58">
        <f>+'Proposed Rates'!B45</f>
        <v>13.09</v>
      </c>
      <c r="N33" s="58">
        <f t="shared" si="4"/>
        <v>13.156370735548062</v>
      </c>
      <c r="O33" s="58">
        <f>+'Proposed Rates'!D45</f>
        <v>13.16</v>
      </c>
      <c r="P33" s="58">
        <f t="shared" si="5"/>
        <v>379.61</v>
      </c>
      <c r="Q33" s="58">
        <f t="shared" si="6"/>
        <v>381.64</v>
      </c>
      <c r="R33" s="58">
        <f t="shared" si="7"/>
        <v>2.0299999999999727</v>
      </c>
      <c r="S33" s="58">
        <f t="shared" si="8"/>
        <v>381.53475133089376</v>
      </c>
      <c r="T33" s="58">
        <f t="shared" si="9"/>
        <v>0.10524866910623132</v>
      </c>
      <c r="U33" s="57">
        <f t="shared" si="10"/>
        <v>13.156370735548062</v>
      </c>
      <c r="V33" s="57">
        <f t="shared" si="11"/>
        <v>381.53475133089376</v>
      </c>
      <c r="W33" s="57">
        <f t="shared" si="12"/>
        <v>1.9247513308937414</v>
      </c>
      <c r="X33" s="109">
        <f t="shared" si="13"/>
        <v>-9.1260332624187868E-14</v>
      </c>
      <c r="Y33" s="273">
        <f>(G33*E33*$D$158)*(References!$C$55/References!$G$58)-L33</f>
        <v>0</v>
      </c>
    </row>
    <row r="34" spans="1:25">
      <c r="A34" s="265"/>
      <c r="B34" s="92">
        <v>20</v>
      </c>
      <c r="C34" s="107" t="s">
        <v>228</v>
      </c>
      <c r="D34" s="44">
        <f>+SUMIF('Price Out'!D:D,C34,'Price Out'!AH:AH)</f>
        <v>9.2067567567567554</v>
      </c>
      <c r="E34" s="56">
        <f>+References!B13</f>
        <v>1</v>
      </c>
      <c r="F34" s="44">
        <f t="shared" si="1"/>
        <v>110.48108108108107</v>
      </c>
      <c r="G34" s="44">
        <f>+References!B26</f>
        <v>68</v>
      </c>
      <c r="H34" s="44">
        <f t="shared" si="2"/>
        <v>7512.7135135135131</v>
      </c>
      <c r="I34" s="44">
        <f t="shared" si="25"/>
        <v>7484.7115959636585</v>
      </c>
      <c r="J34" s="58">
        <f>+I34*References!$C$55</f>
        <v>7.1853231321250792</v>
      </c>
      <c r="K34" s="58">
        <f>+J34/References!$G$58</f>
        <v>7.33271061549656</v>
      </c>
      <c r="L34" s="58">
        <f t="shared" si="3"/>
        <v>6.6370735548063192E-2</v>
      </c>
      <c r="M34" s="58">
        <f>+'Proposed Rates'!B26</f>
        <v>15.09</v>
      </c>
      <c r="N34" s="58">
        <f t="shared" si="4"/>
        <v>15.156370735548062</v>
      </c>
      <c r="O34" s="58">
        <f>+'Proposed Rates'!D26</f>
        <v>15.16</v>
      </c>
      <c r="P34" s="58">
        <f t="shared" si="5"/>
        <v>1667.1595135135133</v>
      </c>
      <c r="Q34" s="58">
        <f t="shared" si="6"/>
        <v>1674.8931891891889</v>
      </c>
      <c r="R34" s="58">
        <f t="shared" si="7"/>
        <v>7.7336756756756131</v>
      </c>
      <c r="S34" s="58">
        <f t="shared" si="8"/>
        <v>1674.4922241290096</v>
      </c>
      <c r="T34" s="58">
        <f t="shared" si="9"/>
        <v>0.40096506017926004</v>
      </c>
      <c r="U34" s="57">
        <f t="shared" si="10"/>
        <v>15.156370735548062</v>
      </c>
      <c r="V34" s="57">
        <f t="shared" si="11"/>
        <v>1674.4922241290096</v>
      </c>
      <c r="W34" s="57">
        <f t="shared" si="12"/>
        <v>7.3327106154963531</v>
      </c>
      <c r="X34" s="109">
        <f t="shared" si="13"/>
        <v>-2.0694557179012918E-13</v>
      </c>
      <c r="Y34" s="273">
        <f>(G34*E34*$D$158)*(References!$C$55/References!$G$58)-L34</f>
        <v>0</v>
      </c>
    </row>
    <row r="35" spans="1:25">
      <c r="A35" s="265"/>
      <c r="B35" s="92">
        <v>20</v>
      </c>
      <c r="C35" s="107" t="s">
        <v>230</v>
      </c>
      <c r="D35" s="44">
        <f>+SUMIF('Price Out'!D:D,C35,'Price Out'!AH:AH)</f>
        <v>70.321940104166671</v>
      </c>
      <c r="E35" s="56">
        <f>+References!B13</f>
        <v>1</v>
      </c>
      <c r="F35" s="44">
        <f t="shared" si="1"/>
        <v>843.86328125</v>
      </c>
      <c r="G35" s="44">
        <f>+References!B26</f>
        <v>68</v>
      </c>
      <c r="H35" s="44">
        <f t="shared" si="2"/>
        <v>57382.703125</v>
      </c>
      <c r="I35" s="44">
        <f t="shared" si="25"/>
        <v>57168.822252422629</v>
      </c>
      <c r="J35" s="58">
        <f>+I35*References!$C$55</f>
        <v>54.882069362325474</v>
      </c>
      <c r="K35" s="58">
        <f>+J35/References!$G$58</f>
        <v>56.007826678564626</v>
      </c>
      <c r="L35" s="58">
        <f t="shared" si="3"/>
        <v>6.6370735548063192E-2</v>
      </c>
      <c r="M35" s="58">
        <f>+'Proposed Rates'!B45</f>
        <v>13.09</v>
      </c>
      <c r="N35" s="58">
        <f t="shared" si="4"/>
        <v>13.156370735548062</v>
      </c>
      <c r="O35" s="58">
        <f>+'Proposed Rates'!D45</f>
        <v>13.16</v>
      </c>
      <c r="P35" s="58">
        <f t="shared" si="5"/>
        <v>11046.170351562501</v>
      </c>
      <c r="Q35" s="58">
        <f t="shared" si="6"/>
        <v>11105.240781250001</v>
      </c>
      <c r="R35" s="58">
        <f t="shared" si="7"/>
        <v>59.0704296874992</v>
      </c>
      <c r="S35" s="58">
        <f t="shared" si="8"/>
        <v>11102.178178241065</v>
      </c>
      <c r="T35" s="58">
        <f t="shared" si="9"/>
        <v>3.0626030089351843</v>
      </c>
      <c r="U35" s="57">
        <f t="shared" si="10"/>
        <v>13.156370735548062</v>
      </c>
      <c r="V35" s="57">
        <f t="shared" si="11"/>
        <v>11102.178178241065</v>
      </c>
      <c r="W35" s="57">
        <f t="shared" si="12"/>
        <v>56.007826678564015</v>
      </c>
      <c r="X35" s="109">
        <f t="shared" si="13"/>
        <v>-6.1106675275368616E-13</v>
      </c>
      <c r="Y35" s="273">
        <f>(G35*E35*$D$158)*(References!$C$55/References!$G$58)-L35</f>
        <v>0</v>
      </c>
    </row>
    <row r="36" spans="1:25">
      <c r="A36" s="265"/>
      <c r="B36" s="92">
        <v>20</v>
      </c>
      <c r="C36" s="107" t="s">
        <v>232</v>
      </c>
      <c r="D36" s="44">
        <f>+SUMIF('Price Out'!D:D,C36,'Price Out'!AH:AH)</f>
        <v>2.5995336986828192</v>
      </c>
      <c r="E36" s="56">
        <f>+References!B11</f>
        <v>4.333333333333333</v>
      </c>
      <c r="F36" s="44">
        <f t="shared" si="1"/>
        <v>135.1757523315066</v>
      </c>
      <c r="G36" s="44">
        <f>+References!B26</f>
        <v>68</v>
      </c>
      <c r="H36" s="44">
        <f t="shared" si="2"/>
        <v>9191.951158542448</v>
      </c>
      <c r="I36" s="44">
        <f t="shared" si="25"/>
        <v>9157.6902675872934</v>
      </c>
      <c r="J36" s="58">
        <f>+I36*References!$C$55</f>
        <v>8.7913826568837621</v>
      </c>
      <c r="K36" s="58">
        <f>+J36/References!$G$58</f>
        <v>8.9717141105049105</v>
      </c>
      <c r="L36" s="58">
        <f t="shared" si="3"/>
        <v>0.28760652070827381</v>
      </c>
      <c r="M36" s="58">
        <f>+'Proposed Rates'!B47</f>
        <v>36.28</v>
      </c>
      <c r="N36" s="58">
        <f t="shared" si="4"/>
        <v>36.567606520708274</v>
      </c>
      <c r="O36" s="58">
        <f>+'Proposed Rates'!D47</f>
        <v>36.57</v>
      </c>
      <c r="P36" s="58">
        <f t="shared" si="5"/>
        <v>1131.7329910585522</v>
      </c>
      <c r="Q36" s="58">
        <f t="shared" si="6"/>
        <v>1140.7793683299683</v>
      </c>
      <c r="R36" s="58">
        <f t="shared" si="7"/>
        <v>9.0463772714160768</v>
      </c>
      <c r="S36" s="58">
        <f t="shared" si="8"/>
        <v>1140.7047051690572</v>
      </c>
      <c r="T36" s="58">
        <f t="shared" si="9"/>
        <v>7.4663160911086379E-2</v>
      </c>
      <c r="U36" s="57">
        <f t="shared" si="10"/>
        <v>36.567606520708274</v>
      </c>
      <c r="V36" s="57">
        <f t="shared" si="11"/>
        <v>1140.7047051690572</v>
      </c>
      <c r="W36" s="57">
        <f t="shared" si="12"/>
        <v>8.9717141105049905</v>
      </c>
      <c r="X36" s="109">
        <f t="shared" si="13"/>
        <v>7.9936057773011271E-14</v>
      </c>
      <c r="Y36" s="273">
        <f>(G36*E36*$D$158)*(References!$C$55/References!$G$58)-L36</f>
        <v>0</v>
      </c>
    </row>
    <row r="37" spans="1:25">
      <c r="A37" s="265"/>
      <c r="B37" s="92">
        <v>20</v>
      </c>
      <c r="C37" s="107" t="s">
        <v>234</v>
      </c>
      <c r="D37" s="44">
        <f>+SUMIF('Price Out'!D:D,C37,'Price Out'!AH:AH)</f>
        <v>26.298112406874836</v>
      </c>
      <c r="E37" s="56">
        <f>+References!B11</f>
        <v>4.333333333333333</v>
      </c>
      <c r="F37" s="44">
        <f t="shared" si="1"/>
        <v>1367.5018451574915</v>
      </c>
      <c r="G37" s="44">
        <f>+References!B26</f>
        <v>68</v>
      </c>
      <c r="H37" s="44">
        <f t="shared" si="2"/>
        <v>92990.125470709419</v>
      </c>
      <c r="I37" s="44">
        <f t="shared" si="25"/>
        <v>92643.526093307679</v>
      </c>
      <c r="J37" s="58">
        <f>+I37*References!$C$55</f>
        <v>88.937785049574956</v>
      </c>
      <c r="K37" s="58">
        <f>+J37/References!$G$58</f>
        <v>90.762103326436332</v>
      </c>
      <c r="L37" s="58">
        <f t="shared" si="3"/>
        <v>0.28760652070827381</v>
      </c>
      <c r="M37" s="58">
        <f>+'Proposed Rates'!B28</f>
        <v>38.28</v>
      </c>
      <c r="N37" s="58">
        <f t="shared" si="4"/>
        <v>38.567606520708274</v>
      </c>
      <c r="O37" s="58">
        <f>+'Proposed Rates'!D28</f>
        <v>38.57</v>
      </c>
      <c r="P37" s="58">
        <f t="shared" si="5"/>
        <v>12080.300915222024</v>
      </c>
      <c r="Q37" s="58">
        <f t="shared" si="6"/>
        <v>12171.818346397949</v>
      </c>
      <c r="R37" s="58">
        <f t="shared" si="7"/>
        <v>91.517431175925594</v>
      </c>
      <c r="S37" s="58">
        <f t="shared" si="8"/>
        <v>12171.063018548461</v>
      </c>
      <c r="T37" s="58">
        <f t="shared" si="9"/>
        <v>0.75532784948882181</v>
      </c>
      <c r="U37" s="57">
        <f t="shared" si="10"/>
        <v>38.567606520708274</v>
      </c>
      <c r="V37" s="57">
        <f t="shared" si="11"/>
        <v>12171.063018548461</v>
      </c>
      <c r="W37" s="57">
        <f t="shared" si="12"/>
        <v>90.762103326436772</v>
      </c>
      <c r="X37" s="109">
        <f t="shared" si="13"/>
        <v>4.4053649617126212E-13</v>
      </c>
      <c r="Y37" s="273">
        <f>(G37*E37*$D$158)*(References!$C$55/References!$G$58)-L37</f>
        <v>0</v>
      </c>
    </row>
    <row r="38" spans="1:25">
      <c r="A38" s="265"/>
      <c r="B38" s="92">
        <v>20</v>
      </c>
      <c r="C38" s="107" t="s">
        <v>236</v>
      </c>
      <c r="D38" s="44">
        <f>+SUMIF('Price Out'!D:D,C38,'Price Out'!AH:AH)</f>
        <v>224.35211180076547</v>
      </c>
      <c r="E38" s="56">
        <f>+References!B11</f>
        <v>4.333333333333333</v>
      </c>
      <c r="F38" s="44">
        <f t="shared" si="1"/>
        <v>11666.309813639804</v>
      </c>
      <c r="G38" s="44">
        <f>+References!B26</f>
        <v>68</v>
      </c>
      <c r="H38" s="44">
        <f t="shared" si="2"/>
        <v>793309.06732750661</v>
      </c>
      <c r="I38" s="44">
        <f t="shared" si="25"/>
        <v>790352.18962214759</v>
      </c>
      <c r="J38" s="58">
        <f>+I38*References!$C$55</f>
        <v>758.73810203725816</v>
      </c>
      <c r="K38" s="58">
        <f>+J38/References!$G$58</f>
        <v>774.30156346286174</v>
      </c>
      <c r="L38" s="58">
        <f t="shared" si="3"/>
        <v>0.28760652070827381</v>
      </c>
      <c r="M38" s="58">
        <f>+'Proposed Rates'!B47</f>
        <v>36.28</v>
      </c>
      <c r="N38" s="58">
        <f t="shared" si="4"/>
        <v>36.567606520708274</v>
      </c>
      <c r="O38" s="58">
        <f>+'Proposed Rates'!D47</f>
        <v>36.57</v>
      </c>
      <c r="P38" s="58">
        <f t="shared" si="5"/>
        <v>97673.935393581254</v>
      </c>
      <c r="Q38" s="58">
        <f t="shared" si="6"/>
        <v>98454.680742647906</v>
      </c>
      <c r="R38" s="58">
        <f t="shared" si="7"/>
        <v>780.74534906665212</v>
      </c>
      <c r="S38" s="58">
        <f t="shared" si="8"/>
        <v>98448.236957044108</v>
      </c>
      <c r="T38" s="58">
        <f t="shared" si="9"/>
        <v>6.4437856037984602</v>
      </c>
      <c r="U38" s="57">
        <f t="shared" si="10"/>
        <v>36.567606520708274</v>
      </c>
      <c r="V38" s="57">
        <f t="shared" si="11"/>
        <v>98448.236957044108</v>
      </c>
      <c r="W38" s="57">
        <f t="shared" si="12"/>
        <v>774.30156346285366</v>
      </c>
      <c r="X38" s="109">
        <f t="shared" si="13"/>
        <v>-8.0717654782347381E-12</v>
      </c>
      <c r="Y38" s="273">
        <f>(G38*E38*$D$158)*(References!$C$55/References!$G$58)-L38</f>
        <v>0</v>
      </c>
    </row>
    <row r="39" spans="1:25">
      <c r="A39" s="265"/>
      <c r="B39" s="92">
        <v>20</v>
      </c>
      <c r="C39" s="43" t="s">
        <v>238</v>
      </c>
      <c r="D39" s="44">
        <f>+SUMIF('Price Out'!D:D,C39,'Price Out'!AH:AH)</f>
        <v>3.5292354808312254</v>
      </c>
      <c r="E39" s="56">
        <f>+References!B12</f>
        <v>2.1666666666666665</v>
      </c>
      <c r="F39" s="44">
        <f t="shared" si="1"/>
        <v>91.760122501611846</v>
      </c>
      <c r="G39" s="44">
        <f>+References!B26</f>
        <v>68</v>
      </c>
      <c r="H39" s="44">
        <f t="shared" si="2"/>
        <v>6239.6883301096059</v>
      </c>
      <c r="I39" s="44">
        <f t="shared" si="25"/>
        <v>6216.431322126773</v>
      </c>
      <c r="J39" s="58">
        <f>+I39*References!$C$55</f>
        <v>5.967774069241675</v>
      </c>
      <c r="K39" s="58">
        <f>+J39/References!$G$58</f>
        <v>6.0901868244123634</v>
      </c>
      <c r="L39" s="58">
        <f t="shared" si="3"/>
        <v>0.14380326035413693</v>
      </c>
      <c r="M39" s="58">
        <f>+'Proposed Rates'!B46</f>
        <v>22.01</v>
      </c>
      <c r="N39" s="58">
        <f t="shared" si="4"/>
        <v>22.153803260354138</v>
      </c>
      <c r="O39" s="58">
        <f>+'Proposed Rates'!D46</f>
        <v>22.150000000000002</v>
      </c>
      <c r="P39" s="58">
        <f t="shared" si="5"/>
        <v>932.14167519714329</v>
      </c>
      <c r="Q39" s="58">
        <f t="shared" si="6"/>
        <v>938.07079080493986</v>
      </c>
      <c r="R39" s="58">
        <f t="shared" si="7"/>
        <v>5.9291156077965752</v>
      </c>
      <c r="S39" s="58">
        <f t="shared" si="8"/>
        <v>938.23186202155557</v>
      </c>
      <c r="T39" s="58">
        <f t="shared" si="9"/>
        <v>-0.16107121661571</v>
      </c>
      <c r="U39" s="57">
        <f t="shared" si="10"/>
        <v>22.153803260354138</v>
      </c>
      <c r="V39" s="57">
        <f t="shared" si="11"/>
        <v>938.23186202155557</v>
      </c>
      <c r="W39" s="57">
        <f t="shared" si="12"/>
        <v>6.0901868244122852</v>
      </c>
      <c r="X39" s="109">
        <f t="shared" si="13"/>
        <v>-7.815970093361102E-14</v>
      </c>
      <c r="Y39" s="273">
        <f>(G39*E39*$D$158)*(References!$C$55/References!$G$58)-L39</f>
        <v>0</v>
      </c>
    </row>
    <row r="40" spans="1:25">
      <c r="A40" s="265"/>
      <c r="B40" s="92">
        <v>20</v>
      </c>
      <c r="C40" s="43" t="s">
        <v>240</v>
      </c>
      <c r="D40" s="44">
        <f>+SUMIF('Price Out'!D:D,C40,'Price Out'!AH:AH)</f>
        <v>23.638983422903994</v>
      </c>
      <c r="E40" s="56">
        <f>+References!B12</f>
        <v>2.1666666666666665</v>
      </c>
      <c r="F40" s="44">
        <f t="shared" si="1"/>
        <v>614.61356899550378</v>
      </c>
      <c r="G40" s="44">
        <f>+References!B26</f>
        <v>68</v>
      </c>
      <c r="H40" s="44">
        <f t="shared" si="2"/>
        <v>41793.72269169426</v>
      </c>
      <c r="I40" s="44">
        <f t="shared" si="25"/>
        <v>41637.946170360228</v>
      </c>
      <c r="J40" s="58">
        <f>+I40*References!$C$55</f>
        <v>39.972428323545635</v>
      </c>
      <c r="K40" s="58">
        <f>+J40/References!$G$58</f>
        <v>40.792354652051877</v>
      </c>
      <c r="L40" s="58">
        <f t="shared" si="3"/>
        <v>0.14380326035413693</v>
      </c>
      <c r="M40" s="58">
        <f>+'Proposed Rates'!B27</f>
        <v>24.01</v>
      </c>
      <c r="N40" s="58">
        <f t="shared" si="4"/>
        <v>24.153803260354138</v>
      </c>
      <c r="O40" s="58">
        <f>+'Proposed Rates'!D27</f>
        <v>24.150000000000002</v>
      </c>
      <c r="P40" s="58">
        <f t="shared" si="5"/>
        <v>6810.8639038070996</v>
      </c>
      <c r="Q40" s="58">
        <f t="shared" si="6"/>
        <v>6850.5773959575781</v>
      </c>
      <c r="R40" s="58">
        <f t="shared" si="7"/>
        <v>39.713492150478487</v>
      </c>
      <c r="S40" s="58">
        <f t="shared" si="8"/>
        <v>6851.656258459152</v>
      </c>
      <c r="T40" s="58">
        <f t="shared" si="9"/>
        <v>-1.0788625015738944</v>
      </c>
      <c r="U40" s="57">
        <f t="shared" si="10"/>
        <v>24.153803260354138</v>
      </c>
      <c r="V40" s="57">
        <f t="shared" si="11"/>
        <v>6851.656258459152</v>
      </c>
      <c r="W40" s="57">
        <f t="shared" si="12"/>
        <v>40.792354652052381</v>
      </c>
      <c r="X40" s="109">
        <f t="shared" si="13"/>
        <v>5.0448534238967113E-13</v>
      </c>
      <c r="Y40" s="273">
        <f>(G40*E40*$D$158)*(References!$C$55/References!$G$58)-L40</f>
        <v>0</v>
      </c>
    </row>
    <row r="41" spans="1:25">
      <c r="A41" s="265"/>
      <c r="B41" s="92">
        <v>20</v>
      </c>
      <c r="C41" s="43" t="s">
        <v>242</v>
      </c>
      <c r="D41" s="44">
        <f>+SUMIF('Price Out'!D:D,C41,'Price Out'!AH:AH)</f>
        <v>336.24861255765512</v>
      </c>
      <c r="E41" s="56">
        <f>+References!B12</f>
        <v>2.1666666666666665</v>
      </c>
      <c r="F41" s="44">
        <f t="shared" si="1"/>
        <v>8742.4639264990328</v>
      </c>
      <c r="G41" s="44">
        <f>+References!B26</f>
        <v>68</v>
      </c>
      <c r="H41" s="44">
        <f t="shared" si="2"/>
        <v>594487.54700193426</v>
      </c>
      <c r="I41" s="44">
        <f t="shared" si="25"/>
        <v>592271.73093951948</v>
      </c>
      <c r="J41" s="58">
        <f>+I41*References!$C$55</f>
        <v>568.5808617019361</v>
      </c>
      <c r="K41" s="58">
        <f>+J41/References!$G$58</f>
        <v>580.24376130414953</v>
      </c>
      <c r="L41" s="58">
        <f t="shared" si="3"/>
        <v>0.1438032603541369</v>
      </c>
      <c r="M41" s="58">
        <f>+'Proposed Rates'!B46</f>
        <v>22.01</v>
      </c>
      <c r="N41" s="58">
        <f t="shared" si="4"/>
        <v>22.153803260354138</v>
      </c>
      <c r="O41" s="58">
        <f>+'Proposed Rates'!D46</f>
        <v>22.150000000000002</v>
      </c>
      <c r="P41" s="58">
        <f t="shared" si="5"/>
        <v>88809.983548727876</v>
      </c>
      <c r="Q41" s="58">
        <f t="shared" si="6"/>
        <v>89374.881217824746</v>
      </c>
      <c r="R41" s="58">
        <f t="shared" si="7"/>
        <v>564.89766909687023</v>
      </c>
      <c r="S41" s="58">
        <f t="shared" si="8"/>
        <v>89390.227310032031</v>
      </c>
      <c r="T41" s="58">
        <f t="shared" si="9"/>
        <v>-15.346092207284528</v>
      </c>
      <c r="U41" s="57">
        <f t="shared" si="10"/>
        <v>22.153803260354138</v>
      </c>
      <c r="V41" s="57">
        <f t="shared" si="11"/>
        <v>89390.227310032031</v>
      </c>
      <c r="W41" s="57">
        <f t="shared" si="12"/>
        <v>580.24376130415476</v>
      </c>
      <c r="X41" s="109">
        <f t="shared" si="13"/>
        <v>5.2295945351943374E-12</v>
      </c>
      <c r="Y41" s="273">
        <f>(G41*E41*$D$158)*(References!$C$55/References!$G$58)-L41</f>
        <v>0</v>
      </c>
    </row>
    <row r="42" spans="1:25">
      <c r="A42" s="265"/>
      <c r="B42" s="92">
        <v>21</v>
      </c>
      <c r="C42" s="43" t="s">
        <v>244</v>
      </c>
      <c r="D42" s="44">
        <f>+SUMIF('Price Out'!D:D,C42,'Price Out'!AH:AH)</f>
        <v>27.912703804347828</v>
      </c>
      <c r="E42" s="56">
        <f>+References!B13</f>
        <v>1</v>
      </c>
      <c r="F42" s="44">
        <f t="shared" si="1"/>
        <v>334.95244565217394</v>
      </c>
      <c r="G42" s="44">
        <f>+References!B28</f>
        <v>34</v>
      </c>
      <c r="H42" s="44">
        <f t="shared" si="2"/>
        <v>11388.383152173914</v>
      </c>
      <c r="I42" s="44">
        <f t="shared" si="25"/>
        <v>11345.935564430854</v>
      </c>
      <c r="J42" s="58">
        <f>+I42*References!$C$55</f>
        <v>10.89209814185357</v>
      </c>
      <c r="K42" s="58">
        <f>+J42/References!$G$58</f>
        <v>11.115520095778722</v>
      </c>
      <c r="L42" s="58">
        <f t="shared" si="3"/>
        <v>3.3185367774031596E-2</v>
      </c>
      <c r="M42" s="58">
        <f>+'Proposed Rates'!B54</f>
        <v>7.52</v>
      </c>
      <c r="N42" s="58">
        <f t="shared" si="4"/>
        <v>7.5531853677740308</v>
      </c>
      <c r="O42" s="58">
        <f>+'Proposed Rates'!D54</f>
        <v>7.55</v>
      </c>
      <c r="P42" s="58">
        <f t="shared" si="5"/>
        <v>2518.842391304348</v>
      </c>
      <c r="Q42" s="58">
        <f t="shared" si="6"/>
        <v>2528.890964673913</v>
      </c>
      <c r="R42" s="58">
        <f t="shared" si="7"/>
        <v>10.04857336956502</v>
      </c>
      <c r="S42" s="58">
        <f t="shared" si="8"/>
        <v>2529.9579114001262</v>
      </c>
      <c r="T42" s="58">
        <f t="shared" si="9"/>
        <v>-1.0669467262132457</v>
      </c>
      <c r="U42" s="57">
        <f t="shared" si="10"/>
        <v>7.5531853677740308</v>
      </c>
      <c r="V42" s="57">
        <f t="shared" si="11"/>
        <v>2529.9579114001262</v>
      </c>
      <c r="W42" s="57">
        <f t="shared" si="12"/>
        <v>11.115520095778265</v>
      </c>
      <c r="X42" s="109">
        <f t="shared" si="13"/>
        <v>-4.5652370772586437E-13</v>
      </c>
      <c r="Y42" s="273">
        <f>(G42*E42*$D$158)*(References!$C$55/References!$G$58)-L42</f>
        <v>0</v>
      </c>
    </row>
    <row r="43" spans="1:25">
      <c r="A43" s="265"/>
      <c r="B43" s="92">
        <v>21</v>
      </c>
      <c r="C43" s="43" t="s">
        <v>246</v>
      </c>
      <c r="D43" s="44">
        <f>+SUMIF('Price Out'!D:D,C43,'Price Out'!AH:AH)</f>
        <v>264.43244351062009</v>
      </c>
      <c r="E43" s="56">
        <f>+References!B13</f>
        <v>1</v>
      </c>
      <c r="F43" s="44">
        <f t="shared" si="1"/>
        <v>3173.1893221274413</v>
      </c>
      <c r="G43" s="44">
        <f>+References!B28</f>
        <v>34</v>
      </c>
      <c r="H43" s="44">
        <f t="shared" si="2"/>
        <v>107888.43695233301</v>
      </c>
      <c r="I43" s="44">
        <f t="shared" si="25"/>
        <v>107486.30753388949</v>
      </c>
      <c r="J43" s="58">
        <f>+I43*References!$C$55</f>
        <v>103.18685523253343</v>
      </c>
      <c r="K43" s="58">
        <f>+J43/References!$G$58</f>
        <v>105.30345467142917</v>
      </c>
      <c r="L43" s="58">
        <f t="shared" si="3"/>
        <v>3.3185367774031596E-2</v>
      </c>
      <c r="M43" s="58">
        <f>+'Proposed Rates'!B50</f>
        <v>4.71</v>
      </c>
      <c r="N43" s="58">
        <f t="shared" si="4"/>
        <v>4.7431853677740312</v>
      </c>
      <c r="O43" s="58">
        <f>+'Proposed Rates'!D50</f>
        <v>4.7431853677740312</v>
      </c>
      <c r="P43" s="58">
        <f t="shared" si="5"/>
        <v>14945.721707220247</v>
      </c>
      <c r="Q43" s="58">
        <f t="shared" si="6"/>
        <v>15051.025161891677</v>
      </c>
      <c r="R43" s="58">
        <f t="shared" si="7"/>
        <v>105.30345467142979</v>
      </c>
      <c r="S43" s="58">
        <f t="shared" si="8"/>
        <v>15051.025161891677</v>
      </c>
      <c r="T43" s="58">
        <f t="shared" si="9"/>
        <v>0</v>
      </c>
      <c r="U43" s="57">
        <f t="shared" si="10"/>
        <v>4.7431853677740312</v>
      </c>
      <c r="V43" s="57">
        <f t="shared" si="11"/>
        <v>15051.025161891677</v>
      </c>
      <c r="W43" s="57">
        <f t="shared" si="12"/>
        <v>105.30345467142979</v>
      </c>
      <c r="X43" s="109">
        <f t="shared" si="13"/>
        <v>6.2527760746888816E-13</v>
      </c>
      <c r="Y43" s="273">
        <f>(G43*E43*$D$158)*(References!$C$55/References!$G$58)-L43</f>
        <v>0</v>
      </c>
    </row>
    <row r="44" spans="1:25">
      <c r="A44" s="265"/>
      <c r="B44" s="155">
        <v>15</v>
      </c>
      <c r="C44" s="156" t="s">
        <v>247</v>
      </c>
      <c r="D44" s="157">
        <v>1</v>
      </c>
      <c r="E44" s="158">
        <f>+References!B13</f>
        <v>1</v>
      </c>
      <c r="F44" s="157">
        <f t="shared" si="1"/>
        <v>12</v>
      </c>
      <c r="G44" s="157">
        <f>+References!B28</f>
        <v>34</v>
      </c>
      <c r="H44" s="157">
        <f t="shared" si="2"/>
        <v>408</v>
      </c>
      <c r="I44" s="44">
        <f t="shared" si="25"/>
        <v>406.47927352217141</v>
      </c>
      <c r="J44" s="58">
        <f>+I44*References!$C$55</f>
        <v>0.39022010258128276</v>
      </c>
      <c r="K44" s="58">
        <f>+J44/References!$G$58</f>
        <v>0.39822441328837921</v>
      </c>
      <c r="L44" s="58">
        <f t="shared" si="3"/>
        <v>3.3185367774031603E-2</v>
      </c>
      <c r="M44" s="58">
        <f>+'Proposed Rates'!B8</f>
        <v>6.98</v>
      </c>
      <c r="N44" s="58">
        <f t="shared" si="4"/>
        <v>7.0131853677740317</v>
      </c>
      <c r="O44" s="58">
        <f>+'Proposed Rates'!D8</f>
        <v>7.0100000000000007</v>
      </c>
      <c r="P44" s="58">
        <f t="shared" si="5"/>
        <v>83.76</v>
      </c>
      <c r="Q44" s="58">
        <f t="shared" si="6"/>
        <v>84.12</v>
      </c>
      <c r="R44" s="58">
        <f t="shared" si="7"/>
        <v>0.35999999999999943</v>
      </c>
      <c r="S44" s="58">
        <f t="shared" si="8"/>
        <v>84.15822441328838</v>
      </c>
      <c r="T44" s="58">
        <f t="shared" si="9"/>
        <v>-3.8224413288375558E-2</v>
      </c>
      <c r="U44" s="57">
        <f t="shared" si="10"/>
        <v>7.0131853677740317</v>
      </c>
      <c r="V44" s="57">
        <f t="shared" si="11"/>
        <v>84.15822441328838</v>
      </c>
      <c r="W44" s="57">
        <f t="shared" si="12"/>
        <v>0.39822441328837499</v>
      </c>
      <c r="X44" s="109">
        <f t="shared" si="13"/>
        <v>-4.2188474935755949E-15</v>
      </c>
      <c r="Y44" s="273">
        <f>(G44*E44*$D$158)*(References!$C$55/References!$G$58)-L44</f>
        <v>0</v>
      </c>
    </row>
    <row r="45" spans="1:25">
      <c r="A45" s="265"/>
      <c r="B45" s="92">
        <v>22</v>
      </c>
      <c r="C45" s="43" t="s">
        <v>249</v>
      </c>
      <c r="D45" s="44">
        <f>+SUMIF('Price Out'!D:D,C45,'Price Out'!AH:AH)</f>
        <v>8.3333333333333329E-2</v>
      </c>
      <c r="E45" s="56">
        <f>+References!B13</f>
        <v>1</v>
      </c>
      <c r="F45" s="44">
        <f t="shared" si="1"/>
        <v>1</v>
      </c>
      <c r="G45" s="44">
        <f>+References!B46</f>
        <v>125</v>
      </c>
      <c r="H45" s="44">
        <f t="shared" si="2"/>
        <v>125</v>
      </c>
      <c r="I45" s="44">
        <f t="shared" si="25"/>
        <v>124.53409115262603</v>
      </c>
      <c r="J45" s="58">
        <f>+I45*References!$C$55</f>
        <v>0.11955272750652043</v>
      </c>
      <c r="K45" s="58">
        <f>+J45/References!$G$58</f>
        <v>0.1220050285809985</v>
      </c>
      <c r="L45" s="58">
        <f t="shared" si="3"/>
        <v>0.1220050285809985</v>
      </c>
      <c r="M45" s="58">
        <f>+'Proposed Rates'!B60</f>
        <v>24.87</v>
      </c>
      <c r="N45" s="58">
        <f t="shared" si="4"/>
        <v>24.992005028580998</v>
      </c>
      <c r="O45" s="58">
        <f>+'Proposed Rates'!D60</f>
        <v>24.990000000000002</v>
      </c>
      <c r="P45" s="58">
        <f t="shared" si="5"/>
        <v>24.869999999999997</v>
      </c>
      <c r="Q45" s="58">
        <f t="shared" si="6"/>
        <v>24.990000000000002</v>
      </c>
      <c r="R45" s="58">
        <f t="shared" si="7"/>
        <v>0.12000000000000455</v>
      </c>
      <c r="S45" s="58">
        <f t="shared" si="8"/>
        <v>24.992005028580994</v>
      </c>
      <c r="T45" s="58">
        <f t="shared" si="9"/>
        <v>-2.0050285809922741E-3</v>
      </c>
      <c r="U45" s="57">
        <f t="shared" si="10"/>
        <v>24.992005028580998</v>
      </c>
      <c r="V45" s="57">
        <f t="shared" si="11"/>
        <v>24.992005028580994</v>
      </c>
      <c r="W45" s="57">
        <f t="shared" si="12"/>
        <v>0.12200502858099682</v>
      </c>
      <c r="X45" s="109">
        <f t="shared" si="13"/>
        <v>-1.6792123247455493E-15</v>
      </c>
      <c r="Y45" s="273">
        <f>(G45*E45*$D$158)*(References!$C$55/References!$G$58)-L45</f>
        <v>0</v>
      </c>
    </row>
    <row r="46" spans="1:25">
      <c r="A46" s="265"/>
      <c r="B46" s="92">
        <v>21</v>
      </c>
      <c r="C46" s="43" t="s">
        <v>251</v>
      </c>
      <c r="D46" s="44">
        <f>+SUMIF('Price Out'!D:D,C46,'Price Out'!AH:AH)</f>
        <v>1.4150815217391306</v>
      </c>
      <c r="E46" s="56">
        <f>+References!B13</f>
        <v>1</v>
      </c>
      <c r="F46" s="44">
        <f t="shared" si="1"/>
        <v>16.980978260869566</v>
      </c>
      <c r="G46" s="44">
        <f>+References!B28</f>
        <v>34</v>
      </c>
      <c r="H46" s="44">
        <f t="shared" si="2"/>
        <v>577.35326086956525</v>
      </c>
      <c r="I46" s="44">
        <f t="shared" si="25"/>
        <v>575.2013089311705</v>
      </c>
      <c r="J46" s="58">
        <f>+I46*References!$C$55</f>
        <v>0.55219325657392115</v>
      </c>
      <c r="K46" s="58">
        <f>+J46/References!$G$58</f>
        <v>0.56352000874979202</v>
      </c>
      <c r="L46" s="58">
        <f t="shared" si="3"/>
        <v>3.3185367774031596E-2</v>
      </c>
      <c r="M46" s="58">
        <f>+'Proposed Rates'!B50</f>
        <v>4.71</v>
      </c>
      <c r="N46" s="58">
        <f t="shared" si="4"/>
        <v>4.7431853677740312</v>
      </c>
      <c r="O46" s="58">
        <f>+'Proposed Rates'!D50</f>
        <v>4.7431853677740312</v>
      </c>
      <c r="P46" s="58">
        <f t="shared" si="5"/>
        <v>79.980407608695657</v>
      </c>
      <c r="Q46" s="58">
        <f t="shared" si="6"/>
        <v>80.543927617445448</v>
      </c>
      <c r="R46" s="58">
        <f t="shared" si="7"/>
        <v>0.56352000874979069</v>
      </c>
      <c r="S46" s="58">
        <f t="shared" si="8"/>
        <v>80.543927617445448</v>
      </c>
      <c r="T46" s="58">
        <f t="shared" si="9"/>
        <v>0</v>
      </c>
      <c r="U46" s="57">
        <f t="shared" si="10"/>
        <v>4.7431853677740312</v>
      </c>
      <c r="V46" s="57">
        <f t="shared" si="11"/>
        <v>80.543927617445448</v>
      </c>
      <c r="W46" s="57">
        <f t="shared" si="12"/>
        <v>0.56352000874979069</v>
      </c>
      <c r="X46" s="109">
        <f t="shared" si="13"/>
        <v>-1.3322676295501878E-15</v>
      </c>
      <c r="Y46" s="273">
        <f>(G46*E46*$D$158)*(References!$C$55/References!$G$58)-L46</f>
        <v>0</v>
      </c>
    </row>
    <row r="47" spans="1:25">
      <c r="A47" s="265"/>
      <c r="B47" s="92">
        <v>21</v>
      </c>
      <c r="C47" s="43" t="s">
        <v>253</v>
      </c>
      <c r="D47" s="44">
        <f>+SUMIF('Price Out'!D:D,C47,'Price Out'!AH:AH)</f>
        <v>0.33333333333333331</v>
      </c>
      <c r="E47" s="56">
        <f>+References!B13</f>
        <v>1</v>
      </c>
      <c r="F47" s="44">
        <f t="shared" si="1"/>
        <v>4</v>
      </c>
      <c r="G47" s="44">
        <f>+References!B28</f>
        <v>34</v>
      </c>
      <c r="H47" s="44">
        <f t="shared" si="2"/>
        <v>136</v>
      </c>
      <c r="I47" s="44">
        <f t="shared" si="25"/>
        <v>135.49309117405713</v>
      </c>
      <c r="J47" s="58">
        <f>+I47*References!$C$55</f>
        <v>0.13007336752709425</v>
      </c>
      <c r="K47" s="58">
        <f>+J47/References!$G$58</f>
        <v>0.13274147109612638</v>
      </c>
      <c r="L47" s="58">
        <f t="shared" si="3"/>
        <v>3.3185367774031596E-2</v>
      </c>
      <c r="M47" s="58">
        <f>+'Proposed Rates'!B50</f>
        <v>4.71</v>
      </c>
      <c r="N47" s="58">
        <f t="shared" si="4"/>
        <v>4.7431853677740312</v>
      </c>
      <c r="O47" s="58">
        <f>+'Proposed Rates'!D50</f>
        <v>4.7431853677740312</v>
      </c>
      <c r="P47" s="58">
        <f t="shared" si="5"/>
        <v>18.839999999999996</v>
      </c>
      <c r="Q47" s="58">
        <f t="shared" si="6"/>
        <v>18.972741471096125</v>
      </c>
      <c r="R47" s="58">
        <f t="shared" si="7"/>
        <v>0.13274147109612855</v>
      </c>
      <c r="S47" s="58">
        <f t="shared" si="8"/>
        <v>18.972741471096125</v>
      </c>
      <c r="T47" s="58">
        <f t="shared" si="9"/>
        <v>0</v>
      </c>
      <c r="U47" s="57">
        <f t="shared" si="10"/>
        <v>4.7431853677740312</v>
      </c>
      <c r="V47" s="57">
        <f t="shared" si="11"/>
        <v>18.972741471096125</v>
      </c>
      <c r="W47" s="57">
        <f t="shared" si="12"/>
        <v>0.13274147109612855</v>
      </c>
      <c r="X47" s="109">
        <f t="shared" si="13"/>
        <v>2.1649348980190553E-15</v>
      </c>
      <c r="Y47" s="273">
        <f>(G47*E47*$D$158)*(References!$C$55/References!$G$58)-L47</f>
        <v>0</v>
      </c>
    </row>
    <row r="48" spans="1:25">
      <c r="A48" s="265"/>
      <c r="B48" s="92">
        <v>21</v>
      </c>
      <c r="C48" s="43" t="s">
        <v>255</v>
      </c>
      <c r="D48" s="44">
        <f>+SUMIF('Price Out'!D:D,C48,'Price Out'!AH:AH)</f>
        <v>37.580742213126975</v>
      </c>
      <c r="E48" s="56">
        <f>+References!B13</f>
        <v>1</v>
      </c>
      <c r="F48" s="44">
        <f t="shared" si="1"/>
        <v>450.96890655752372</v>
      </c>
      <c r="G48" s="44">
        <f>+References!B25</f>
        <v>47</v>
      </c>
      <c r="H48" s="44">
        <f t="shared" si="2"/>
        <v>21195.538608203617</v>
      </c>
      <c r="I48" s="44">
        <f t="shared" si="25"/>
        <v>21116.537096504268</v>
      </c>
      <c r="J48" s="58">
        <f>+I48*References!$C$55</f>
        <v>20.271875612644003</v>
      </c>
      <c r="K48" s="58">
        <f>+J48/References!$G$58</f>
        <v>20.687698349468317</v>
      </c>
      <c r="L48" s="58">
        <f t="shared" si="3"/>
        <v>4.587389074645544E-2</v>
      </c>
      <c r="M48" s="58">
        <f>+'Proposed Rates'!B51</f>
        <v>9.2200000000000006</v>
      </c>
      <c r="N48" s="58">
        <f t="shared" si="4"/>
        <v>9.2658738907464553</v>
      </c>
      <c r="O48" s="58">
        <f>+'Proposed Rates'!D51</f>
        <v>9.2700000000000014</v>
      </c>
      <c r="P48" s="58">
        <f t="shared" si="5"/>
        <v>4157.9333184603693</v>
      </c>
      <c r="Q48" s="58">
        <f t="shared" si="6"/>
        <v>4180.4817637882452</v>
      </c>
      <c r="R48" s="58">
        <f t="shared" si="7"/>
        <v>22.548445327875925</v>
      </c>
      <c r="S48" s="58">
        <f t="shared" si="8"/>
        <v>4178.6210168098369</v>
      </c>
      <c r="T48" s="58">
        <f t="shared" si="9"/>
        <v>1.860746978408315</v>
      </c>
      <c r="U48" s="57">
        <f t="shared" si="10"/>
        <v>9.2658738907464553</v>
      </c>
      <c r="V48" s="57">
        <f t="shared" si="11"/>
        <v>4178.6210168098369</v>
      </c>
      <c r="W48" s="57">
        <f t="shared" si="12"/>
        <v>20.68769834946761</v>
      </c>
      <c r="X48" s="109">
        <f t="shared" si="13"/>
        <v>-7.0699002208129968E-13</v>
      </c>
      <c r="Y48" s="273">
        <f>(G48*E48*$D$158)*(References!$C$55/References!$G$58)-L48</f>
        <v>0</v>
      </c>
    </row>
    <row r="49" spans="1:31">
      <c r="A49" s="265"/>
      <c r="B49" s="92">
        <v>21</v>
      </c>
      <c r="C49" s="43" t="s">
        <v>257</v>
      </c>
      <c r="D49" s="44">
        <f>+SUMIF('Price Out'!D:D,C49,'Price Out'!AH:AH)</f>
        <v>7.9890336735353173</v>
      </c>
      <c r="E49" s="56">
        <f>+References!B13</f>
        <v>1</v>
      </c>
      <c r="F49" s="44">
        <f t="shared" si="1"/>
        <v>95.868404082423808</v>
      </c>
      <c r="G49" s="44">
        <f>+References!B26</f>
        <v>68</v>
      </c>
      <c r="H49" s="44">
        <f t="shared" si="2"/>
        <v>6519.0514776048185</v>
      </c>
      <c r="I49" s="44">
        <f t="shared" si="25"/>
        <v>6494.7532075255995</v>
      </c>
      <c r="J49" s="58">
        <f>+I49*References!$C$55</f>
        <v>6.2349630792245465</v>
      </c>
      <c r="K49" s="58">
        <f>+J49/References!$G$58</f>
        <v>6.362856494769412</v>
      </c>
      <c r="L49" s="58">
        <f t="shared" si="3"/>
        <v>6.6370735548063192E-2</v>
      </c>
      <c r="M49" s="58">
        <f>+'Proposed Rates'!B52</f>
        <v>13.81</v>
      </c>
      <c r="N49" s="58">
        <f t="shared" si="4"/>
        <v>13.876370735548063</v>
      </c>
      <c r="O49" s="58">
        <f>+'Proposed Rates'!D52</f>
        <v>13.88</v>
      </c>
      <c r="P49" s="58">
        <f t="shared" si="5"/>
        <v>1323.9426603782729</v>
      </c>
      <c r="Q49" s="58">
        <f t="shared" si="6"/>
        <v>1330.6534486640426</v>
      </c>
      <c r="R49" s="58">
        <f t="shared" si="7"/>
        <v>6.710788285769695</v>
      </c>
      <c r="S49" s="58">
        <f t="shared" si="8"/>
        <v>1330.3055168730421</v>
      </c>
      <c r="T49" s="58">
        <f t="shared" si="9"/>
        <v>0.3479317910005193</v>
      </c>
      <c r="U49" s="57">
        <f t="shared" si="10"/>
        <v>13.876370735548063</v>
      </c>
      <c r="V49" s="57">
        <f t="shared" si="11"/>
        <v>1330.3055168730421</v>
      </c>
      <c r="W49" s="57">
        <f t="shared" si="12"/>
        <v>6.3628564947691757</v>
      </c>
      <c r="X49" s="109">
        <f t="shared" si="13"/>
        <v>-2.3625545964023331E-13</v>
      </c>
      <c r="Y49" s="273">
        <f>(G49*E49*$D$158)*(References!$C$55/References!$G$58)-L49</f>
        <v>0</v>
      </c>
    </row>
    <row r="50" spans="1:31" s="72" customFormat="1">
      <c r="A50" s="152"/>
      <c r="B50" s="92">
        <v>22</v>
      </c>
      <c r="C50" s="72" t="s">
        <v>516</v>
      </c>
      <c r="D50" s="44">
        <f>+SUMIF('Price Out'!D:D,C50,'Price Out'!AH:AH)</f>
        <v>0.54014589488748344</v>
      </c>
      <c r="E50" s="94">
        <f>+References!B13</f>
        <v>1</v>
      </c>
      <c r="F50" s="44">
        <f t="shared" si="1"/>
        <v>6.4817507386498008</v>
      </c>
      <c r="G50" s="44">
        <f>+References!B46</f>
        <v>125</v>
      </c>
      <c r="H50" s="44">
        <f t="shared" ref="H50" si="26">+F50*G50</f>
        <v>810.21884233122512</v>
      </c>
      <c r="I50" s="44">
        <f t="shared" si="25"/>
        <v>807.19893731561547</v>
      </c>
      <c r="J50" s="58">
        <f>+I50*References!$C$55</f>
        <v>0.77491097982298729</v>
      </c>
      <c r="K50" s="58">
        <f>+J50/References!$G$58</f>
        <v>0.79080618412387726</v>
      </c>
      <c r="L50" s="58">
        <f t="shared" ref="L50" si="27">+K50/F50*E50</f>
        <v>0.12200502858099853</v>
      </c>
      <c r="M50" s="58">
        <f>+'Proposed Rates'!B59</f>
        <v>13.83</v>
      </c>
      <c r="N50" s="58">
        <f t="shared" si="4"/>
        <v>13.952005028580999</v>
      </c>
      <c r="O50" s="58">
        <f>+'Proposed Rates'!D59</f>
        <v>13.95</v>
      </c>
      <c r="P50" s="58">
        <f t="shared" ref="P50" si="28">+D50*M50*12</f>
        <v>89.642612715526752</v>
      </c>
      <c r="Q50" s="58">
        <f t="shared" ref="Q50" si="29">+D50*O50*12</f>
        <v>90.42042280416473</v>
      </c>
      <c r="R50" s="58">
        <f t="shared" ref="R50" si="30">+Q50-P50</f>
        <v>0.77781008863797751</v>
      </c>
      <c r="S50" s="58">
        <f t="shared" ref="S50" si="31">+D50*N50*12</f>
        <v>90.433418899650633</v>
      </c>
      <c r="T50" s="58">
        <f t="shared" ref="T50" si="32">+Q50-S50</f>
        <v>-1.299609548590297E-2</v>
      </c>
      <c r="U50" s="57">
        <f t="shared" ref="U50" si="33">+N50</f>
        <v>13.952005028580999</v>
      </c>
      <c r="V50" s="57">
        <f t="shared" ref="V50" si="34">+D50*U50*12</f>
        <v>90.433418899650633</v>
      </c>
      <c r="W50" s="57">
        <f t="shared" ref="W50" si="35">+V50-P50</f>
        <v>0.79080618412388048</v>
      </c>
      <c r="X50" s="109">
        <f t="shared" ref="X50" si="36">W50-K50</f>
        <v>3.219646771412954E-15</v>
      </c>
      <c r="Y50" s="273">
        <f>(G50*E50*$D$158)*(References!$C$55/References!$G$58)-L50</f>
        <v>0</v>
      </c>
      <c r="AA50" s="55"/>
      <c r="AB50" s="55"/>
      <c r="AC50" s="55"/>
      <c r="AD50" s="55"/>
      <c r="AE50" s="55"/>
    </row>
    <row r="51" spans="1:31">
      <c r="A51" s="84"/>
      <c r="B51" s="82"/>
      <c r="C51" s="81" t="s">
        <v>14</v>
      </c>
      <c r="D51" s="45">
        <f>SUM(D7:D50)</f>
        <v>6716.798976108631</v>
      </c>
      <c r="E51" s="49"/>
      <c r="F51" s="45">
        <f>SUM(F7:F49)</f>
        <v>220044.26266583765</v>
      </c>
      <c r="G51" s="85"/>
      <c r="H51" s="45">
        <f>SUM(H7:H49)</f>
        <v>10172840.60518501</v>
      </c>
      <c r="I51" s="45">
        <f>SUM(I7:I49)</f>
        <v>10134923.673657959</v>
      </c>
      <c r="J51" s="42"/>
      <c r="K51" s="42"/>
      <c r="L51" s="52"/>
      <c r="M51" s="52"/>
      <c r="N51" s="52"/>
      <c r="O51" s="52"/>
      <c r="P51" s="42">
        <f>SUM(P7:P50)</f>
        <v>1487030.9623918573</v>
      </c>
      <c r="Q51" s="42">
        <f>SUM(Q7:Q50)</f>
        <v>1496987.436773703</v>
      </c>
      <c r="R51" s="42">
        <f>SUM(R7:R50)</f>
        <v>9956.474381845539</v>
      </c>
      <c r="S51" s="42">
        <f>SUM(S7:S50)</f>
        <v>1496960.8548683256</v>
      </c>
      <c r="T51" s="42">
        <f>Q51-S51</f>
        <v>26.581905377330258</v>
      </c>
      <c r="U51" s="42"/>
      <c r="V51" s="42">
        <f>SUM(V7:V49)</f>
        <v>1496870.4214494261</v>
      </c>
      <c r="W51" s="42">
        <f>SUM(W7:W50)</f>
        <v>9929.8924764683707</v>
      </c>
      <c r="X51" s="109"/>
      <c r="Y51" s="273"/>
    </row>
    <row r="52" spans="1:31" ht="15" customHeight="1">
      <c r="A52" s="266" t="s">
        <v>12</v>
      </c>
      <c r="B52" s="92">
        <v>29</v>
      </c>
      <c r="C52" s="43" t="s">
        <v>454</v>
      </c>
      <c r="D52" s="44">
        <f>+D53</f>
        <v>91.582849373898696</v>
      </c>
      <c r="E52" s="56">
        <f>+References!B13</f>
        <v>1</v>
      </c>
      <c r="F52" s="44">
        <f t="shared" si="1"/>
        <v>1098.9941924867844</v>
      </c>
      <c r="G52" s="44">
        <f>+References!B31</f>
        <v>175</v>
      </c>
      <c r="H52" s="44">
        <f>+F52*G52</f>
        <v>192323.98368518727</v>
      </c>
      <c r="I52" s="44">
        <f t="shared" ref="I52:I98" si="37">+H52*$D$158</f>
        <v>191607.1401206982</v>
      </c>
      <c r="J52" s="58">
        <f>+I52*References!$C$55</f>
        <v>183.94285451586941</v>
      </c>
      <c r="K52" s="58">
        <f>+J52/References!$G$58</f>
        <v>187.71594501058212</v>
      </c>
      <c r="L52" s="58">
        <f>+K52/F52</f>
        <v>0.17080704001339791</v>
      </c>
      <c r="M52" s="58">
        <f>+'Proposed Rates'!B76</f>
        <v>34.57</v>
      </c>
      <c r="N52" s="58">
        <f t="shared" ref="N52" si="38">+L52+M52</f>
        <v>34.740807040013401</v>
      </c>
      <c r="O52" s="58">
        <f>+'Proposed Rates'!D76</f>
        <v>34.74</v>
      </c>
      <c r="P52" s="58">
        <f>+F52*M52</f>
        <v>37992.229234268139</v>
      </c>
      <c r="Q52" s="58">
        <f>+F52*O52</f>
        <v>38179.058246990891</v>
      </c>
      <c r="R52" s="58">
        <f>+Q52-P52</f>
        <v>186.82901272275194</v>
      </c>
      <c r="S52" s="58">
        <f>+F52*N52</f>
        <v>38179.945179278722</v>
      </c>
      <c r="T52" s="58">
        <f>+Q52-S52</f>
        <v>-0.88693228783085942</v>
      </c>
      <c r="U52" s="57">
        <f>+N52</f>
        <v>34.740807040013401</v>
      </c>
      <c r="V52" s="57">
        <f>+F52*U52</f>
        <v>38179.945179278722</v>
      </c>
      <c r="W52" s="57">
        <f>+V52-P52</f>
        <v>187.7159450105828</v>
      </c>
      <c r="X52" s="109">
        <f t="shared" si="13"/>
        <v>6.8212102632969618E-13</v>
      </c>
      <c r="Y52" s="273">
        <f>(G52*$D$158)*(References!$C$55/References!$G$58)-L52</f>
        <v>0</v>
      </c>
    </row>
    <row r="53" spans="1:31" ht="15" customHeight="1">
      <c r="A53" s="266"/>
      <c r="B53" s="92">
        <v>29</v>
      </c>
      <c r="C53" s="43" t="s">
        <v>285</v>
      </c>
      <c r="D53" s="44">
        <f>+SUMIF('Price Out'!D:D,C53,'Price Out'!AH:AH)</f>
        <v>91.582849373898696</v>
      </c>
      <c r="E53" s="56">
        <f>+References!B11</f>
        <v>4.333333333333333</v>
      </c>
      <c r="F53" s="44">
        <f>+D53*E53*12-F52</f>
        <v>3663.3139749559477</v>
      </c>
      <c r="G53" s="44">
        <f>+References!B31</f>
        <v>175</v>
      </c>
      <c r="H53" s="44">
        <f t="shared" ref="H53:H119" si="39">+F53*G53</f>
        <v>641079.94561729091</v>
      </c>
      <c r="I53" s="44">
        <f t="shared" si="37"/>
        <v>638690.46706899395</v>
      </c>
      <c r="J53" s="58">
        <f>+I53*References!$C$55</f>
        <v>613.14284838623132</v>
      </c>
      <c r="K53" s="58">
        <f>+J53/References!$G$58</f>
        <v>625.71981670194032</v>
      </c>
      <c r="L53" s="58">
        <f t="shared" ref="L53:L119" si="40">+K53/F53</f>
        <v>0.17080704001339791</v>
      </c>
      <c r="M53" s="58">
        <f>+'Proposed Rates'!B84</f>
        <v>20.22</v>
      </c>
      <c r="N53" s="58">
        <f t="shared" ref="N53:N120" si="41">+L53+M53</f>
        <v>20.390807040013396</v>
      </c>
      <c r="O53" s="58">
        <f>+'Proposed Rates'!D84</f>
        <v>20.39</v>
      </c>
      <c r="P53" s="58">
        <f t="shared" ref="P53:P122" si="42">+F53*M53</f>
        <v>74072.208573609256</v>
      </c>
      <c r="Q53" s="58">
        <f t="shared" ref="Q53:Q122" si="43">+F53*O53</f>
        <v>74694.971949351777</v>
      </c>
      <c r="R53" s="58">
        <f t="shared" ref="R53:R119" si="44">+Q53-P53</f>
        <v>622.76337574252102</v>
      </c>
      <c r="S53" s="58">
        <f t="shared" ref="S53:S122" si="45">+F53*N53</f>
        <v>74697.928390311194</v>
      </c>
      <c r="T53" s="58">
        <f t="shared" ref="T53:T119" si="46">+Q53-S53</f>
        <v>-2.9564409594167955</v>
      </c>
      <c r="U53" s="57">
        <f t="shared" ref="U53:U119" si="47">+N53</f>
        <v>20.390807040013396</v>
      </c>
      <c r="V53" s="57">
        <f t="shared" ref="V53:V122" si="48">+F53*U53</f>
        <v>74697.928390311194</v>
      </c>
      <c r="W53" s="57">
        <f t="shared" ref="W53:W119" si="49">+V53-P53</f>
        <v>625.71981670193782</v>
      </c>
      <c r="X53" s="109">
        <f t="shared" si="13"/>
        <v>-2.5011104298755527E-12</v>
      </c>
      <c r="Y53" s="273">
        <f>(G53*$D$158)*(References!$C$55/References!$G$58)-L53</f>
        <v>0</v>
      </c>
    </row>
    <row r="54" spans="1:31">
      <c r="A54" s="266"/>
      <c r="B54" s="92">
        <v>29</v>
      </c>
      <c r="C54" s="43" t="s">
        <v>455</v>
      </c>
      <c r="D54" s="44">
        <f>+D55</f>
        <v>5.5557087953513169E-2</v>
      </c>
      <c r="E54" s="56">
        <f>+References!B13</f>
        <v>1</v>
      </c>
      <c r="F54" s="44">
        <f t="shared" ref="F54:F120" si="50">+D54*E54*12</f>
        <v>0.66668505544215806</v>
      </c>
      <c r="G54" s="44">
        <f>+References!B31</f>
        <v>175</v>
      </c>
      <c r="H54" s="44">
        <f t="shared" si="39"/>
        <v>116.66988470237766</v>
      </c>
      <c r="I54" s="44">
        <f t="shared" si="37"/>
        <v>116.23502445033816</v>
      </c>
      <c r="J54" s="58">
        <f>+I54*References!$C$55</f>
        <v>0.11158562347232412</v>
      </c>
      <c r="K54" s="58">
        <f>+J54/References!$G$58</f>
        <v>0.1138745009412431</v>
      </c>
      <c r="L54" s="58">
        <f t="shared" si="40"/>
        <v>0.17080704001339791</v>
      </c>
      <c r="M54" s="58">
        <f>+'Proposed Rates'!B76</f>
        <v>34.57</v>
      </c>
      <c r="N54" s="58">
        <f t="shared" si="41"/>
        <v>34.740807040013401</v>
      </c>
      <c r="O54" s="58">
        <f>+'Proposed Rates'!D76</f>
        <v>34.74</v>
      </c>
      <c r="P54" s="58">
        <f t="shared" si="42"/>
        <v>23.047302366635403</v>
      </c>
      <c r="Q54" s="58">
        <f t="shared" si="43"/>
        <v>23.160638826060573</v>
      </c>
      <c r="R54" s="58">
        <f t="shared" si="44"/>
        <v>0.11333645942517023</v>
      </c>
      <c r="S54" s="58">
        <f t="shared" si="45"/>
        <v>23.16117686757665</v>
      </c>
      <c r="T54" s="58">
        <f t="shared" si="46"/>
        <v>-5.3804151607650397E-4</v>
      </c>
      <c r="U54" s="57">
        <f t="shared" si="47"/>
        <v>34.740807040013401</v>
      </c>
      <c r="V54" s="57">
        <f t="shared" si="48"/>
        <v>23.16117686757665</v>
      </c>
      <c r="W54" s="57">
        <f t="shared" si="49"/>
        <v>0.11387450094124674</v>
      </c>
      <c r="X54" s="109">
        <f t="shared" si="13"/>
        <v>3.6359804056473877E-15</v>
      </c>
      <c r="Y54" s="273">
        <f>(G54*$D$158)*(References!$C$55/References!$G$58)-L54</f>
        <v>0</v>
      </c>
    </row>
    <row r="55" spans="1:31">
      <c r="A55" s="266"/>
      <c r="B55" s="92">
        <v>29</v>
      </c>
      <c r="C55" s="43" t="s">
        <v>287</v>
      </c>
      <c r="D55" s="44">
        <f>+SUMIF('Price Out'!D:D,C55,'Price Out'!AH:AH)</f>
        <v>5.5557087953513169E-2</v>
      </c>
      <c r="E55" s="56">
        <f>+References!B10</f>
        <v>8.6666666666666661</v>
      </c>
      <c r="F55" s="44">
        <f>+D55*E55*12-F54</f>
        <v>5.1112520917232116</v>
      </c>
      <c r="G55" s="44">
        <f>+References!B31</f>
        <v>175</v>
      </c>
      <c r="H55" s="44">
        <f t="shared" si="39"/>
        <v>894.46911605156208</v>
      </c>
      <c r="I55" s="44">
        <f t="shared" si="37"/>
        <v>891.1351874525925</v>
      </c>
      <c r="J55" s="58">
        <f>+I55*References!$C$55</f>
        <v>0.85548977995448483</v>
      </c>
      <c r="K55" s="58">
        <f>+J55/References!$G$58</f>
        <v>0.87303784054953038</v>
      </c>
      <c r="L55" s="58">
        <f t="shared" si="40"/>
        <v>0.17080704001339791</v>
      </c>
      <c r="M55" s="58">
        <f>+'Proposed Rates'!B84</f>
        <v>20.22</v>
      </c>
      <c r="N55" s="58">
        <f t="shared" si="41"/>
        <v>20.390807040013396</v>
      </c>
      <c r="O55" s="58">
        <f>+'Proposed Rates'!D84</f>
        <v>20.39</v>
      </c>
      <c r="P55" s="58">
        <f t="shared" si="42"/>
        <v>103.34951729464333</v>
      </c>
      <c r="Q55" s="58">
        <f t="shared" si="43"/>
        <v>104.21843015023629</v>
      </c>
      <c r="R55" s="58">
        <f t="shared" si="44"/>
        <v>0.86891285559295284</v>
      </c>
      <c r="S55" s="58">
        <f t="shared" si="45"/>
        <v>104.22255513519286</v>
      </c>
      <c r="T55" s="58">
        <f t="shared" si="46"/>
        <v>-4.1249849565758723E-3</v>
      </c>
      <c r="U55" s="57">
        <f t="shared" si="47"/>
        <v>20.390807040013396</v>
      </c>
      <c r="V55" s="57">
        <f t="shared" si="48"/>
        <v>104.22255513519286</v>
      </c>
      <c r="W55" s="57">
        <f t="shared" si="49"/>
        <v>0.87303784054952871</v>
      </c>
      <c r="X55" s="109">
        <f t="shared" si="13"/>
        <v>-1.6653345369377348E-15</v>
      </c>
      <c r="Y55" s="273">
        <f>(G55*$D$158)*(References!$C$55/References!$G$58)-L55</f>
        <v>0</v>
      </c>
    </row>
    <row r="56" spans="1:31">
      <c r="A56" s="266"/>
      <c r="B56" s="92">
        <v>29</v>
      </c>
      <c r="C56" s="43" t="s">
        <v>456</v>
      </c>
      <c r="D56" s="44">
        <f>+D57</f>
        <v>124.12452495472698</v>
      </c>
      <c r="E56" s="94">
        <f>+References!B13</f>
        <v>1</v>
      </c>
      <c r="F56" s="44">
        <f t="shared" si="50"/>
        <v>1489.4942994567236</v>
      </c>
      <c r="G56" s="44">
        <f>+References!B31</f>
        <v>175</v>
      </c>
      <c r="H56" s="44">
        <f t="shared" si="39"/>
        <v>260661.50240492664</v>
      </c>
      <c r="I56" s="44">
        <f t="shared" si="37"/>
        <v>259689.94640380467</v>
      </c>
      <c r="J56" s="58">
        <f>+I56*References!$C$55</f>
        <v>249.30234854765135</v>
      </c>
      <c r="K56" s="58">
        <f>+J56/References!$G$58</f>
        <v>254.4161124070327</v>
      </c>
      <c r="L56" s="58">
        <f t="shared" si="40"/>
        <v>0.17080704001339791</v>
      </c>
      <c r="M56" s="58">
        <f>+'Proposed Rates'!B76</f>
        <v>34.57</v>
      </c>
      <c r="N56" s="58">
        <f t="shared" si="41"/>
        <v>34.740807040013401</v>
      </c>
      <c r="O56" s="58">
        <f>+'Proposed Rates'!D76</f>
        <v>34.74</v>
      </c>
      <c r="P56" s="58">
        <f t="shared" si="42"/>
        <v>51491.817932218939</v>
      </c>
      <c r="Q56" s="58">
        <f t="shared" si="43"/>
        <v>51745.031963126581</v>
      </c>
      <c r="R56" s="58">
        <f t="shared" si="44"/>
        <v>253.21403090764215</v>
      </c>
      <c r="S56" s="58">
        <f t="shared" si="45"/>
        <v>51746.23404462597</v>
      </c>
      <c r="T56" s="58">
        <f t="shared" si="46"/>
        <v>-1.2020814993884414</v>
      </c>
      <c r="U56" s="57">
        <f t="shared" si="47"/>
        <v>34.740807040013401</v>
      </c>
      <c r="V56" s="57">
        <f t="shared" si="48"/>
        <v>51746.23404462597</v>
      </c>
      <c r="W56" s="57">
        <f t="shared" si="49"/>
        <v>254.4161124070306</v>
      </c>
      <c r="X56" s="109">
        <f t="shared" si="13"/>
        <v>-2.1032064978498966E-12</v>
      </c>
      <c r="Y56" s="273">
        <f>(G56*$D$158)*(References!$C$55/References!$G$58)-L56</f>
        <v>0</v>
      </c>
    </row>
    <row r="57" spans="1:31">
      <c r="A57" s="266"/>
      <c r="B57" s="92">
        <v>29</v>
      </c>
      <c r="C57" s="43" t="s">
        <v>290</v>
      </c>
      <c r="D57" s="44">
        <f>+SUMIF('Price Out'!D:D,C57,'Price Out'!AH:AH)</f>
        <v>124.12452495472698</v>
      </c>
      <c r="E57" s="56">
        <f>+References!B12</f>
        <v>2.1666666666666665</v>
      </c>
      <c r="F57" s="44">
        <f>+D57*E57*12-F56</f>
        <v>1737.7433493661774</v>
      </c>
      <c r="G57" s="44">
        <f>+References!B31</f>
        <v>175</v>
      </c>
      <c r="H57" s="44">
        <f t="shared" si="39"/>
        <v>304105.08613908105</v>
      </c>
      <c r="I57" s="44">
        <f t="shared" si="37"/>
        <v>302971.60413777211</v>
      </c>
      <c r="J57" s="58">
        <f>+I57*References!$C$55</f>
        <v>290.85273997225988</v>
      </c>
      <c r="K57" s="58">
        <f>+J57/References!$G$58</f>
        <v>296.81879780820481</v>
      </c>
      <c r="L57" s="58">
        <f t="shared" si="40"/>
        <v>0.17080704001339794</v>
      </c>
      <c r="M57" s="58">
        <f>+'Proposed Rates'!B84</f>
        <v>20.22</v>
      </c>
      <c r="N57" s="58">
        <f t="shared" si="41"/>
        <v>20.390807040013396</v>
      </c>
      <c r="O57" s="58">
        <f>+'Proposed Rates'!D84</f>
        <v>20.39</v>
      </c>
      <c r="P57" s="58">
        <f t="shared" si="42"/>
        <v>35137.170524184105</v>
      </c>
      <c r="Q57" s="58">
        <f t="shared" si="43"/>
        <v>35432.586893576357</v>
      </c>
      <c r="R57" s="58">
        <f t="shared" si="44"/>
        <v>295.41636939225282</v>
      </c>
      <c r="S57" s="58">
        <f t="shared" si="45"/>
        <v>35433.989321992311</v>
      </c>
      <c r="T57" s="58">
        <f t="shared" si="46"/>
        <v>-1.4024284159531817</v>
      </c>
      <c r="U57" s="57">
        <f t="shared" si="47"/>
        <v>20.390807040013396</v>
      </c>
      <c r="V57" s="57">
        <f t="shared" si="48"/>
        <v>35433.989321992311</v>
      </c>
      <c r="W57" s="57">
        <f t="shared" si="49"/>
        <v>296.818797808206</v>
      </c>
      <c r="X57" s="109">
        <f t="shared" si="13"/>
        <v>1.1937117960769683E-12</v>
      </c>
      <c r="Y57" s="273">
        <f>(G57*$D$158)*(References!$C$55/References!$G$58)-L57</f>
        <v>0</v>
      </c>
    </row>
    <row r="58" spans="1:31">
      <c r="A58" s="266"/>
      <c r="B58" s="92">
        <v>29</v>
      </c>
      <c r="C58" s="43" t="s">
        <v>458</v>
      </c>
      <c r="D58" s="44">
        <f>+SUMIF('Price Out'!D:D,C58,'Price Out'!AH:AH)</f>
        <v>0.5601298638854183</v>
      </c>
      <c r="E58" s="94">
        <f>+References!B13</f>
        <v>1</v>
      </c>
      <c r="F58" s="44">
        <f>+D58*E58*12</f>
        <v>6.72155836662502</v>
      </c>
      <c r="G58" s="44">
        <f>+References!B32</f>
        <v>250</v>
      </c>
      <c r="H58" s="44">
        <f t="shared" si="39"/>
        <v>1680.3895916562551</v>
      </c>
      <c r="I58" s="44">
        <f t="shared" si="37"/>
        <v>1674.1263246339529</v>
      </c>
      <c r="J58" s="58">
        <f>+I58*References!$C$55</f>
        <v>1.6071612716485875</v>
      </c>
      <c r="K58" s="58">
        <f>+J58/References!$G$58</f>
        <v>1.6401278412578706</v>
      </c>
      <c r="L58" s="58">
        <f t="shared" si="40"/>
        <v>0.24401005716199703</v>
      </c>
      <c r="M58" s="58">
        <f>+'Proposed Rates'!B77</f>
        <v>48.8</v>
      </c>
      <c r="N58" s="58">
        <f t="shared" si="41"/>
        <v>49.044010057161991</v>
      </c>
      <c r="O58" s="58">
        <f>+'Proposed Rates'!D77</f>
        <v>49.04</v>
      </c>
      <c r="P58" s="58">
        <f t="shared" si="42"/>
        <v>328.01204829130097</v>
      </c>
      <c r="Q58" s="58">
        <f t="shared" si="43"/>
        <v>329.62522229929095</v>
      </c>
      <c r="R58" s="58">
        <f t="shared" si="44"/>
        <v>1.6131740079899828</v>
      </c>
      <c r="S58" s="58">
        <f t="shared" si="45"/>
        <v>329.65217613255879</v>
      </c>
      <c r="T58" s="58">
        <f t="shared" si="46"/>
        <v>-2.69538332678394E-2</v>
      </c>
      <c r="U58" s="57">
        <f t="shared" si="47"/>
        <v>49.044010057161991</v>
      </c>
      <c r="V58" s="57">
        <f t="shared" si="48"/>
        <v>329.65217613255879</v>
      </c>
      <c r="W58" s="57">
        <f t="shared" si="49"/>
        <v>1.6401278412578222</v>
      </c>
      <c r="X58" s="109">
        <f t="shared" si="13"/>
        <v>-4.8405723873656825E-14</v>
      </c>
      <c r="Y58" s="273">
        <f>(G58*$D$158)*(References!$C$55/References!$G$58)-L58</f>
        <v>0</v>
      </c>
    </row>
    <row r="59" spans="1:31">
      <c r="A59" s="266"/>
      <c r="B59" s="92">
        <v>29</v>
      </c>
      <c r="C59" s="43" t="s">
        <v>457</v>
      </c>
      <c r="D59" s="44">
        <f>+D60</f>
        <v>51.607505620843831</v>
      </c>
      <c r="E59" s="94">
        <f>+References!B13</f>
        <v>1</v>
      </c>
      <c r="F59" s="44">
        <f t="shared" si="50"/>
        <v>619.290067450126</v>
      </c>
      <c r="G59" s="44">
        <f>+References!B32</f>
        <v>250</v>
      </c>
      <c r="H59" s="44">
        <f t="shared" si="39"/>
        <v>154822.51686253151</v>
      </c>
      <c r="I59" s="44">
        <f t="shared" si="37"/>
        <v>154245.45141949985</v>
      </c>
      <c r="J59" s="58">
        <f>+I59*References!$C$55</f>
        <v>148.07563336271917</v>
      </c>
      <c r="K59" s="58">
        <f>+J59/References!$G$58</f>
        <v>151.11300475836225</v>
      </c>
      <c r="L59" s="58">
        <f t="shared" si="40"/>
        <v>0.24401005716199706</v>
      </c>
      <c r="M59" s="58">
        <f>+'Proposed Rates'!B77</f>
        <v>48.8</v>
      </c>
      <c r="N59" s="58">
        <f t="shared" si="41"/>
        <v>49.044010057161991</v>
      </c>
      <c r="O59" s="58">
        <f>+'Proposed Rates'!D77</f>
        <v>49.04</v>
      </c>
      <c r="P59" s="58">
        <f t="shared" si="42"/>
        <v>30221.355291566146</v>
      </c>
      <c r="Q59" s="58">
        <f t="shared" si="43"/>
        <v>30369.98490775418</v>
      </c>
      <c r="R59" s="58">
        <f t="shared" si="44"/>
        <v>148.62961618803456</v>
      </c>
      <c r="S59" s="58">
        <f t="shared" si="45"/>
        <v>30372.468296324507</v>
      </c>
      <c r="T59" s="58">
        <f t="shared" si="46"/>
        <v>-2.4833885703264968</v>
      </c>
      <c r="U59" s="57">
        <f t="shared" si="47"/>
        <v>49.044010057161991</v>
      </c>
      <c r="V59" s="57">
        <f t="shared" si="48"/>
        <v>30372.468296324507</v>
      </c>
      <c r="W59" s="57">
        <f t="shared" si="49"/>
        <v>151.11300475836106</v>
      </c>
      <c r="X59" s="109">
        <f t="shared" si="13"/>
        <v>-1.1937117960769683E-12</v>
      </c>
      <c r="Y59" s="273">
        <f>(G59*$D$158)*(References!$C$55/References!$G$58)-L59</f>
        <v>0</v>
      </c>
    </row>
    <row r="60" spans="1:31">
      <c r="A60" s="266"/>
      <c r="B60" s="92">
        <v>29</v>
      </c>
      <c r="C60" s="43" t="s">
        <v>294</v>
      </c>
      <c r="D60" s="44">
        <f>+SUMIF('Price Out'!D:D,C60,'Price Out'!AH:AH)</f>
        <v>51.607505620843831</v>
      </c>
      <c r="E60" s="56">
        <f>+References!B11</f>
        <v>4.333333333333333</v>
      </c>
      <c r="F60" s="44">
        <f>+D60*E60*12-F59</f>
        <v>2064.300224833753</v>
      </c>
      <c r="G60" s="44">
        <f>+References!B32</f>
        <v>250</v>
      </c>
      <c r="H60" s="44">
        <f t="shared" si="39"/>
        <v>516075.05620843824</v>
      </c>
      <c r="I60" s="44">
        <f t="shared" si="37"/>
        <v>514151.50473166601</v>
      </c>
      <c r="J60" s="58">
        <f>+I60*References!$C$55</f>
        <v>493.58544454239711</v>
      </c>
      <c r="K60" s="58">
        <f>+J60/References!$G$58</f>
        <v>503.71001586120741</v>
      </c>
      <c r="L60" s="58">
        <f t="shared" si="40"/>
        <v>0.24401005716199706</v>
      </c>
      <c r="M60" s="58">
        <f>+'Proposed Rates'!B85</f>
        <v>27.82</v>
      </c>
      <c r="N60" s="58">
        <f t="shared" si="41"/>
        <v>28.064010057161997</v>
      </c>
      <c r="O60" s="58">
        <f>+'Proposed Rates'!D85</f>
        <v>28.06</v>
      </c>
      <c r="P60" s="58">
        <f t="shared" si="42"/>
        <v>57428.832254875007</v>
      </c>
      <c r="Q60" s="58">
        <f t="shared" si="43"/>
        <v>57924.264308835103</v>
      </c>
      <c r="R60" s="58">
        <f t="shared" si="44"/>
        <v>495.4320539600958</v>
      </c>
      <c r="S60" s="58">
        <f t="shared" si="45"/>
        <v>57932.542270736216</v>
      </c>
      <c r="T60" s="58">
        <f t="shared" si="46"/>
        <v>-8.277961901112576</v>
      </c>
      <c r="U60" s="57">
        <f t="shared" si="47"/>
        <v>28.064010057161997</v>
      </c>
      <c r="V60" s="57">
        <f t="shared" si="48"/>
        <v>57932.542270736216</v>
      </c>
      <c r="W60" s="57">
        <f t="shared" si="49"/>
        <v>503.71001586120838</v>
      </c>
      <c r="X60" s="109">
        <f t="shared" si="13"/>
        <v>9.6633812063373625E-13</v>
      </c>
      <c r="Y60" s="273">
        <f>(G60*$D$158)*(References!$C$55/References!$G$58)-L60</f>
        <v>0</v>
      </c>
    </row>
    <row r="61" spans="1:31">
      <c r="A61" s="266"/>
      <c r="B61" s="92">
        <v>29</v>
      </c>
      <c r="C61" s="43" t="s">
        <v>459</v>
      </c>
      <c r="D61" s="44">
        <f>+D62</f>
        <v>2.827541432543025</v>
      </c>
      <c r="E61" s="94">
        <f>+References!B13</f>
        <v>1</v>
      </c>
      <c r="F61" s="44">
        <f>+D61*E61*12</f>
        <v>33.930497190516299</v>
      </c>
      <c r="G61" s="44">
        <f>+References!B32</f>
        <v>250</v>
      </c>
      <c r="H61" s="44">
        <f t="shared" si="39"/>
        <v>8482.6242976290741</v>
      </c>
      <c r="I61" s="44">
        <f t="shared" si="37"/>
        <v>8451.0072599553569</v>
      </c>
      <c r="J61" s="58">
        <f>+I61*References!$C$55</f>
        <v>8.1129669695571049</v>
      </c>
      <c r="K61" s="58">
        <f>+J61/References!$G$58</f>
        <v>8.2793825589928609</v>
      </c>
      <c r="L61" s="58">
        <f t="shared" si="40"/>
        <v>0.244010057161997</v>
      </c>
      <c r="M61" s="58">
        <f>+'Proposed Rates'!B77</f>
        <v>48.8</v>
      </c>
      <c r="N61" s="58">
        <f t="shared" si="41"/>
        <v>49.044010057161991</v>
      </c>
      <c r="O61" s="58">
        <f>+'Proposed Rates'!D77</f>
        <v>49.04</v>
      </c>
      <c r="P61" s="58">
        <f t="shared" si="42"/>
        <v>1655.8082628971954</v>
      </c>
      <c r="Q61" s="58">
        <f t="shared" si="43"/>
        <v>1663.9515822229193</v>
      </c>
      <c r="R61" s="58">
        <f t="shared" si="44"/>
        <v>8.1433193257239509</v>
      </c>
      <c r="S61" s="58">
        <f t="shared" si="45"/>
        <v>1664.0876454561881</v>
      </c>
      <c r="T61" s="58">
        <f t="shared" si="46"/>
        <v>-0.13606323326871461</v>
      </c>
      <c r="U61" s="57">
        <f t="shared" si="47"/>
        <v>49.044010057161991</v>
      </c>
      <c r="V61" s="57">
        <f t="shared" si="48"/>
        <v>1664.0876454561881</v>
      </c>
      <c r="W61" s="57">
        <f t="shared" si="49"/>
        <v>8.2793825589926655</v>
      </c>
      <c r="X61" s="109">
        <f t="shared" si="13"/>
        <v>-1.9539925233402755E-13</v>
      </c>
      <c r="Y61" s="273">
        <f>(G61*$D$158)*(References!$C$55/References!$G$58)-L61</f>
        <v>0</v>
      </c>
    </row>
    <row r="62" spans="1:31">
      <c r="A62" s="266"/>
      <c r="B62" s="92">
        <v>29</v>
      </c>
      <c r="C62" s="107" t="s">
        <v>297</v>
      </c>
      <c r="D62" s="44">
        <f>+SUMIF('Price Out'!D:D,C62,'Price Out'!AH:AH)</f>
        <v>2.827541432543025</v>
      </c>
      <c r="E62" s="46">
        <f>+References!B10</f>
        <v>8.6666666666666661</v>
      </c>
      <c r="F62" s="44">
        <f>+D62*E62*12-F61</f>
        <v>260.13381179395827</v>
      </c>
      <c r="G62" s="44">
        <f>+References!B32</f>
        <v>250</v>
      </c>
      <c r="H62" s="44">
        <f t="shared" si="39"/>
        <v>65033.452948489568</v>
      </c>
      <c r="I62" s="44">
        <f t="shared" si="37"/>
        <v>64791.05565965773</v>
      </c>
      <c r="J62" s="58">
        <f>+I62*References!$C$55</f>
        <v>62.199413433271133</v>
      </c>
      <c r="K62" s="58">
        <f>+J62/References!$G$58</f>
        <v>63.47526628561193</v>
      </c>
      <c r="L62" s="58">
        <f t="shared" si="40"/>
        <v>0.244010057161997</v>
      </c>
      <c r="M62" s="58">
        <f>+'Proposed Rates'!B85</f>
        <v>27.82</v>
      </c>
      <c r="N62" s="58">
        <f t="shared" si="41"/>
        <v>28.064010057161997</v>
      </c>
      <c r="O62" s="58">
        <f>+'Proposed Rates'!D85</f>
        <v>28.06</v>
      </c>
      <c r="P62" s="58">
        <f t="shared" si="42"/>
        <v>7236.922644107919</v>
      </c>
      <c r="Q62" s="58">
        <f t="shared" si="43"/>
        <v>7299.3547589384689</v>
      </c>
      <c r="R62" s="58">
        <f t="shared" si="44"/>
        <v>62.432114830549835</v>
      </c>
      <c r="S62" s="58">
        <f t="shared" si="45"/>
        <v>7300.3979103935308</v>
      </c>
      <c r="T62" s="58">
        <f t="shared" si="46"/>
        <v>-1.0431514550618886</v>
      </c>
      <c r="U62" s="57">
        <f t="shared" si="47"/>
        <v>28.064010057161997</v>
      </c>
      <c r="V62" s="57">
        <f t="shared" si="48"/>
        <v>7300.3979103935308</v>
      </c>
      <c r="W62" s="57">
        <f t="shared" si="49"/>
        <v>63.475266285611724</v>
      </c>
      <c r="X62" s="109">
        <f t="shared" si="13"/>
        <v>-2.0605739337042905E-13</v>
      </c>
      <c r="Y62" s="273">
        <f>(G62*$D$158)*(References!$C$55/References!$G$58)-L62</f>
        <v>0</v>
      </c>
    </row>
    <row r="63" spans="1:31">
      <c r="A63" s="266"/>
      <c r="B63" s="92">
        <v>29</v>
      </c>
      <c r="C63" s="107" t="s">
        <v>460</v>
      </c>
      <c r="D63" s="44">
        <f>+D64</f>
        <v>34.294176810326164</v>
      </c>
      <c r="E63" s="46">
        <f>+References!B13</f>
        <v>1</v>
      </c>
      <c r="F63" s="44">
        <f t="shared" si="50"/>
        <v>411.53012172391396</v>
      </c>
      <c r="G63" s="44">
        <f>+References!B32</f>
        <v>250</v>
      </c>
      <c r="H63" s="44">
        <f t="shared" si="39"/>
        <v>102882.53043097848</v>
      </c>
      <c r="I63" s="44">
        <f t="shared" si="37"/>
        <v>102499.05938163438</v>
      </c>
      <c r="J63" s="58">
        <f>+I63*References!$C$55</f>
        <v>98.39909700636855</v>
      </c>
      <c r="K63" s="58">
        <f>+J63/References!$G$58</f>
        <v>100.41748852573583</v>
      </c>
      <c r="L63" s="58">
        <f>+K63/F63</f>
        <v>0.244010057161997</v>
      </c>
      <c r="M63" s="58">
        <f>+'Proposed Rates'!B77</f>
        <v>48.8</v>
      </c>
      <c r="N63" s="58">
        <f t="shared" si="41"/>
        <v>49.044010057161991</v>
      </c>
      <c r="O63" s="58">
        <f>+'Proposed Rates'!D77</f>
        <v>49.04</v>
      </c>
      <c r="P63" s="58">
        <f t="shared" si="42"/>
        <v>20082.669940127002</v>
      </c>
      <c r="Q63" s="58">
        <f t="shared" si="43"/>
        <v>20181.437169340741</v>
      </c>
      <c r="R63" s="58">
        <f t="shared" si="44"/>
        <v>98.767229213739483</v>
      </c>
      <c r="S63" s="58">
        <f t="shared" si="45"/>
        <v>20183.087428652736</v>
      </c>
      <c r="T63" s="58">
        <f t="shared" si="46"/>
        <v>-1.650259311994887</v>
      </c>
      <c r="U63" s="57">
        <f t="shared" si="47"/>
        <v>49.044010057161991</v>
      </c>
      <c r="V63" s="57">
        <f t="shared" si="48"/>
        <v>20183.087428652736</v>
      </c>
      <c r="W63" s="57">
        <f t="shared" si="49"/>
        <v>100.41748852573437</v>
      </c>
      <c r="X63" s="109">
        <f t="shared" ref="X63:X122" si="51">W63-K63</f>
        <v>-1.4637180356658064E-12</v>
      </c>
      <c r="Y63" s="273">
        <f>(G63*$D$158)*(References!$C$55/References!$G$58)-L63</f>
        <v>0</v>
      </c>
    </row>
    <row r="64" spans="1:31">
      <c r="A64" s="266"/>
      <c r="B64" s="92">
        <v>29</v>
      </c>
      <c r="C64" s="107" t="s">
        <v>300</v>
      </c>
      <c r="D64" s="44">
        <f>+SUMIF('Price Out'!D:D,C64,'Price Out'!AH:AH)</f>
        <v>34.294176810326164</v>
      </c>
      <c r="E64" s="46">
        <f>+References!B12</f>
        <v>2.1666666666666665</v>
      </c>
      <c r="F64" s="44">
        <f>+D64*E64*12-F63</f>
        <v>480.11847534456632</v>
      </c>
      <c r="G64" s="44">
        <f>+References!B32</f>
        <v>250</v>
      </c>
      <c r="H64" s="90">
        <f>+F64*G64</f>
        <v>120029.61883614158</v>
      </c>
      <c r="I64" s="44">
        <f t="shared" si="37"/>
        <v>119582.23594524011</v>
      </c>
      <c r="J64" s="58">
        <f>+I64*References!$C$55</f>
        <v>114.79894650742997</v>
      </c>
      <c r="K64" s="58">
        <f>+J64/References!$G$58</f>
        <v>117.15373661335848</v>
      </c>
      <c r="L64" s="58">
        <f t="shared" si="40"/>
        <v>0.244010057161997</v>
      </c>
      <c r="M64" s="58">
        <f>+'Proposed Rates'!B85</f>
        <v>27.82</v>
      </c>
      <c r="N64" s="58">
        <f t="shared" si="41"/>
        <v>28.064010057161997</v>
      </c>
      <c r="O64" s="58">
        <f>+'Proposed Rates'!D85</f>
        <v>28.06</v>
      </c>
      <c r="P64" s="58">
        <f t="shared" si="42"/>
        <v>13356.895984085835</v>
      </c>
      <c r="Q64" s="58">
        <f t="shared" si="43"/>
        <v>13472.124418168531</v>
      </c>
      <c r="R64" s="58">
        <f t="shared" si="44"/>
        <v>115.22843408269546</v>
      </c>
      <c r="S64" s="58">
        <f t="shared" si="45"/>
        <v>13474.049720699193</v>
      </c>
      <c r="T64" s="58">
        <f t="shared" si="46"/>
        <v>-1.9253025306625204</v>
      </c>
      <c r="U64" s="57">
        <f t="shared" si="47"/>
        <v>28.064010057161997</v>
      </c>
      <c r="V64" s="57">
        <f t="shared" si="48"/>
        <v>13474.049720699193</v>
      </c>
      <c r="W64" s="57">
        <f t="shared" si="49"/>
        <v>117.15373661335798</v>
      </c>
      <c r="X64" s="109">
        <f t="shared" si="51"/>
        <v>-4.9737991503207013E-13</v>
      </c>
      <c r="Y64" s="273">
        <f>(G64*$D$158)*(References!$C$55/References!$G$58)-L64</f>
        <v>0</v>
      </c>
    </row>
    <row r="65" spans="1:31">
      <c r="A65" s="266"/>
      <c r="B65" s="92">
        <v>29</v>
      </c>
      <c r="C65" s="107" t="s">
        <v>461</v>
      </c>
      <c r="D65" s="44">
        <f>+D66</f>
        <v>57.056421145470217</v>
      </c>
      <c r="E65" s="46">
        <f>+References!B13</f>
        <v>1</v>
      </c>
      <c r="F65" s="44">
        <f t="shared" si="50"/>
        <v>684.67705374564264</v>
      </c>
      <c r="G65" s="44">
        <f>+References!B33</f>
        <v>324</v>
      </c>
      <c r="H65" s="44">
        <f t="shared" si="39"/>
        <v>221835.36541358821</v>
      </c>
      <c r="I65" s="44">
        <f t="shared" si="37"/>
        <v>221008.52493833521</v>
      </c>
      <c r="J65" s="58">
        <f>+I65*References!$C$55</f>
        <v>212.16818394080082</v>
      </c>
      <c r="K65" s="58">
        <f>+J65/References!$G$58</f>
        <v>216.52024078048865</v>
      </c>
      <c r="L65" s="58">
        <f t="shared" si="40"/>
        <v>0.31623703408194814</v>
      </c>
      <c r="M65" s="58">
        <f>+'Proposed Rates'!B78</f>
        <v>59.52</v>
      </c>
      <c r="N65" s="58">
        <f t="shared" si="41"/>
        <v>59.836237034081954</v>
      </c>
      <c r="O65" s="58">
        <f>+'Proposed Rates'!D78</f>
        <v>59.84</v>
      </c>
      <c r="P65" s="58">
        <f t="shared" si="42"/>
        <v>40751.978238940654</v>
      </c>
      <c r="Q65" s="58">
        <f t="shared" si="43"/>
        <v>40971.07489613926</v>
      </c>
      <c r="R65" s="58">
        <f t="shared" si="44"/>
        <v>219.09665719860641</v>
      </c>
      <c r="S65" s="58">
        <f t="shared" si="45"/>
        <v>40968.498479721144</v>
      </c>
      <c r="T65" s="58">
        <f t="shared" si="46"/>
        <v>2.5764164181164233</v>
      </c>
      <c r="U65" s="57">
        <f t="shared" si="47"/>
        <v>59.836237034081954</v>
      </c>
      <c r="V65" s="57">
        <f t="shared" si="48"/>
        <v>40968.498479721144</v>
      </c>
      <c r="W65" s="57">
        <f t="shared" si="49"/>
        <v>216.52024078048998</v>
      </c>
      <c r="X65" s="109">
        <f t="shared" si="51"/>
        <v>1.3358203432289883E-12</v>
      </c>
      <c r="Y65" s="273">
        <f>(G65*$D$158)*(References!$C$55/References!$G$58)-L65</f>
        <v>0</v>
      </c>
    </row>
    <row r="66" spans="1:31">
      <c r="A66" s="266"/>
      <c r="B66" s="92">
        <v>29</v>
      </c>
      <c r="C66" s="107" t="s">
        <v>303</v>
      </c>
      <c r="D66" s="44">
        <f>+SUMIF('Price Out'!D:D,C66,'Price Out'!AH:AH)</f>
        <v>57.056421145470217</v>
      </c>
      <c r="E66" s="46">
        <f>+References!B11</f>
        <v>4.333333333333333</v>
      </c>
      <c r="F66" s="44">
        <f>+D66*E66*12-F65</f>
        <v>2282.2568458188084</v>
      </c>
      <c r="G66" s="44">
        <f>+References!B33</f>
        <v>324</v>
      </c>
      <c r="H66" s="44">
        <f t="shared" si="39"/>
        <v>739451.21804529394</v>
      </c>
      <c r="I66" s="44">
        <f t="shared" si="37"/>
        <v>736695.08312778384</v>
      </c>
      <c r="J66" s="58">
        <f>+I66*References!$C$55</f>
        <v>707.22727980266927</v>
      </c>
      <c r="K66" s="58">
        <f>+J66/References!$G$58</f>
        <v>721.73413593496207</v>
      </c>
      <c r="L66" s="58">
        <f t="shared" si="40"/>
        <v>0.3162370340819482</v>
      </c>
      <c r="M66" s="58">
        <f>+'Proposed Rates'!B86</f>
        <v>37.159999999999997</v>
      </c>
      <c r="N66" s="58">
        <f t="shared" si="41"/>
        <v>37.476237034081947</v>
      </c>
      <c r="O66" s="58">
        <f>+'Proposed Rates'!D86</f>
        <v>37.479999999999997</v>
      </c>
      <c r="P66" s="58">
        <f t="shared" si="42"/>
        <v>84808.664390626916</v>
      </c>
      <c r="Q66" s="58">
        <f t="shared" si="43"/>
        <v>85538.986581288933</v>
      </c>
      <c r="R66" s="58">
        <f t="shared" si="44"/>
        <v>730.32219066201651</v>
      </c>
      <c r="S66" s="58">
        <f t="shared" si="45"/>
        <v>85530.398526561883</v>
      </c>
      <c r="T66" s="58">
        <f t="shared" si="46"/>
        <v>8.5880547270498937</v>
      </c>
      <c r="U66" s="57">
        <f t="shared" si="47"/>
        <v>37.476237034081947</v>
      </c>
      <c r="V66" s="57">
        <f t="shared" si="48"/>
        <v>85530.398526561883</v>
      </c>
      <c r="W66" s="57">
        <f t="shared" si="49"/>
        <v>721.73413593496662</v>
      </c>
      <c r="X66" s="109">
        <f t="shared" si="51"/>
        <v>4.5474735088646412E-12</v>
      </c>
      <c r="Y66" s="273">
        <f>(G66*$D$158)*(References!$C$55/References!$G$58)-L66</f>
        <v>0</v>
      </c>
    </row>
    <row r="67" spans="1:31">
      <c r="A67" s="266"/>
      <c r="B67" s="92">
        <v>29</v>
      </c>
      <c r="C67" s="107" t="s">
        <v>462</v>
      </c>
      <c r="D67" s="44">
        <f>+D68</f>
        <v>2.9722197471771756</v>
      </c>
      <c r="E67" s="46">
        <f>+References!B13</f>
        <v>1</v>
      </c>
      <c r="F67" s="44">
        <f t="shared" si="50"/>
        <v>35.666636966126106</v>
      </c>
      <c r="G67" s="44">
        <f>+References!B33</f>
        <v>324</v>
      </c>
      <c r="H67" s="44">
        <f t="shared" si="39"/>
        <v>11555.990377024858</v>
      </c>
      <c r="I67" s="44">
        <f t="shared" si="37"/>
        <v>11512.918071770264</v>
      </c>
      <c r="J67" s="58">
        <f>+I67*References!$C$55</f>
        <v>11.052401348899402</v>
      </c>
      <c r="K67" s="58">
        <f>+J67/References!$G$58</f>
        <v>11.279111489845292</v>
      </c>
      <c r="L67" s="58">
        <f t="shared" si="40"/>
        <v>0.31623703408194809</v>
      </c>
      <c r="M67" s="58">
        <f>+'Proposed Rates'!B78</f>
        <v>59.52</v>
      </c>
      <c r="N67" s="58">
        <f t="shared" si="41"/>
        <v>59.836237034081954</v>
      </c>
      <c r="O67" s="58">
        <f>+'Proposed Rates'!D78</f>
        <v>59.84</v>
      </c>
      <c r="P67" s="58">
        <f t="shared" si="42"/>
        <v>2122.8782322238258</v>
      </c>
      <c r="Q67" s="58">
        <f t="shared" si="43"/>
        <v>2134.2915560529864</v>
      </c>
      <c r="R67" s="58">
        <f t="shared" si="44"/>
        <v>11.413323829160618</v>
      </c>
      <c r="S67" s="58">
        <f t="shared" si="45"/>
        <v>2134.1573437136713</v>
      </c>
      <c r="T67" s="58">
        <f t="shared" si="46"/>
        <v>0.13421233931512688</v>
      </c>
      <c r="U67" s="57">
        <f t="shared" si="47"/>
        <v>59.836237034081954</v>
      </c>
      <c r="V67" s="57">
        <f t="shared" si="48"/>
        <v>2134.1573437136713</v>
      </c>
      <c r="W67" s="57">
        <f t="shared" si="49"/>
        <v>11.279111489845491</v>
      </c>
      <c r="X67" s="109">
        <f t="shared" si="51"/>
        <v>1.9895196601282805E-13</v>
      </c>
      <c r="Y67" s="273">
        <f>(G67*$D$158)*(References!$C$55/References!$G$58)-L67</f>
        <v>0</v>
      </c>
    </row>
    <row r="68" spans="1:31">
      <c r="A68" s="266"/>
      <c r="B68" s="92">
        <v>29</v>
      </c>
      <c r="C68" s="43" t="s">
        <v>306</v>
      </c>
      <c r="D68" s="44">
        <f>+SUMIF('Price Out'!D:D,C68,'Price Out'!AH:AH)</f>
        <v>2.9722197471771756</v>
      </c>
      <c r="E68" s="56">
        <f>+References!B10</f>
        <v>8.6666666666666661</v>
      </c>
      <c r="F68" s="44">
        <f>+D68*E68*12-F67</f>
        <v>273.44421674030013</v>
      </c>
      <c r="G68" s="44">
        <f>+References!B33</f>
        <v>324</v>
      </c>
      <c r="H68" s="44">
        <f t="shared" si="39"/>
        <v>88595.926223857241</v>
      </c>
      <c r="I68" s="44">
        <f t="shared" si="37"/>
        <v>88265.70521690535</v>
      </c>
      <c r="J68" s="58">
        <f>+I68*References!$C$55</f>
        <v>84.735077008228743</v>
      </c>
      <c r="K68" s="58">
        <f>+J68/References!$G$58</f>
        <v>86.473188088813899</v>
      </c>
      <c r="L68" s="58">
        <f t="shared" si="40"/>
        <v>0.31623703408194809</v>
      </c>
      <c r="M68" s="58">
        <f>+'Proposed Rates'!B86</f>
        <v>37.159999999999997</v>
      </c>
      <c r="N68" s="58">
        <f t="shared" si="41"/>
        <v>37.476237034081947</v>
      </c>
      <c r="O68" s="58">
        <f>+'Proposed Rates'!D86</f>
        <v>37.479999999999997</v>
      </c>
      <c r="P68" s="58">
        <f t="shared" si="42"/>
        <v>10161.187094069552</v>
      </c>
      <c r="Q68" s="58">
        <f t="shared" si="43"/>
        <v>10248.689243426448</v>
      </c>
      <c r="R68" s="58">
        <f t="shared" si="44"/>
        <v>87.502149356896552</v>
      </c>
      <c r="S68" s="58">
        <f t="shared" si="45"/>
        <v>10247.660282158367</v>
      </c>
      <c r="T68" s="58">
        <f t="shared" si="46"/>
        <v>1.0289612680808204</v>
      </c>
      <c r="U68" s="57">
        <f t="shared" si="47"/>
        <v>37.476237034081947</v>
      </c>
      <c r="V68" s="57">
        <f t="shared" si="48"/>
        <v>10247.660282158367</v>
      </c>
      <c r="W68" s="57">
        <f t="shared" si="49"/>
        <v>86.473188088815732</v>
      </c>
      <c r="X68" s="109">
        <f t="shared" si="51"/>
        <v>1.8332002582610585E-12</v>
      </c>
      <c r="Y68" s="273">
        <f>(G68*$D$158)*(References!$C$55/References!$G$58)-L68</f>
        <v>0</v>
      </c>
    </row>
    <row r="69" spans="1:31">
      <c r="A69" s="266"/>
      <c r="B69" s="92">
        <v>29</v>
      </c>
      <c r="C69" s="43" t="s">
        <v>463</v>
      </c>
      <c r="D69" s="44">
        <f>+D70</f>
        <v>17.820873466866573</v>
      </c>
      <c r="E69" s="94">
        <f>+References!B13</f>
        <v>1</v>
      </c>
      <c r="F69" s="44">
        <f t="shared" si="50"/>
        <v>213.85048160239887</v>
      </c>
      <c r="G69" s="44">
        <f>+References!B33</f>
        <v>324</v>
      </c>
      <c r="H69" s="44">
        <f t="shared" si="39"/>
        <v>69287.556039177231</v>
      </c>
      <c r="I69" s="44">
        <f t="shared" si="37"/>
        <v>69029.302556204653</v>
      </c>
      <c r="J69" s="58">
        <f>+I69*References!$C$55</f>
        <v>66.268130453956161</v>
      </c>
      <c r="K69" s="58">
        <f>+J69/References!$G$58</f>
        <v>67.627442038938838</v>
      </c>
      <c r="L69" s="58">
        <f t="shared" si="40"/>
        <v>0.31623703408194814</v>
      </c>
      <c r="M69" s="58">
        <f>+'Proposed Rates'!B78</f>
        <v>59.52</v>
      </c>
      <c r="N69" s="58">
        <f t="shared" si="41"/>
        <v>59.836237034081954</v>
      </c>
      <c r="O69" s="58">
        <f>+'Proposed Rates'!D78</f>
        <v>59.84</v>
      </c>
      <c r="P69" s="58">
        <f t="shared" si="42"/>
        <v>12728.380664974782</v>
      </c>
      <c r="Q69" s="58">
        <f t="shared" si="43"/>
        <v>12796.812819087549</v>
      </c>
      <c r="R69" s="58">
        <f t="shared" si="44"/>
        <v>68.432154112766511</v>
      </c>
      <c r="S69" s="58">
        <f t="shared" si="45"/>
        <v>12796.00810701372</v>
      </c>
      <c r="T69" s="58">
        <f t="shared" si="46"/>
        <v>0.80471207382834109</v>
      </c>
      <c r="U69" s="57">
        <f t="shared" si="47"/>
        <v>59.836237034081954</v>
      </c>
      <c r="V69" s="57">
        <f t="shared" si="48"/>
        <v>12796.00810701372</v>
      </c>
      <c r="W69" s="57">
        <f t="shared" si="49"/>
        <v>67.62744203893817</v>
      </c>
      <c r="X69" s="109">
        <f t="shared" si="51"/>
        <v>-6.6791017161449417E-13</v>
      </c>
      <c r="Y69" s="273">
        <f>(G69*$D$158)*(References!$C$55/References!$G$58)-L69</f>
        <v>0</v>
      </c>
    </row>
    <row r="70" spans="1:31">
      <c r="A70" s="266"/>
      <c r="B70" s="92">
        <v>29</v>
      </c>
      <c r="C70" s="43" t="s">
        <v>309</v>
      </c>
      <c r="D70" s="44">
        <f>+SUMIF('Price Out'!D:D,C70,'Price Out'!AH:AH)</f>
        <v>17.820873466866573</v>
      </c>
      <c r="E70" s="56">
        <f>+References!B12</f>
        <v>2.1666666666666665</v>
      </c>
      <c r="F70" s="44">
        <f>+D70*E70*12-F69</f>
        <v>249.49222853613202</v>
      </c>
      <c r="G70" s="44">
        <f>+References!B33</f>
        <v>324</v>
      </c>
      <c r="H70" s="44">
        <f t="shared" si="39"/>
        <v>80835.482045706769</v>
      </c>
      <c r="I70" s="44">
        <f t="shared" si="37"/>
        <v>80534.186315572093</v>
      </c>
      <c r="J70" s="58">
        <f>+I70*References!$C$55</f>
        <v>77.312818862948859</v>
      </c>
      <c r="K70" s="58">
        <f>+J70/References!$G$58</f>
        <v>78.898682378761976</v>
      </c>
      <c r="L70" s="58">
        <f t="shared" si="40"/>
        <v>0.31623703408194814</v>
      </c>
      <c r="M70" s="58">
        <f>+'Proposed Rates'!B86</f>
        <v>37.159999999999997</v>
      </c>
      <c r="N70" s="58">
        <f t="shared" si="41"/>
        <v>37.476237034081947</v>
      </c>
      <c r="O70" s="58">
        <f>+'Proposed Rates'!D86</f>
        <v>37.479999999999997</v>
      </c>
      <c r="P70" s="58">
        <f t="shared" si="42"/>
        <v>9271.1312124026645</v>
      </c>
      <c r="Q70" s="58">
        <f t="shared" si="43"/>
        <v>9350.9687255342269</v>
      </c>
      <c r="R70" s="58">
        <f t="shared" si="44"/>
        <v>79.837513131562446</v>
      </c>
      <c r="S70" s="58">
        <f t="shared" si="45"/>
        <v>9350.0298947814281</v>
      </c>
      <c r="T70" s="58">
        <f t="shared" si="46"/>
        <v>0.93883075279882178</v>
      </c>
      <c r="U70" s="57">
        <f t="shared" si="47"/>
        <v>37.476237034081947</v>
      </c>
      <c r="V70" s="57">
        <f t="shared" si="48"/>
        <v>9350.0298947814281</v>
      </c>
      <c r="W70" s="57">
        <f t="shared" si="49"/>
        <v>78.898682378763624</v>
      </c>
      <c r="X70" s="109">
        <f t="shared" si="51"/>
        <v>1.6484591469634324E-12</v>
      </c>
      <c r="Y70" s="273">
        <f>(G70*$D$158)*(References!$C$55/References!$G$58)-L70</f>
        <v>0</v>
      </c>
    </row>
    <row r="71" spans="1:31" s="72" customFormat="1">
      <c r="A71" s="266"/>
      <c r="B71" s="92">
        <v>29</v>
      </c>
      <c r="C71" s="72" t="s">
        <v>464</v>
      </c>
      <c r="D71" s="44">
        <f>+D72</f>
        <v>18.229138081551081</v>
      </c>
      <c r="E71" s="94">
        <f>+References!B13</f>
        <v>1</v>
      </c>
      <c r="F71" s="44">
        <f t="shared" ref="F71" si="52">+D71*E71*12</f>
        <v>218.74965697861296</v>
      </c>
      <c r="G71" s="44">
        <f>+References!B34</f>
        <v>473</v>
      </c>
      <c r="H71" s="44">
        <f t="shared" ref="H71" si="53">+F71*G71</f>
        <v>103468.58775088393</v>
      </c>
      <c r="I71" s="44">
        <f t="shared" si="37"/>
        <v>103082.93230721653</v>
      </c>
      <c r="J71" s="58">
        <f>+I71*References!$C$55</f>
        <v>98.959615014927408</v>
      </c>
      <c r="K71" s="58">
        <f>+J71/References!$G$58</f>
        <v>100.98950404625718</v>
      </c>
      <c r="L71" s="58">
        <f t="shared" ref="L71" si="54">+K71/F71</f>
        <v>0.46166702815049843</v>
      </c>
      <c r="M71" s="58">
        <f>+'Proposed Rates'!B79</f>
        <v>80.45</v>
      </c>
      <c r="N71" s="58">
        <f t="shared" ref="N71" si="55">+L71+M71</f>
        <v>80.911667028150504</v>
      </c>
      <c r="O71" s="58">
        <f>+'Proposed Rates'!D79</f>
        <v>80.91</v>
      </c>
      <c r="P71" s="58">
        <f t="shared" ref="P71" si="56">+F71*M71</f>
        <v>17598.409903929412</v>
      </c>
      <c r="Q71" s="58">
        <f t="shared" ref="Q71" si="57">+F71*O71</f>
        <v>17699.034746139572</v>
      </c>
      <c r="R71" s="58">
        <f t="shared" ref="R71" si="58">+Q71-P71</f>
        <v>100.62484221015984</v>
      </c>
      <c r="S71" s="58">
        <f t="shared" ref="S71" si="59">+F71*N71</f>
        <v>17699.39940797567</v>
      </c>
      <c r="T71" s="58">
        <f t="shared" ref="T71" si="60">+Q71-S71</f>
        <v>-0.36466183609809377</v>
      </c>
      <c r="U71" s="57">
        <f t="shared" ref="U71" si="61">+N71</f>
        <v>80.911667028150504</v>
      </c>
      <c r="V71" s="57">
        <f t="shared" ref="V71" si="62">+F71*U71</f>
        <v>17699.39940797567</v>
      </c>
      <c r="W71" s="57">
        <f t="shared" ref="W71" si="63">+V71-P71</f>
        <v>100.98950404625793</v>
      </c>
      <c r="X71" s="109">
        <f t="shared" si="51"/>
        <v>7.531752999057062E-13</v>
      </c>
      <c r="Y71" s="273">
        <f>(G71*$D$158)*(References!$C$55/References!$G$58)-L71</f>
        <v>0</v>
      </c>
      <c r="AA71" s="55"/>
      <c r="AB71" s="55"/>
      <c r="AC71" s="55"/>
      <c r="AD71" s="55"/>
      <c r="AE71" s="55"/>
    </row>
    <row r="72" spans="1:31">
      <c r="A72" s="266"/>
      <c r="B72" s="92">
        <v>29</v>
      </c>
      <c r="C72" s="43" t="s">
        <v>312</v>
      </c>
      <c r="D72" s="44">
        <f>+SUMIF('Price Out'!D:D,C72,'Price Out'!AH:AH)</f>
        <v>18.229138081551081</v>
      </c>
      <c r="E72" s="56">
        <f>+References!B11</f>
        <v>4.333333333333333</v>
      </c>
      <c r="F72" s="44">
        <f>+D72*E72*12-F71</f>
        <v>729.16552326204317</v>
      </c>
      <c r="G72" s="44">
        <f>+References!B34</f>
        <v>473</v>
      </c>
      <c r="H72" s="44">
        <f t="shared" si="39"/>
        <v>344895.29250294639</v>
      </c>
      <c r="I72" s="44">
        <f t="shared" si="37"/>
        <v>343609.77435738838</v>
      </c>
      <c r="J72" s="58">
        <f>+I72*References!$C$55</f>
        <v>329.86538338309134</v>
      </c>
      <c r="K72" s="58">
        <f>+J72/References!$G$58</f>
        <v>336.63168015419058</v>
      </c>
      <c r="L72" s="58">
        <f t="shared" si="40"/>
        <v>0.46166702815049837</v>
      </c>
      <c r="M72" s="58">
        <f>+'Proposed Rates'!B87</f>
        <v>53.67</v>
      </c>
      <c r="N72" s="58">
        <f t="shared" si="41"/>
        <v>54.131667028150503</v>
      </c>
      <c r="O72" s="58">
        <f>+'Proposed Rates'!D87</f>
        <v>54.13</v>
      </c>
      <c r="P72" s="58">
        <f t="shared" si="42"/>
        <v>39134.313633473859</v>
      </c>
      <c r="Q72" s="58">
        <f t="shared" si="43"/>
        <v>39469.729774174397</v>
      </c>
      <c r="R72" s="58">
        <f t="shared" si="44"/>
        <v>335.41614070053765</v>
      </c>
      <c r="S72" s="58">
        <f t="shared" si="45"/>
        <v>39470.94531362805</v>
      </c>
      <c r="T72" s="58">
        <f t="shared" si="46"/>
        <v>-1.2155394536530366</v>
      </c>
      <c r="U72" s="57">
        <f t="shared" si="47"/>
        <v>54.131667028150503</v>
      </c>
      <c r="V72" s="57">
        <f t="shared" si="48"/>
        <v>39470.94531362805</v>
      </c>
      <c r="W72" s="57">
        <f t="shared" si="49"/>
        <v>336.63168015419069</v>
      </c>
      <c r="X72" s="109">
        <f t="shared" si="51"/>
        <v>0</v>
      </c>
      <c r="Y72" s="273">
        <f>(G72*$D$158)*(References!$C$55/References!$G$58)-L72</f>
        <v>0</v>
      </c>
    </row>
    <row r="73" spans="1:31" s="72" customFormat="1">
      <c r="A73" s="266"/>
      <c r="B73" s="92">
        <v>29</v>
      </c>
      <c r="C73" s="72" t="s">
        <v>465</v>
      </c>
      <c r="D73" s="44">
        <f>+D74</f>
        <v>1.8518715666652471E-2</v>
      </c>
      <c r="E73" s="94">
        <f>+References!B13</f>
        <v>1</v>
      </c>
      <c r="F73" s="44">
        <f t="shared" ref="F73" si="64">+D73*E73*12</f>
        <v>0.22222458799982964</v>
      </c>
      <c r="G73" s="44">
        <f>+References!B34</f>
        <v>473</v>
      </c>
      <c r="H73" s="44">
        <f t="shared" ref="H73" si="65">+F73*G73</f>
        <v>105.11223012391942</v>
      </c>
      <c r="I73" s="44">
        <f t="shared" si="37"/>
        <v>104.72044838006389</v>
      </c>
      <c r="J73" s="58">
        <f>+I73*References!$C$55</f>
        <v>0.10053163044486087</v>
      </c>
      <c r="K73" s="58">
        <f>+J73/References!$G$58</f>
        <v>0.10259376512385025</v>
      </c>
      <c r="L73" s="58">
        <f t="shared" ref="L73" si="66">+K73/F73</f>
        <v>0.46166702815049837</v>
      </c>
      <c r="M73" s="58">
        <f>+'Proposed Rates'!B79</f>
        <v>80.45</v>
      </c>
      <c r="N73" s="58">
        <f t="shared" ref="N73" si="67">+L73+M73</f>
        <v>80.911667028150504</v>
      </c>
      <c r="O73" s="58">
        <f>+'Proposed Rates'!D79</f>
        <v>80.91</v>
      </c>
      <c r="P73" s="58">
        <f t="shared" ref="P73" si="68">+F73*M73</f>
        <v>17.877968104586294</v>
      </c>
      <c r="Q73" s="58">
        <f t="shared" ref="Q73" si="69">+F73*O73</f>
        <v>17.980191415066216</v>
      </c>
      <c r="R73" s="58">
        <f t="shared" ref="R73" si="70">+Q73-P73</f>
        <v>0.10222331047992128</v>
      </c>
      <c r="S73" s="58">
        <f t="shared" ref="S73" si="71">+F73*N73</f>
        <v>17.980561869710147</v>
      </c>
      <c r="T73" s="58">
        <f t="shared" ref="T73" si="72">+Q73-S73</f>
        <v>-3.7045464393159477E-4</v>
      </c>
      <c r="U73" s="57">
        <f t="shared" ref="U73" si="73">+N73</f>
        <v>80.911667028150504</v>
      </c>
      <c r="V73" s="57">
        <f t="shared" ref="V73" si="74">+F73*U73</f>
        <v>17.980561869710147</v>
      </c>
      <c r="W73" s="57">
        <f t="shared" ref="W73" si="75">+V73-P73</f>
        <v>0.10259376512385288</v>
      </c>
      <c r="X73" s="109">
        <f t="shared" si="51"/>
        <v>2.6229018956769323E-15</v>
      </c>
      <c r="Y73" s="273">
        <f>(G73*$D$158)*(References!$C$55/References!$G$58)-L73</f>
        <v>0</v>
      </c>
      <c r="AA73" s="55"/>
      <c r="AB73" s="55"/>
      <c r="AC73" s="55"/>
      <c r="AD73" s="55"/>
      <c r="AE73" s="55"/>
    </row>
    <row r="74" spans="1:31">
      <c r="A74" s="266"/>
      <c r="B74" s="92">
        <v>29</v>
      </c>
      <c r="C74" s="43" t="s">
        <v>314</v>
      </c>
      <c r="D74" s="44">
        <f>+SUMIF('Price Out'!D:D,C74,'Price Out'!AH:AH)</f>
        <v>1.8518715666652471E-2</v>
      </c>
      <c r="E74" s="56">
        <f>+References!B10</f>
        <v>8.6666666666666661</v>
      </c>
      <c r="F74" s="44">
        <f>+D74*E74*12-F73</f>
        <v>1.7037218413320272</v>
      </c>
      <c r="G74" s="44">
        <f>+References!B34</f>
        <v>473</v>
      </c>
      <c r="H74" s="44">
        <f t="shared" si="39"/>
        <v>805.86043095004891</v>
      </c>
      <c r="I74" s="44">
        <f t="shared" si="37"/>
        <v>802.85677091382308</v>
      </c>
      <c r="J74" s="58">
        <f>+I74*References!$C$55</f>
        <v>0.77074250007726663</v>
      </c>
      <c r="K74" s="58">
        <f>+J74/References!$G$58</f>
        <v>0.78655219928285192</v>
      </c>
      <c r="L74" s="58">
        <f t="shared" si="40"/>
        <v>0.46166702815049837</v>
      </c>
      <c r="M74" s="58">
        <f>+'Proposed Rates'!B87</f>
        <v>53.67</v>
      </c>
      <c r="N74" s="58">
        <f t="shared" si="41"/>
        <v>54.131667028150503</v>
      </c>
      <c r="O74" s="58">
        <f>+'Proposed Rates'!D87</f>
        <v>54.13</v>
      </c>
      <c r="P74" s="58">
        <f t="shared" si="42"/>
        <v>91.438751224289902</v>
      </c>
      <c r="Q74" s="58">
        <f t="shared" si="43"/>
        <v>92.22246327130263</v>
      </c>
      <c r="R74" s="58">
        <f t="shared" si="44"/>
        <v>0.78371204701272745</v>
      </c>
      <c r="S74" s="58">
        <f t="shared" si="45"/>
        <v>92.225303423572754</v>
      </c>
      <c r="T74" s="58">
        <f t="shared" si="46"/>
        <v>-2.840152270124463E-3</v>
      </c>
      <c r="U74" s="57">
        <f t="shared" si="47"/>
        <v>54.131667028150503</v>
      </c>
      <c r="V74" s="57">
        <f t="shared" si="48"/>
        <v>92.225303423572754</v>
      </c>
      <c r="W74" s="57">
        <f t="shared" si="49"/>
        <v>0.78655219928285192</v>
      </c>
      <c r="X74" s="109">
        <f t="shared" si="51"/>
        <v>0</v>
      </c>
      <c r="Y74" s="273">
        <f>(G74*$D$158)*(References!$C$55/References!$G$58)-L74</f>
        <v>0</v>
      </c>
    </row>
    <row r="75" spans="1:31" s="72" customFormat="1">
      <c r="A75" s="266"/>
      <c r="B75" s="92">
        <v>29</v>
      </c>
      <c r="C75" s="72" t="s">
        <v>466</v>
      </c>
      <c r="D75" s="44">
        <f>+D76</f>
        <v>4.5143031864193004</v>
      </c>
      <c r="E75" s="94">
        <f>+References!B13</f>
        <v>1</v>
      </c>
      <c r="F75" s="44">
        <f t="shared" si="50"/>
        <v>54.171638237031601</v>
      </c>
      <c r="G75" s="44">
        <f>+References!B34</f>
        <v>473</v>
      </c>
      <c r="H75" s="44">
        <f t="shared" ref="H75:H92" si="76">+F75*G75</f>
        <v>25623.184886115949</v>
      </c>
      <c r="I75" s="44">
        <f t="shared" si="37"/>
        <v>25527.680337825226</v>
      </c>
      <c r="J75" s="58">
        <f>+I75*References!$C$55</f>
        <v>24.506573124312105</v>
      </c>
      <c r="K75" s="58">
        <f>+J75/References!$G$58</f>
        <v>25.009259234934284</v>
      </c>
      <c r="L75" s="58">
        <f t="shared" ref="L75:L92" si="77">+K75/F75</f>
        <v>0.46166702815049843</v>
      </c>
      <c r="M75" s="58">
        <f>+'Proposed Rates'!B79</f>
        <v>80.45</v>
      </c>
      <c r="N75" s="58">
        <f t="shared" ref="N75:N92" si="78">+L75+M75</f>
        <v>80.911667028150504</v>
      </c>
      <c r="O75" s="58">
        <f>+'Proposed Rates'!D79</f>
        <v>80.91</v>
      </c>
      <c r="P75" s="58">
        <f t="shared" ref="P75:P92" si="79">+F75*M75</f>
        <v>4358.1082961691927</v>
      </c>
      <c r="Q75" s="58">
        <f t="shared" ref="Q75:Q92" si="80">+F75*O75</f>
        <v>4383.0272497582264</v>
      </c>
      <c r="R75" s="58">
        <f t="shared" ref="R75:R92" si="81">+Q75-P75</f>
        <v>24.918953589033663</v>
      </c>
      <c r="S75" s="58">
        <f t="shared" ref="S75:S92" si="82">+F75*N75</f>
        <v>4383.1175554041265</v>
      </c>
      <c r="T75" s="58">
        <f t="shared" ref="T75:T92" si="83">+Q75-S75</f>
        <v>-9.030564590011636E-2</v>
      </c>
      <c r="U75" s="57">
        <f t="shared" ref="U75:U92" si="84">+N75</f>
        <v>80.911667028150504</v>
      </c>
      <c r="V75" s="57">
        <f t="shared" ref="V75:V92" si="85">+F75*U75</f>
        <v>4383.1175554041265</v>
      </c>
      <c r="W75" s="57">
        <f t="shared" ref="W75:W92" si="86">+V75-P75</f>
        <v>25.009259234933779</v>
      </c>
      <c r="X75" s="109">
        <f t="shared" si="51"/>
        <v>-5.0448534238967113E-13</v>
      </c>
      <c r="Y75" s="273">
        <f>(G75*$D$158)*(References!$C$55/References!$G$58)-L75</f>
        <v>0</v>
      </c>
      <c r="AA75" s="55"/>
      <c r="AB75" s="55"/>
      <c r="AC75" s="55"/>
      <c r="AD75" s="55"/>
      <c r="AE75" s="55"/>
    </row>
    <row r="76" spans="1:31">
      <c r="A76" s="266"/>
      <c r="B76" s="92">
        <v>29</v>
      </c>
      <c r="C76" s="43" t="s">
        <v>316</v>
      </c>
      <c r="D76" s="44">
        <f>+SUMIF('Price Out'!D:D,C76,'Price Out'!AH:AH)</f>
        <v>4.5143031864193004</v>
      </c>
      <c r="E76" s="56">
        <f>+References!B12</f>
        <v>2.1666666666666665</v>
      </c>
      <c r="F76" s="44">
        <f>+D76*E76*12-F75</f>
        <v>63.200244609870197</v>
      </c>
      <c r="G76" s="44">
        <f>+References!B34</f>
        <v>473</v>
      </c>
      <c r="H76" s="44">
        <f t="shared" si="76"/>
        <v>29893.715700468601</v>
      </c>
      <c r="I76" s="44">
        <f t="shared" si="37"/>
        <v>29782.293727462758</v>
      </c>
      <c r="J76" s="58">
        <f>+I76*References!$C$55</f>
        <v>28.591001978364115</v>
      </c>
      <c r="K76" s="58">
        <f>+J76/References!$G$58</f>
        <v>29.177469107423324</v>
      </c>
      <c r="L76" s="58">
        <f t="shared" si="77"/>
        <v>0.46166702815049832</v>
      </c>
      <c r="M76" s="58">
        <f>+'Proposed Rates'!B87</f>
        <v>53.67</v>
      </c>
      <c r="N76" s="58">
        <f t="shared" si="78"/>
        <v>54.131667028150503</v>
      </c>
      <c r="O76" s="58">
        <f>+'Proposed Rates'!D87</f>
        <v>54.13</v>
      </c>
      <c r="P76" s="58">
        <f t="shared" si="79"/>
        <v>3391.9571282117336</v>
      </c>
      <c r="Q76" s="58">
        <f t="shared" si="80"/>
        <v>3421.029240732274</v>
      </c>
      <c r="R76" s="58">
        <f t="shared" si="81"/>
        <v>29.072112520540486</v>
      </c>
      <c r="S76" s="58">
        <f t="shared" si="82"/>
        <v>3421.1345973191569</v>
      </c>
      <c r="T76" s="58">
        <f t="shared" si="83"/>
        <v>-0.10535658688286276</v>
      </c>
      <c r="U76" s="57">
        <f t="shared" si="84"/>
        <v>54.131667028150503</v>
      </c>
      <c r="V76" s="57">
        <f t="shared" si="85"/>
        <v>3421.1345973191569</v>
      </c>
      <c r="W76" s="57">
        <f t="shared" si="86"/>
        <v>29.177469107423349</v>
      </c>
      <c r="X76" s="109">
        <f t="shared" si="51"/>
        <v>0</v>
      </c>
      <c r="Y76" s="273">
        <f>(G76*$D$158)*(References!$C$55/References!$G$58)-L76</f>
        <v>0</v>
      </c>
    </row>
    <row r="77" spans="1:31" s="72" customFormat="1">
      <c r="A77" s="266"/>
      <c r="B77" s="92">
        <v>29</v>
      </c>
      <c r="C77" s="72" t="s">
        <v>467</v>
      </c>
      <c r="D77" s="44">
        <f>+D78</f>
        <v>22.114622083128097</v>
      </c>
      <c r="E77" s="94">
        <f>+References!B13</f>
        <v>1</v>
      </c>
      <c r="F77" s="44">
        <f t="shared" si="50"/>
        <v>265.37546499753716</v>
      </c>
      <c r="G77" s="44">
        <f>+References!B35</f>
        <v>613</v>
      </c>
      <c r="H77" s="44">
        <f t="shared" si="76"/>
        <v>162675.16004349029</v>
      </c>
      <c r="I77" s="44">
        <f t="shared" si="37"/>
        <v>162068.82567299239</v>
      </c>
      <c r="J77" s="58">
        <f>+I77*References!$C$55</f>
        <v>155.58607264607198</v>
      </c>
      <c r="K77" s="58">
        <f>+J77/References!$G$58</f>
        <v>158.77750040419633</v>
      </c>
      <c r="L77" s="58">
        <f t="shared" si="77"/>
        <v>0.59831266016121676</v>
      </c>
      <c r="M77" s="58">
        <f>+'Proposed Rates'!B80</f>
        <v>99.91</v>
      </c>
      <c r="N77" s="58">
        <f t="shared" si="78"/>
        <v>100.50831266016121</v>
      </c>
      <c r="O77" s="58">
        <f>+'Proposed Rates'!D80</f>
        <v>100.50999999999999</v>
      </c>
      <c r="P77" s="58">
        <f t="shared" si="79"/>
        <v>26513.662707903939</v>
      </c>
      <c r="Q77" s="58">
        <f t="shared" si="80"/>
        <v>26672.887986902457</v>
      </c>
      <c r="R77" s="58">
        <f t="shared" si="81"/>
        <v>159.22527899851775</v>
      </c>
      <c r="S77" s="58">
        <f t="shared" si="82"/>
        <v>26672.440208308133</v>
      </c>
      <c r="T77" s="58">
        <f t="shared" si="83"/>
        <v>0.44777859432360856</v>
      </c>
      <c r="U77" s="57">
        <f t="shared" si="84"/>
        <v>100.50831266016121</v>
      </c>
      <c r="V77" s="57">
        <f t="shared" si="85"/>
        <v>26672.440208308133</v>
      </c>
      <c r="W77" s="57">
        <f t="shared" si="86"/>
        <v>158.77750040419414</v>
      </c>
      <c r="X77" s="109">
        <f t="shared" si="51"/>
        <v>-2.1884716261411086E-12</v>
      </c>
      <c r="Y77" s="273">
        <f>(G77*$D$158)*(References!$C$55/References!$G$58)-L77</f>
        <v>0</v>
      </c>
      <c r="AA77" s="55"/>
      <c r="AB77" s="55"/>
      <c r="AC77" s="55"/>
      <c r="AD77" s="55"/>
      <c r="AE77" s="55"/>
    </row>
    <row r="78" spans="1:31">
      <c r="A78" s="266"/>
      <c r="B78" s="92">
        <v>29</v>
      </c>
      <c r="C78" s="43" t="s">
        <v>318</v>
      </c>
      <c r="D78" s="44">
        <f>+SUMIF('Price Out'!D:D,C78,'Price Out'!AH:AH)</f>
        <v>22.114622083128097</v>
      </c>
      <c r="E78" s="56">
        <f>+References!B11</f>
        <v>4.333333333333333</v>
      </c>
      <c r="F78" s="44">
        <f>+D78*E78*12-F77</f>
        <v>884.58488332512388</v>
      </c>
      <c r="G78" s="44">
        <f>+References!B35</f>
        <v>613</v>
      </c>
      <c r="H78" s="44">
        <f t="shared" si="76"/>
        <v>542250.5334783009</v>
      </c>
      <c r="I78" s="44">
        <f t="shared" si="37"/>
        <v>540229.41890997451</v>
      </c>
      <c r="J78" s="58">
        <f>+I78*References!$C$55</f>
        <v>518.62024215357314</v>
      </c>
      <c r="K78" s="58">
        <f>+J78/References!$G$58</f>
        <v>529.25833468065434</v>
      </c>
      <c r="L78" s="58">
        <f t="shared" si="77"/>
        <v>0.59831266016121665</v>
      </c>
      <c r="M78" s="58">
        <f>+'Proposed Rates'!B88</f>
        <v>67.16</v>
      </c>
      <c r="N78" s="58">
        <f t="shared" si="78"/>
        <v>67.758312660161209</v>
      </c>
      <c r="O78" s="58">
        <f>+'Proposed Rates'!D88</f>
        <v>67.759999999999991</v>
      </c>
      <c r="P78" s="58">
        <f t="shared" si="79"/>
        <v>59408.720764115315</v>
      </c>
      <c r="Q78" s="58">
        <f t="shared" si="80"/>
        <v>59939.471694110383</v>
      </c>
      <c r="R78" s="58">
        <f t="shared" si="81"/>
        <v>530.75092999506887</v>
      </c>
      <c r="S78" s="58">
        <f t="shared" si="82"/>
        <v>59937.979098795971</v>
      </c>
      <c r="T78" s="58">
        <f t="shared" si="83"/>
        <v>1.4925953144120285</v>
      </c>
      <c r="U78" s="57">
        <f t="shared" si="84"/>
        <v>67.758312660161209</v>
      </c>
      <c r="V78" s="57">
        <f t="shared" si="85"/>
        <v>59937.979098795971</v>
      </c>
      <c r="W78" s="57">
        <f t="shared" si="86"/>
        <v>529.25833468065684</v>
      </c>
      <c r="X78" s="109">
        <f t="shared" si="51"/>
        <v>2.5011104298755527E-12</v>
      </c>
      <c r="Y78" s="273">
        <f>(G78*$D$158)*(References!$C$55/References!$G$58)-L78</f>
        <v>0</v>
      </c>
    </row>
    <row r="79" spans="1:31" s="72" customFormat="1">
      <c r="A79" s="266"/>
      <c r="B79" s="92">
        <v>29</v>
      </c>
      <c r="C79" s="72" t="s">
        <v>468</v>
      </c>
      <c r="D79" s="44">
        <f>+D80</f>
        <v>2.0814804245216578</v>
      </c>
      <c r="E79" s="94">
        <f>+References!B13</f>
        <v>1</v>
      </c>
      <c r="F79" s="44">
        <f t="shared" si="50"/>
        <v>24.977765094259894</v>
      </c>
      <c r="G79" s="44">
        <f>+References!B35</f>
        <v>613</v>
      </c>
      <c r="H79" s="44">
        <f t="shared" si="76"/>
        <v>15311.370002781316</v>
      </c>
      <c r="I79" s="44">
        <f t="shared" si="37"/>
        <v>15254.300380783619</v>
      </c>
      <c r="J79" s="58">
        <f>+I79*References!$C$55</f>
        <v>14.644128365552207</v>
      </c>
      <c r="K79" s="58">
        <f>+J79/References!$G$58</f>
        <v>14.944513078428622</v>
      </c>
      <c r="L79" s="58">
        <f t="shared" si="77"/>
        <v>0.59831266016121676</v>
      </c>
      <c r="M79" s="58">
        <f>+'Proposed Rates'!B80</f>
        <v>99.91</v>
      </c>
      <c r="N79" s="58">
        <f t="shared" si="78"/>
        <v>100.50831266016121</v>
      </c>
      <c r="O79" s="58">
        <f>+'Proposed Rates'!D80</f>
        <v>100.50999999999999</v>
      </c>
      <c r="P79" s="58">
        <f t="shared" si="79"/>
        <v>2495.5285105675057</v>
      </c>
      <c r="Q79" s="58">
        <f t="shared" si="80"/>
        <v>2510.5151696240619</v>
      </c>
      <c r="R79" s="58">
        <f t="shared" si="81"/>
        <v>14.986659056556164</v>
      </c>
      <c r="S79" s="58">
        <f t="shared" si="82"/>
        <v>2510.4730236459345</v>
      </c>
      <c r="T79" s="58">
        <f t="shared" si="83"/>
        <v>4.2145978127337003E-2</v>
      </c>
      <c r="U79" s="57">
        <f t="shared" si="84"/>
        <v>100.50831266016121</v>
      </c>
      <c r="V79" s="57">
        <f t="shared" si="85"/>
        <v>2510.4730236459345</v>
      </c>
      <c r="W79" s="57">
        <f t="shared" si="86"/>
        <v>14.944513078428827</v>
      </c>
      <c r="X79" s="109">
        <f t="shared" si="51"/>
        <v>2.042810365310288E-13</v>
      </c>
      <c r="Y79" s="273">
        <f>(G79*$D$158)*(References!$C$55/References!$G$58)-L79</f>
        <v>0</v>
      </c>
      <c r="AA79" s="55"/>
      <c r="AB79" s="55"/>
      <c r="AC79" s="55"/>
      <c r="AD79" s="55"/>
      <c r="AE79" s="55"/>
    </row>
    <row r="80" spans="1:31">
      <c r="A80" s="266"/>
      <c r="B80" s="92">
        <v>29</v>
      </c>
      <c r="C80" s="43" t="s">
        <v>320</v>
      </c>
      <c r="D80" s="44">
        <f>+SUMIF('Price Out'!D:D,C80,'Price Out'!AH:AH)</f>
        <v>2.0814804245216578</v>
      </c>
      <c r="E80" s="56">
        <f>+References!B10</f>
        <v>8.6666666666666661</v>
      </c>
      <c r="F80" s="44">
        <f>+D80*E80*12-F79</f>
        <v>191.49619905599249</v>
      </c>
      <c r="G80" s="44">
        <f>+References!B35</f>
        <v>613</v>
      </c>
      <c r="H80" s="44">
        <f t="shared" si="76"/>
        <v>117387.1700213234</v>
      </c>
      <c r="I80" s="44">
        <f t="shared" si="37"/>
        <v>116949.63625267439</v>
      </c>
      <c r="J80" s="58">
        <f>+I80*References!$C$55</f>
        <v>112.2716508025669</v>
      </c>
      <c r="K80" s="58">
        <f>+J80/References!$G$58</f>
        <v>114.57460026795275</v>
      </c>
      <c r="L80" s="58">
        <f t="shared" si="77"/>
        <v>0.59831266016121676</v>
      </c>
      <c r="M80" s="58">
        <f>+'Proposed Rates'!B88</f>
        <v>67.16</v>
      </c>
      <c r="N80" s="58">
        <f t="shared" si="78"/>
        <v>67.758312660161209</v>
      </c>
      <c r="O80" s="58">
        <f>+'Proposed Rates'!D88</f>
        <v>67.759999999999991</v>
      </c>
      <c r="P80" s="58">
        <f t="shared" si="79"/>
        <v>12860.884728600455</v>
      </c>
      <c r="Q80" s="58">
        <f t="shared" si="80"/>
        <v>12975.78244803405</v>
      </c>
      <c r="R80" s="58">
        <f t="shared" si="81"/>
        <v>114.89771943359483</v>
      </c>
      <c r="S80" s="58">
        <f t="shared" si="82"/>
        <v>12975.459328868406</v>
      </c>
      <c r="T80" s="58">
        <f t="shared" si="83"/>
        <v>0.32311916564322019</v>
      </c>
      <c r="U80" s="57">
        <f t="shared" si="84"/>
        <v>67.758312660161209</v>
      </c>
      <c r="V80" s="57">
        <f t="shared" si="85"/>
        <v>12975.459328868406</v>
      </c>
      <c r="W80" s="57">
        <f t="shared" si="86"/>
        <v>114.57460026795161</v>
      </c>
      <c r="X80" s="109">
        <f t="shared" si="51"/>
        <v>-1.1368683772161603E-12</v>
      </c>
      <c r="Y80" s="273">
        <f>(G80*$D$158)*(References!$C$55/References!$G$58)-L80</f>
        <v>0</v>
      </c>
    </row>
    <row r="81" spans="1:31" s="72" customFormat="1">
      <c r="A81" s="266"/>
      <c r="B81" s="92">
        <v>29</v>
      </c>
      <c r="C81" s="72" t="s">
        <v>469</v>
      </c>
      <c r="D81" s="44">
        <f>+D82</f>
        <v>8.75002088854432</v>
      </c>
      <c r="E81" s="94">
        <f>+References!B13</f>
        <v>1</v>
      </c>
      <c r="F81" s="44">
        <f t="shared" si="50"/>
        <v>105.00025066253184</v>
      </c>
      <c r="G81" s="44">
        <f>+References!B35</f>
        <v>613</v>
      </c>
      <c r="H81" s="44">
        <f t="shared" si="76"/>
        <v>64365.153656132017</v>
      </c>
      <c r="I81" s="44">
        <f t="shared" si="37"/>
        <v>64125.247299724208</v>
      </c>
      <c r="J81" s="58">
        <f>+I81*References!$C$55</f>
        <v>61.560237407734952</v>
      </c>
      <c r="K81" s="58">
        <f>+J81/References!$G$58</f>
        <v>62.822979291493979</v>
      </c>
      <c r="L81" s="58">
        <f t="shared" si="77"/>
        <v>0.59831266016121665</v>
      </c>
      <c r="M81" s="58">
        <f>+'Proposed Rates'!B80</f>
        <v>99.91</v>
      </c>
      <c r="N81" s="58">
        <f t="shared" si="78"/>
        <v>100.50831266016121</v>
      </c>
      <c r="O81" s="58">
        <f>+'Proposed Rates'!D80</f>
        <v>100.50999999999999</v>
      </c>
      <c r="P81" s="58">
        <f t="shared" si="79"/>
        <v>10490.575043693556</v>
      </c>
      <c r="Q81" s="58">
        <f t="shared" si="80"/>
        <v>10553.575194091074</v>
      </c>
      <c r="R81" s="58">
        <f t="shared" si="81"/>
        <v>63.000150397518155</v>
      </c>
      <c r="S81" s="58">
        <f t="shared" si="82"/>
        <v>10553.398022985049</v>
      </c>
      <c r="T81" s="58">
        <f t="shared" si="83"/>
        <v>0.17717110602461617</v>
      </c>
      <c r="U81" s="57">
        <f t="shared" si="84"/>
        <v>100.50831266016121</v>
      </c>
      <c r="V81" s="57">
        <f t="shared" si="85"/>
        <v>10553.398022985049</v>
      </c>
      <c r="W81" s="57">
        <f t="shared" si="86"/>
        <v>62.822979291493539</v>
      </c>
      <c r="X81" s="109">
        <f t="shared" si="51"/>
        <v>-4.4053649617126212E-13</v>
      </c>
      <c r="Y81" s="273">
        <f>(G81*$D$158)*(References!$C$55/References!$G$58)-L81</f>
        <v>0</v>
      </c>
      <c r="AA81" s="55"/>
      <c r="AB81" s="55"/>
      <c r="AC81" s="55"/>
      <c r="AD81" s="55"/>
      <c r="AE81" s="55"/>
    </row>
    <row r="82" spans="1:31">
      <c r="A82" s="266"/>
      <c r="B82" s="92">
        <v>29</v>
      </c>
      <c r="C82" s="43" t="s">
        <v>322</v>
      </c>
      <c r="D82" s="44">
        <f>+SUMIF('Price Out'!D:D,C82,'Price Out'!AH:AH)</f>
        <v>8.75002088854432</v>
      </c>
      <c r="E82" s="56">
        <f>+References!B12</f>
        <v>2.1666666666666665</v>
      </c>
      <c r="F82" s="44">
        <f>+D82*E82*12-F81</f>
        <v>122.50029243962044</v>
      </c>
      <c r="G82" s="44">
        <f>+References!B35</f>
        <v>613</v>
      </c>
      <c r="H82" s="44">
        <f t="shared" si="76"/>
        <v>75092.679265487328</v>
      </c>
      <c r="I82" s="44">
        <f t="shared" si="37"/>
        <v>74812.788516344881</v>
      </c>
      <c r="J82" s="58">
        <f>+I82*References!$C$55</f>
        <v>71.82027697569076</v>
      </c>
      <c r="K82" s="58">
        <f>+J82/References!$G$58</f>
        <v>73.293475840076297</v>
      </c>
      <c r="L82" s="58">
        <f t="shared" si="77"/>
        <v>0.59831266016121676</v>
      </c>
      <c r="M82" s="58">
        <f>+'Proposed Rates'!B88</f>
        <v>67.16</v>
      </c>
      <c r="N82" s="58">
        <f t="shared" si="78"/>
        <v>67.758312660161209</v>
      </c>
      <c r="O82" s="58">
        <f>+'Proposed Rates'!D88</f>
        <v>67.759999999999991</v>
      </c>
      <c r="P82" s="58">
        <f t="shared" si="79"/>
        <v>8227.1196402449077</v>
      </c>
      <c r="Q82" s="58">
        <f t="shared" si="80"/>
        <v>8300.6198157086801</v>
      </c>
      <c r="R82" s="58">
        <f t="shared" si="81"/>
        <v>73.500175463772393</v>
      </c>
      <c r="S82" s="58">
        <f t="shared" si="82"/>
        <v>8300.4131160849847</v>
      </c>
      <c r="T82" s="58">
        <f t="shared" si="83"/>
        <v>0.20669962369538553</v>
      </c>
      <c r="U82" s="57">
        <f t="shared" si="84"/>
        <v>67.758312660161209</v>
      </c>
      <c r="V82" s="57">
        <f t="shared" si="85"/>
        <v>8300.4131160849847</v>
      </c>
      <c r="W82" s="57">
        <f t="shared" si="86"/>
        <v>73.293475840077008</v>
      </c>
      <c r="X82" s="109">
        <f t="shared" si="51"/>
        <v>7.1054273576010019E-13</v>
      </c>
      <c r="Y82" s="273">
        <f>(G82*$D$158)*(References!$C$55/References!$G$58)-L82</f>
        <v>0</v>
      </c>
    </row>
    <row r="83" spans="1:31" s="72" customFormat="1">
      <c r="A83" s="266"/>
      <c r="B83" s="92">
        <v>29</v>
      </c>
      <c r="C83" s="72" t="s">
        <v>470</v>
      </c>
      <c r="D83" s="44">
        <f>+D84</f>
        <v>12.804161411421546</v>
      </c>
      <c r="E83" s="94">
        <f>+References!B13</f>
        <v>1</v>
      </c>
      <c r="F83" s="44">
        <f t="shared" si="50"/>
        <v>153.64993693705856</v>
      </c>
      <c r="G83" s="44">
        <f>+References!B36</f>
        <v>840</v>
      </c>
      <c r="H83" s="44">
        <f t="shared" si="76"/>
        <v>129065.94702712918</v>
      </c>
      <c r="I83" s="44">
        <f t="shared" si="37"/>
        <v>128584.88329421206</v>
      </c>
      <c r="J83" s="58">
        <f>+I83*References!$C$55</f>
        <v>123.44148796244302</v>
      </c>
      <c r="K83" s="58">
        <f>+J83/References!$G$58</f>
        <v>125.97355644702829</v>
      </c>
      <c r="L83" s="58">
        <f t="shared" si="77"/>
        <v>0.81987379206430999</v>
      </c>
      <c r="M83" s="58">
        <f>+'Proposed Rates'!B81</f>
        <v>153.25</v>
      </c>
      <c r="N83" s="58">
        <f t="shared" si="78"/>
        <v>154.0698737920643</v>
      </c>
      <c r="O83" s="58">
        <f>+'Proposed Rates'!D81</f>
        <v>154.07</v>
      </c>
      <c r="P83" s="58">
        <f t="shared" si="79"/>
        <v>23546.852835604222</v>
      </c>
      <c r="Q83" s="58">
        <f t="shared" si="80"/>
        <v>23672.845783892612</v>
      </c>
      <c r="R83" s="58">
        <f t="shared" si="81"/>
        <v>125.99294828838902</v>
      </c>
      <c r="S83" s="58">
        <f t="shared" si="82"/>
        <v>23672.826392051251</v>
      </c>
      <c r="T83" s="58">
        <f t="shared" si="83"/>
        <v>1.9391841360629769E-2</v>
      </c>
      <c r="U83" s="57">
        <f t="shared" si="84"/>
        <v>154.0698737920643</v>
      </c>
      <c r="V83" s="57">
        <f t="shared" si="85"/>
        <v>23672.826392051251</v>
      </c>
      <c r="W83" s="57">
        <f t="shared" si="86"/>
        <v>125.97355644702839</v>
      </c>
      <c r="X83" s="109">
        <f t="shared" si="51"/>
        <v>0</v>
      </c>
      <c r="Y83" s="273">
        <f>(G83*$D$158)*(References!$C$55/References!$G$58)-L83</f>
        <v>0</v>
      </c>
      <c r="AA83" s="55"/>
      <c r="AB83" s="55"/>
      <c r="AC83" s="55"/>
      <c r="AD83" s="55"/>
      <c r="AE83" s="55"/>
    </row>
    <row r="84" spans="1:31">
      <c r="A84" s="266"/>
      <c r="B84" s="92">
        <v>29</v>
      </c>
      <c r="C84" s="43" t="s">
        <v>324</v>
      </c>
      <c r="D84" s="44">
        <f>+SUMIF('Price Out'!D:D,C84,'Price Out'!AH:AH)</f>
        <v>12.804161411421546</v>
      </c>
      <c r="E84" s="56">
        <f>+References!B11</f>
        <v>4.333333333333333</v>
      </c>
      <c r="F84" s="44">
        <f>+D84*E84*12-F83</f>
        <v>512.16645645686185</v>
      </c>
      <c r="G84" s="44">
        <f>+References!B36</f>
        <v>840</v>
      </c>
      <c r="H84" s="44">
        <f t="shared" si="76"/>
        <v>430219.82342376397</v>
      </c>
      <c r="I84" s="44">
        <f t="shared" si="37"/>
        <v>428616.27764737362</v>
      </c>
      <c r="J84" s="58">
        <f>+I84*References!$C$55</f>
        <v>411.47162654147678</v>
      </c>
      <c r="K84" s="58">
        <f>+J84/References!$G$58</f>
        <v>419.91185482342769</v>
      </c>
      <c r="L84" s="58">
        <f t="shared" si="77"/>
        <v>0.8198737920643101</v>
      </c>
      <c r="M84" s="58">
        <f>+'Proposed Rates'!B89</f>
        <v>94.48</v>
      </c>
      <c r="N84" s="58">
        <f t="shared" si="78"/>
        <v>95.299873792064318</v>
      </c>
      <c r="O84" s="58">
        <f>+'Proposed Rates'!D89</f>
        <v>95.3</v>
      </c>
      <c r="P84" s="58">
        <f t="shared" si="79"/>
        <v>48389.486806044311</v>
      </c>
      <c r="Q84" s="58">
        <f t="shared" si="80"/>
        <v>48809.463300338932</v>
      </c>
      <c r="R84" s="58">
        <f t="shared" si="81"/>
        <v>419.97649429462035</v>
      </c>
      <c r="S84" s="58">
        <f t="shared" si="82"/>
        <v>48809.398660867737</v>
      </c>
      <c r="T84" s="58">
        <f t="shared" si="83"/>
        <v>6.4639471194823273E-2</v>
      </c>
      <c r="U84" s="57">
        <f t="shared" si="84"/>
        <v>95.299873792064318</v>
      </c>
      <c r="V84" s="57">
        <f t="shared" si="85"/>
        <v>48809.398660867737</v>
      </c>
      <c r="W84" s="57">
        <f t="shared" si="86"/>
        <v>419.91185482342553</v>
      </c>
      <c r="X84" s="109">
        <f t="shared" si="51"/>
        <v>-2.1600499167107046E-12</v>
      </c>
      <c r="Y84" s="273">
        <f>(G84*$D$158)*(References!$C$55/References!$G$58)-L84</f>
        <v>0</v>
      </c>
    </row>
    <row r="85" spans="1:31" s="72" customFormat="1">
      <c r="A85" s="266"/>
      <c r="B85" s="92">
        <v>29</v>
      </c>
      <c r="C85" s="72" t="s">
        <v>471</v>
      </c>
      <c r="D85" s="44">
        <f>+D86</f>
        <v>1.1226855995067917</v>
      </c>
      <c r="E85" s="94">
        <f>+References!B13</f>
        <v>1</v>
      </c>
      <c r="F85" s="44">
        <f t="shared" si="50"/>
        <v>13.472227194081501</v>
      </c>
      <c r="G85" s="44">
        <f>+References!B36</f>
        <v>840</v>
      </c>
      <c r="H85" s="44">
        <f t="shared" si="76"/>
        <v>11316.670843028462</v>
      </c>
      <c r="I85" s="44">
        <f t="shared" si="37"/>
        <v>11274.490546479774</v>
      </c>
      <c r="J85" s="58">
        <f>+I85*References!$C$55</f>
        <v>10.823510924620534</v>
      </c>
      <c r="K85" s="58">
        <f>+J85/References!$G$58</f>
        <v>11.045525997163521</v>
      </c>
      <c r="L85" s="58">
        <f t="shared" si="77"/>
        <v>0.8198737920643101</v>
      </c>
      <c r="M85" s="58">
        <f>+'Proposed Rates'!B81</f>
        <v>153.25</v>
      </c>
      <c r="N85" s="58">
        <f t="shared" si="78"/>
        <v>154.0698737920643</v>
      </c>
      <c r="O85" s="58">
        <f>+'Proposed Rates'!D81</f>
        <v>154.07</v>
      </c>
      <c r="P85" s="58">
        <f t="shared" si="79"/>
        <v>2064.6188174929903</v>
      </c>
      <c r="Q85" s="58">
        <f t="shared" si="80"/>
        <v>2075.6660437921369</v>
      </c>
      <c r="R85" s="58">
        <f t="shared" si="81"/>
        <v>11.047226299146587</v>
      </c>
      <c r="S85" s="58">
        <f t="shared" si="82"/>
        <v>2075.6643434901534</v>
      </c>
      <c r="T85" s="58">
        <f t="shared" si="83"/>
        <v>1.7003019834191946E-3</v>
      </c>
      <c r="U85" s="57">
        <f t="shared" si="84"/>
        <v>154.0698737920643</v>
      </c>
      <c r="V85" s="57">
        <f t="shared" si="85"/>
        <v>2075.6643434901534</v>
      </c>
      <c r="W85" s="57">
        <f t="shared" si="86"/>
        <v>11.045525997163168</v>
      </c>
      <c r="X85" s="109">
        <f t="shared" si="51"/>
        <v>-3.5349501104064984E-13</v>
      </c>
      <c r="Y85" s="273">
        <f>(G85*$D$158)*(References!$C$55/References!$G$58)-L85</f>
        <v>0</v>
      </c>
      <c r="AA85" s="55"/>
      <c r="AB85" s="55"/>
      <c r="AC85" s="55"/>
      <c r="AD85" s="55"/>
      <c r="AE85" s="55"/>
    </row>
    <row r="86" spans="1:31">
      <c r="A86" s="266"/>
      <c r="B86" s="92">
        <v>29</v>
      </c>
      <c r="C86" s="43" t="s">
        <v>326</v>
      </c>
      <c r="D86" s="44">
        <f>+SUMIF('Price Out'!D:D,C86,'Price Out'!AH:AH)</f>
        <v>1.1226855995067917</v>
      </c>
      <c r="E86" s="56">
        <f>+References!B10</f>
        <v>8.6666666666666661</v>
      </c>
      <c r="F86" s="44">
        <f>+D86*E86*12-F85</f>
        <v>103.28707515462482</v>
      </c>
      <c r="G86" s="44">
        <f>+References!B36</f>
        <v>840</v>
      </c>
      <c r="H86" s="44">
        <f t="shared" si="76"/>
        <v>86761.143129884847</v>
      </c>
      <c r="I86" s="44">
        <f t="shared" si="37"/>
        <v>86437.760856344918</v>
      </c>
      <c r="J86" s="58">
        <f>+I86*References!$C$55</f>
        <v>82.980250422090734</v>
      </c>
      <c r="K86" s="58">
        <f>+J86/References!$G$58</f>
        <v>84.682365978253628</v>
      </c>
      <c r="L86" s="58">
        <f t="shared" si="77"/>
        <v>0.81987379206430999</v>
      </c>
      <c r="M86" s="58">
        <f>+'Proposed Rates'!B89</f>
        <v>94.48</v>
      </c>
      <c r="N86" s="58">
        <f t="shared" si="78"/>
        <v>95.299873792064318</v>
      </c>
      <c r="O86" s="58">
        <f>+'Proposed Rates'!D89</f>
        <v>95.3</v>
      </c>
      <c r="P86" s="58">
        <f t="shared" si="79"/>
        <v>9758.5628606089522</v>
      </c>
      <c r="Q86" s="58">
        <f t="shared" si="80"/>
        <v>9843.258262235744</v>
      </c>
      <c r="R86" s="58">
        <f t="shared" si="81"/>
        <v>84.695401626791863</v>
      </c>
      <c r="S86" s="58">
        <f t="shared" si="82"/>
        <v>9843.2452265872071</v>
      </c>
      <c r="T86" s="58">
        <f t="shared" si="83"/>
        <v>1.3035648536970257E-2</v>
      </c>
      <c r="U86" s="57">
        <f t="shared" si="84"/>
        <v>95.299873792064318</v>
      </c>
      <c r="V86" s="57">
        <f t="shared" si="85"/>
        <v>9843.2452265872071</v>
      </c>
      <c r="W86" s="57">
        <f t="shared" si="86"/>
        <v>84.682365978254893</v>
      </c>
      <c r="X86" s="109">
        <f t="shared" si="51"/>
        <v>1.2647660696529783E-12</v>
      </c>
      <c r="Y86" s="273">
        <f>(G86*$D$158)*(References!$C$55/References!$G$58)-L86</f>
        <v>0</v>
      </c>
    </row>
    <row r="87" spans="1:31" s="72" customFormat="1">
      <c r="A87" s="266"/>
      <c r="B87" s="92">
        <v>29</v>
      </c>
      <c r="C87" s="72" t="s">
        <v>472</v>
      </c>
      <c r="D87" s="44">
        <f>+D88</f>
        <v>7.5527751430834167</v>
      </c>
      <c r="E87" s="94">
        <f>+References!B13</f>
        <v>1</v>
      </c>
      <c r="F87" s="44">
        <f t="shared" si="50"/>
        <v>90.633301717001004</v>
      </c>
      <c r="G87" s="44">
        <f>+References!B36</f>
        <v>840</v>
      </c>
      <c r="H87" s="44">
        <f t="shared" si="76"/>
        <v>76131.97344228084</v>
      </c>
      <c r="I87" s="44">
        <f t="shared" si="37"/>
        <v>75848.20896232246</v>
      </c>
      <c r="J87" s="58">
        <f>+I87*References!$C$55</f>
        <v>72.814280603829232</v>
      </c>
      <c r="K87" s="58">
        <f>+J87/References!$G$58</f>
        <v>74.30786876602636</v>
      </c>
      <c r="L87" s="58">
        <f t="shared" si="77"/>
        <v>0.8198737920643101</v>
      </c>
      <c r="M87" s="58">
        <f>+'Proposed Rates'!B81</f>
        <v>153.25</v>
      </c>
      <c r="N87" s="58">
        <f t="shared" si="78"/>
        <v>154.0698737920643</v>
      </c>
      <c r="O87" s="58">
        <f>+'Proposed Rates'!D81</f>
        <v>154.07</v>
      </c>
      <c r="P87" s="58">
        <f t="shared" si="79"/>
        <v>13889.553488130405</v>
      </c>
      <c r="Q87" s="58">
        <f t="shared" si="80"/>
        <v>13963.872795538344</v>
      </c>
      <c r="R87" s="58">
        <f t="shared" si="81"/>
        <v>74.31930740793905</v>
      </c>
      <c r="S87" s="58">
        <f t="shared" si="82"/>
        <v>13963.86135689643</v>
      </c>
      <c r="T87" s="58">
        <f t="shared" si="83"/>
        <v>1.1438641913628089E-2</v>
      </c>
      <c r="U87" s="57">
        <f t="shared" si="84"/>
        <v>154.0698737920643</v>
      </c>
      <c r="V87" s="57">
        <f t="shared" si="85"/>
        <v>13963.86135689643</v>
      </c>
      <c r="W87" s="57">
        <f t="shared" si="86"/>
        <v>74.307868766025422</v>
      </c>
      <c r="X87" s="109">
        <f t="shared" si="51"/>
        <v>-9.3791641120333225E-13</v>
      </c>
      <c r="Y87" s="273">
        <f>(G87*$D$158)*(References!$C$55/References!$G$58)-L87</f>
        <v>0</v>
      </c>
      <c r="AA87" s="55"/>
      <c r="AB87" s="55"/>
      <c r="AC87" s="55"/>
      <c r="AD87" s="55"/>
      <c r="AE87" s="55"/>
    </row>
    <row r="88" spans="1:31">
      <c r="A88" s="266"/>
      <c r="B88" s="92">
        <v>29</v>
      </c>
      <c r="C88" s="43" t="s">
        <v>328</v>
      </c>
      <c r="D88" s="44">
        <f>+SUMIF('Price Out'!D:D,C88,'Price Out'!AH:AH)</f>
        <v>7.5527751430834167</v>
      </c>
      <c r="E88" s="56">
        <f>+References!B12</f>
        <v>2.1666666666666665</v>
      </c>
      <c r="F88" s="44">
        <f>+D88*E88*12-F87</f>
        <v>105.73885200316779</v>
      </c>
      <c r="G88" s="44">
        <f>+References!B36</f>
        <v>840</v>
      </c>
      <c r="H88" s="44">
        <f t="shared" si="76"/>
        <v>88820.635682660941</v>
      </c>
      <c r="I88" s="44">
        <f t="shared" si="37"/>
        <v>88489.577122709496</v>
      </c>
      <c r="J88" s="58">
        <f>+I88*References!$C$55</f>
        <v>84.949994037800721</v>
      </c>
      <c r="K88" s="58">
        <f>+J88/References!$G$58</f>
        <v>86.692513560364034</v>
      </c>
      <c r="L88" s="58">
        <f t="shared" si="77"/>
        <v>0.81987379206430999</v>
      </c>
      <c r="M88" s="58">
        <f>+'Proposed Rates'!B89</f>
        <v>94.48</v>
      </c>
      <c r="N88" s="58">
        <f t="shared" si="78"/>
        <v>95.299873792064318</v>
      </c>
      <c r="O88" s="58">
        <f>+'Proposed Rates'!D89</f>
        <v>95.3</v>
      </c>
      <c r="P88" s="58">
        <f t="shared" si="79"/>
        <v>9990.2067372592937</v>
      </c>
      <c r="Q88" s="58">
        <f t="shared" si="80"/>
        <v>10076.912595901891</v>
      </c>
      <c r="R88" s="58">
        <f t="shared" si="81"/>
        <v>86.705858642597377</v>
      </c>
      <c r="S88" s="58">
        <f t="shared" si="82"/>
        <v>10076.899250819659</v>
      </c>
      <c r="T88" s="58">
        <f t="shared" si="83"/>
        <v>1.3345082232262939E-2</v>
      </c>
      <c r="U88" s="57">
        <f t="shared" si="84"/>
        <v>95.299873792064318</v>
      </c>
      <c r="V88" s="57">
        <f t="shared" si="85"/>
        <v>10076.899250819659</v>
      </c>
      <c r="W88" s="57">
        <f t="shared" si="86"/>
        <v>86.692513560365114</v>
      </c>
      <c r="X88" s="109">
        <f t="shared" si="51"/>
        <v>1.0800249583553523E-12</v>
      </c>
      <c r="Y88" s="273">
        <f>(G88*$D$158)*(References!$C$55/References!$G$58)-L88</f>
        <v>0</v>
      </c>
    </row>
    <row r="89" spans="1:31" s="72" customFormat="1">
      <c r="A89" s="266"/>
      <c r="B89" s="92">
        <v>29</v>
      </c>
      <c r="C89" s="72" t="s">
        <v>473</v>
      </c>
      <c r="D89" s="44">
        <f>+D90</f>
        <v>6.8916727643654134</v>
      </c>
      <c r="E89" s="94">
        <f>+References!B13</f>
        <v>1</v>
      </c>
      <c r="F89" s="44">
        <f t="shared" si="50"/>
        <v>82.700073172384961</v>
      </c>
      <c r="G89" s="44">
        <f>+References!B37</f>
        <v>980</v>
      </c>
      <c r="H89" s="44">
        <f t="shared" si="76"/>
        <v>81046.071708937263</v>
      </c>
      <c r="I89" s="44">
        <f t="shared" si="37"/>
        <v>80743.991054104481</v>
      </c>
      <c r="J89" s="58">
        <f>+I89*References!$C$55</f>
        <v>77.514231411939946</v>
      </c>
      <c r="K89" s="58">
        <f>+J89/References!$G$58</f>
        <v>79.10422636181238</v>
      </c>
      <c r="L89" s="58">
        <f t="shared" si="77"/>
        <v>0.95651942407502855</v>
      </c>
      <c r="M89" s="58">
        <f>+'Proposed Rates'!B82</f>
        <v>185.23</v>
      </c>
      <c r="N89" s="58">
        <f t="shared" si="78"/>
        <v>186.18651942407502</v>
      </c>
      <c r="O89" s="58">
        <f>+'Proposed Rates'!D82</f>
        <v>186.19</v>
      </c>
      <c r="P89" s="58">
        <f t="shared" si="79"/>
        <v>15318.534553720865</v>
      </c>
      <c r="Q89" s="58">
        <f t="shared" si="80"/>
        <v>15397.926623966356</v>
      </c>
      <c r="R89" s="58">
        <f t="shared" si="81"/>
        <v>79.392070245490686</v>
      </c>
      <c r="S89" s="58">
        <f t="shared" si="82"/>
        <v>15397.638780082678</v>
      </c>
      <c r="T89" s="58">
        <f t="shared" si="83"/>
        <v>0.28784388367785141</v>
      </c>
      <c r="U89" s="57">
        <f t="shared" si="84"/>
        <v>186.18651942407502</v>
      </c>
      <c r="V89" s="57">
        <f t="shared" si="85"/>
        <v>15397.638780082678</v>
      </c>
      <c r="W89" s="57">
        <f t="shared" si="86"/>
        <v>79.104226361812835</v>
      </c>
      <c r="X89" s="109">
        <f t="shared" si="51"/>
        <v>4.5474735088646412E-13</v>
      </c>
      <c r="Y89" s="273">
        <f>(G89*$D$158)*(References!$C$55/References!$G$58)-L89</f>
        <v>0</v>
      </c>
      <c r="AA89" s="55"/>
      <c r="AB89" s="55"/>
      <c r="AC89" s="55"/>
      <c r="AD89" s="55"/>
      <c r="AE89" s="55"/>
    </row>
    <row r="90" spans="1:31">
      <c r="A90" s="266"/>
      <c r="B90" s="92">
        <v>29</v>
      </c>
      <c r="C90" s="43" t="s">
        <v>330</v>
      </c>
      <c r="D90" s="44">
        <f>+SUMIF('Price Out'!D:D,C90,'Price Out'!AH:AH)</f>
        <v>6.8916727643654134</v>
      </c>
      <c r="E90" s="56">
        <f>+References!B11</f>
        <v>4.333333333333333</v>
      </c>
      <c r="F90" s="44">
        <f>+D90*E90*12-F89</f>
        <v>275.66691057461645</v>
      </c>
      <c r="G90" s="44">
        <f>+References!B37</f>
        <v>980</v>
      </c>
      <c r="H90" s="44">
        <f t="shared" si="76"/>
        <v>270153.57236312411</v>
      </c>
      <c r="I90" s="44">
        <f t="shared" si="37"/>
        <v>269146.63684701483</v>
      </c>
      <c r="J90" s="58">
        <f>+I90*References!$C$55</f>
        <v>258.38077137313303</v>
      </c>
      <c r="K90" s="58">
        <f>+J90/References!$G$58</f>
        <v>263.68075453937445</v>
      </c>
      <c r="L90" s="58">
        <f t="shared" si="77"/>
        <v>0.95651942407502821</v>
      </c>
      <c r="M90" s="58">
        <f>+'Proposed Rates'!B90</f>
        <v>116</v>
      </c>
      <c r="N90" s="58">
        <f t="shared" si="78"/>
        <v>116.95651942407503</v>
      </c>
      <c r="O90" s="58">
        <f>+'Proposed Rates'!D90</f>
        <v>116.96</v>
      </c>
      <c r="P90" s="58">
        <f t="shared" si="79"/>
        <v>31977.361626655507</v>
      </c>
      <c r="Q90" s="58">
        <f t="shared" si="80"/>
        <v>32242.001860807137</v>
      </c>
      <c r="R90" s="58">
        <f t="shared" si="81"/>
        <v>264.64023415162956</v>
      </c>
      <c r="S90" s="58">
        <f t="shared" si="82"/>
        <v>32241.042381194882</v>
      </c>
      <c r="T90" s="58">
        <f t="shared" si="83"/>
        <v>0.95947961225465406</v>
      </c>
      <c r="U90" s="57">
        <f t="shared" si="84"/>
        <v>116.95651942407503</v>
      </c>
      <c r="V90" s="57">
        <f t="shared" si="85"/>
        <v>32241.042381194882</v>
      </c>
      <c r="W90" s="57">
        <f t="shared" si="86"/>
        <v>263.6807545393749</v>
      </c>
      <c r="X90" s="109">
        <f t="shared" si="51"/>
        <v>4.5474735088646412E-13</v>
      </c>
      <c r="Y90" s="273">
        <f>(G90*$D$158)*(References!$C$55/References!$G$58)-L90</f>
        <v>0</v>
      </c>
    </row>
    <row r="91" spans="1:31" s="72" customFormat="1">
      <c r="A91" s="266"/>
      <c r="B91" s="92">
        <v>29</v>
      </c>
      <c r="C91" s="72" t="s">
        <v>474</v>
      </c>
      <c r="D91" s="44">
        <f>+D92</f>
        <v>1.4166707036158881</v>
      </c>
      <c r="E91" s="94">
        <f>+References!B13</f>
        <v>1</v>
      </c>
      <c r="F91" s="44">
        <f t="shared" si="50"/>
        <v>17.000048443390657</v>
      </c>
      <c r="G91" s="44">
        <f>+References!B37</f>
        <v>980</v>
      </c>
      <c r="H91" s="90">
        <f>+F91*G91</f>
        <v>16660.047474522846</v>
      </c>
      <c r="I91" s="44">
        <f t="shared" si="37"/>
        <v>16597.950966394441</v>
      </c>
      <c r="J91" s="58">
        <f>+I91*References!$C$55</f>
        <v>15.93403292773859</v>
      </c>
      <c r="K91" s="58">
        <f>+J91/References!$G$58</f>
        <v>16.260876546319615</v>
      </c>
      <c r="L91" s="58">
        <f t="shared" si="77"/>
        <v>0.95651942407502843</v>
      </c>
      <c r="M91" s="58">
        <f>+'Proposed Rates'!B82</f>
        <v>185.23</v>
      </c>
      <c r="N91" s="58">
        <f t="shared" si="78"/>
        <v>186.18651942407502</v>
      </c>
      <c r="O91" s="58">
        <f>+'Proposed Rates'!D82</f>
        <v>186.19</v>
      </c>
      <c r="P91" s="58">
        <f t="shared" si="79"/>
        <v>3148.9189731692513</v>
      </c>
      <c r="Q91" s="58">
        <f t="shared" si="80"/>
        <v>3165.2390196749066</v>
      </c>
      <c r="R91" s="58">
        <f t="shared" si="81"/>
        <v>16.320046505655228</v>
      </c>
      <c r="S91" s="58">
        <f t="shared" si="82"/>
        <v>3165.179849715571</v>
      </c>
      <c r="T91" s="58">
        <f t="shared" si="83"/>
        <v>5.9169959335577005E-2</v>
      </c>
      <c r="U91" s="57">
        <f t="shared" si="84"/>
        <v>186.18651942407502</v>
      </c>
      <c r="V91" s="57">
        <f t="shared" si="85"/>
        <v>3165.179849715571</v>
      </c>
      <c r="W91" s="57">
        <f t="shared" si="86"/>
        <v>16.260876546319651</v>
      </c>
      <c r="X91" s="109">
        <f t="shared" si="51"/>
        <v>3.5527136788005009E-14</v>
      </c>
      <c r="Y91" s="273">
        <f>(G91*$D$158)*(References!$C$55/References!$G$58)-L91</f>
        <v>0</v>
      </c>
      <c r="AA91" s="55"/>
      <c r="AB91" s="55"/>
      <c r="AC91" s="55"/>
      <c r="AD91" s="55"/>
      <c r="AE91" s="55"/>
    </row>
    <row r="92" spans="1:31">
      <c r="A92" s="266"/>
      <c r="B92" s="92">
        <v>29</v>
      </c>
      <c r="C92" s="43" t="s">
        <v>332</v>
      </c>
      <c r="D92" s="44">
        <f>+SUMIF('Price Out'!D:D,C92,'Price Out'!AH:AH)</f>
        <v>1.4166707036158881</v>
      </c>
      <c r="E92" s="56">
        <f>+References!B12</f>
        <v>2.1666666666666665</v>
      </c>
      <c r="F92" s="44">
        <f>+D92*E92*12-F91</f>
        <v>19.833389850622435</v>
      </c>
      <c r="G92" s="44">
        <f>+References!B37</f>
        <v>980</v>
      </c>
      <c r="H92" s="44">
        <f t="shared" si="76"/>
        <v>19436.722053609985</v>
      </c>
      <c r="I92" s="44">
        <f t="shared" si="37"/>
        <v>19364.27612746018</v>
      </c>
      <c r="J92" s="58">
        <f>+I92*References!$C$55</f>
        <v>18.589705082361686</v>
      </c>
      <c r="K92" s="58">
        <f>+J92/References!$G$58</f>
        <v>18.971022637372879</v>
      </c>
      <c r="L92" s="58">
        <f t="shared" si="77"/>
        <v>0.9565194240750281</v>
      </c>
      <c r="M92" s="58">
        <f>+'Proposed Rates'!B90</f>
        <v>116</v>
      </c>
      <c r="N92" s="58">
        <f t="shared" si="78"/>
        <v>116.95651942407503</v>
      </c>
      <c r="O92" s="58">
        <f>+'Proposed Rates'!D90</f>
        <v>116.96</v>
      </c>
      <c r="P92" s="58">
        <f t="shared" si="79"/>
        <v>2300.6732226722024</v>
      </c>
      <c r="Q92" s="58">
        <f t="shared" si="80"/>
        <v>2319.7132769288</v>
      </c>
      <c r="R92" s="58">
        <f t="shared" si="81"/>
        <v>19.040054256597614</v>
      </c>
      <c r="S92" s="58">
        <f t="shared" si="82"/>
        <v>2319.6442453095751</v>
      </c>
      <c r="T92" s="58">
        <f t="shared" si="83"/>
        <v>6.903161922491563E-2</v>
      </c>
      <c r="U92" s="57">
        <f t="shared" si="84"/>
        <v>116.95651942407503</v>
      </c>
      <c r="V92" s="57">
        <f t="shared" si="85"/>
        <v>2319.6442453095751</v>
      </c>
      <c r="W92" s="57">
        <f t="shared" si="86"/>
        <v>18.971022637372698</v>
      </c>
      <c r="X92" s="109">
        <f t="shared" si="51"/>
        <v>-1.8118839761882555E-13</v>
      </c>
      <c r="Y92" s="273">
        <f>(G92*$D$158)*(References!$C$55/References!$G$58)-L92</f>
        <v>0</v>
      </c>
    </row>
    <row r="93" spans="1:31">
      <c r="A93" s="266"/>
      <c r="B93" s="92">
        <v>30</v>
      </c>
      <c r="C93" s="72" t="s">
        <v>334</v>
      </c>
      <c r="D93" s="44">
        <f>+SUMIF('Price Out'!D:D,C93,'Price Out'!AH:AH)</f>
        <v>110.55965170695866</v>
      </c>
      <c r="E93" s="94">
        <f>+References!B11</f>
        <v>4.333333333333333</v>
      </c>
      <c r="F93" s="44">
        <f t="shared" si="50"/>
        <v>5749.1018887618502</v>
      </c>
      <c r="G93" s="44">
        <f>+References!B30</f>
        <v>29</v>
      </c>
      <c r="H93" s="44">
        <f>+F93*G93</f>
        <v>166723.95477409367</v>
      </c>
      <c r="I93" s="44">
        <f t="shared" si="37"/>
        <v>166102.52944930625</v>
      </c>
      <c r="J93" s="58">
        <f>+I93*References!$C$55</f>
        <v>159.45842827133328</v>
      </c>
      <c r="K93" s="58">
        <f>+J93/References!$G$58</f>
        <v>162.72928693880323</v>
      </c>
      <c r="L93" s="58">
        <f>+K93/F93*E93</f>
        <v>0.12265572206676384</v>
      </c>
      <c r="M93" s="58">
        <f>+'Proposed Rates'!B112</f>
        <v>15.17</v>
      </c>
      <c r="N93" s="58">
        <f t="shared" si="41"/>
        <v>15.292655722066764</v>
      </c>
      <c r="O93" s="58">
        <f>+'Proposed Rates'!D112</f>
        <v>15.29</v>
      </c>
      <c r="P93" s="58">
        <f>+D93*M93*12</f>
        <v>20126.278996734756</v>
      </c>
      <c r="Q93" s="58">
        <f>+D93*O93*12</f>
        <v>20285.484895192774</v>
      </c>
      <c r="R93" s="58">
        <f t="shared" si="44"/>
        <v>159.20589845801805</v>
      </c>
      <c r="S93" s="58">
        <f t="shared" ref="S93:S99" si="87">+D93*N93*12</f>
        <v>20289.00828367356</v>
      </c>
      <c r="T93" s="58">
        <f t="shared" si="46"/>
        <v>-3.5233884807857976</v>
      </c>
      <c r="U93" s="57">
        <f t="shared" si="47"/>
        <v>15.292655722066764</v>
      </c>
      <c r="V93" s="57">
        <f t="shared" ref="V93:V99" si="88">+D93*U93*12</f>
        <v>20289.00828367356</v>
      </c>
      <c r="W93" s="57">
        <f t="shared" si="49"/>
        <v>162.72928693880385</v>
      </c>
      <c r="X93" s="109">
        <f t="shared" si="51"/>
        <v>6.2527760746888816E-13</v>
      </c>
      <c r="Y93" s="273">
        <f>(G93*$D$158*E93)*(References!$C$55/References!$G$58)-L93</f>
        <v>0</v>
      </c>
    </row>
    <row r="94" spans="1:31">
      <c r="A94" s="266"/>
      <c r="B94" s="92">
        <v>30</v>
      </c>
      <c r="C94" s="72" t="s">
        <v>336</v>
      </c>
      <c r="D94" s="44">
        <f>+SUMIF('Price Out'!D:D,C94,'Price Out'!AH:AH)</f>
        <v>139.17483321831148</v>
      </c>
      <c r="E94" s="94">
        <f>+References!B11</f>
        <v>4.333333333333333</v>
      </c>
      <c r="F94" s="44">
        <f t="shared" si="50"/>
        <v>7237.0913273521965</v>
      </c>
      <c r="G94" s="44">
        <f>+References!B30</f>
        <v>29</v>
      </c>
      <c r="H94" s="44">
        <f t="shared" si="39"/>
        <v>209875.6484932137</v>
      </c>
      <c r="I94" s="44">
        <f t="shared" si="37"/>
        <v>209093.38512136301</v>
      </c>
      <c r="J94" s="58">
        <f>+I94*References!$C$55</f>
        <v>200.72964971650757</v>
      </c>
      <c r="K94" s="58">
        <f>+J94/References!$G$58</f>
        <v>204.84707594296108</v>
      </c>
      <c r="L94" s="58">
        <f t="shared" ref="L94:L95" si="89">+K94/F94*E94</f>
        <v>0.12265572206676383</v>
      </c>
      <c r="M94" s="58">
        <f>+'Proposed Rates'!B112</f>
        <v>15.17</v>
      </c>
      <c r="N94" s="58">
        <f t="shared" si="41"/>
        <v>15.292655722066764</v>
      </c>
      <c r="O94" s="58">
        <f>+'Proposed Rates'!D112</f>
        <v>15.29</v>
      </c>
      <c r="P94" s="58">
        <f t="shared" ref="P94:P99" si="90">+D94*M94*12</f>
        <v>25335.38663906142</v>
      </c>
      <c r="Q94" s="58">
        <f t="shared" ref="Q94:Q99" si="91">+D94*O94*12</f>
        <v>25535.798398895789</v>
      </c>
      <c r="R94" s="58">
        <f t="shared" si="44"/>
        <v>200.41175983436915</v>
      </c>
      <c r="S94" s="58">
        <f t="shared" si="87"/>
        <v>25540.233715004382</v>
      </c>
      <c r="T94" s="58">
        <f t="shared" si="46"/>
        <v>-4.435316108592815</v>
      </c>
      <c r="U94" s="57">
        <f t="shared" si="47"/>
        <v>15.292655722066764</v>
      </c>
      <c r="V94" s="57">
        <f t="shared" si="88"/>
        <v>25540.233715004382</v>
      </c>
      <c r="W94" s="57">
        <f t="shared" si="49"/>
        <v>204.84707594296196</v>
      </c>
      <c r="X94" s="109">
        <f t="shared" si="51"/>
        <v>8.8107299234252423E-13</v>
      </c>
      <c r="Y94" s="273">
        <f>(G94*$D$158*E94)*(References!$C$55/References!$G$58)-L94</f>
        <v>0</v>
      </c>
    </row>
    <row r="95" spans="1:31">
      <c r="A95" s="266"/>
      <c r="B95" s="92">
        <v>30</v>
      </c>
      <c r="C95" s="72" t="s">
        <v>338</v>
      </c>
      <c r="D95" s="44">
        <f>+SUMIF('Price Out'!D:D,C95,'Price Out'!AH:AH)</f>
        <v>1</v>
      </c>
      <c r="E95" s="94">
        <f>+References!B11</f>
        <v>4.333333333333333</v>
      </c>
      <c r="F95" s="44">
        <f t="shared" si="50"/>
        <v>52</v>
      </c>
      <c r="G95" s="44">
        <f>+References!B30</f>
        <v>29</v>
      </c>
      <c r="H95" s="44">
        <f t="shared" si="39"/>
        <v>1508</v>
      </c>
      <c r="I95" s="44">
        <f t="shared" si="37"/>
        <v>1502.3792756652806</v>
      </c>
      <c r="J95" s="58">
        <f>+I95*References!$C$55</f>
        <v>1.4422841046386627</v>
      </c>
      <c r="K95" s="58">
        <f>+J95/References!$G$58</f>
        <v>1.4718686648011663</v>
      </c>
      <c r="L95" s="58">
        <f t="shared" si="89"/>
        <v>0.12265572206676384</v>
      </c>
      <c r="M95" s="58">
        <f>+'Proposed Rates'!B112</f>
        <v>15.17</v>
      </c>
      <c r="N95" s="58">
        <f t="shared" si="41"/>
        <v>15.292655722066764</v>
      </c>
      <c r="O95" s="58">
        <f>+'Proposed Rates'!D112</f>
        <v>15.29</v>
      </c>
      <c r="P95" s="58">
        <f t="shared" si="90"/>
        <v>182.04</v>
      </c>
      <c r="Q95" s="58">
        <f t="shared" si="91"/>
        <v>183.48</v>
      </c>
      <c r="R95" s="58">
        <f t="shared" si="44"/>
        <v>1.4399999999999977</v>
      </c>
      <c r="S95" s="58">
        <f t="shared" si="87"/>
        <v>183.51186866480117</v>
      </c>
      <c r="T95" s="58">
        <f t="shared" si="46"/>
        <v>-3.1868664801180557E-2</v>
      </c>
      <c r="U95" s="57">
        <f t="shared" si="47"/>
        <v>15.292655722066764</v>
      </c>
      <c r="V95" s="57">
        <f t="shared" si="88"/>
        <v>183.51186866480117</v>
      </c>
      <c r="W95" s="57">
        <f t="shared" si="49"/>
        <v>1.4718686648011783</v>
      </c>
      <c r="X95" s="109">
        <f t="shared" si="51"/>
        <v>1.1990408665951691E-14</v>
      </c>
      <c r="Y95" s="273">
        <f>(G95*$D$158*E95)*(References!$C$55/References!$G$58)-L95</f>
        <v>0</v>
      </c>
    </row>
    <row r="96" spans="1:31">
      <c r="A96" s="266"/>
      <c r="B96" s="92">
        <v>30</v>
      </c>
      <c r="C96" s="72" t="s">
        <v>341</v>
      </c>
      <c r="D96" s="44">
        <f>+SUMIF('Price Out'!D:D,C96,'Price Out'!AH:AH)</f>
        <v>4.0000788954635116</v>
      </c>
      <c r="E96" s="94">
        <f>+References!B11</f>
        <v>4.333333333333333</v>
      </c>
      <c r="F96" s="44">
        <f>+D96*E96*12</f>
        <v>208.00410256410257</v>
      </c>
      <c r="G96" s="44">
        <f>+References!B30*2</f>
        <v>58</v>
      </c>
      <c r="H96" s="44">
        <f>+F96*G96</f>
        <v>12064.23794871795</v>
      </c>
      <c r="I96" s="44">
        <f t="shared" si="37"/>
        <v>12019.27126714089</v>
      </c>
      <c r="J96" s="58">
        <f>+I96*References!$C$55</f>
        <v>11.538500416455202</v>
      </c>
      <c r="K96" s="58">
        <f>+J96/References!$G$58</f>
        <v>11.775181565930403</v>
      </c>
      <c r="L96" s="58">
        <f t="shared" ref="L96:L99" si="92">+K96/F96*E96</f>
        <v>0.24531144413352768</v>
      </c>
      <c r="M96" s="58">
        <f>+'Proposed Rates'!B109*2*References!B11</f>
        <v>29.033333333333331</v>
      </c>
      <c r="N96" s="58">
        <f>+L96+M96</f>
        <v>29.278644777466859</v>
      </c>
      <c r="O96" s="58">
        <f>+'Proposed Rates'!D109*2*References!B11</f>
        <v>29.293333333333329</v>
      </c>
      <c r="P96" s="58">
        <f t="shared" si="90"/>
        <v>1393.6274871794872</v>
      </c>
      <c r="Q96" s="58">
        <f t="shared" si="91"/>
        <v>1406.1077333333333</v>
      </c>
      <c r="R96" s="58">
        <f t="shared" si="44"/>
        <v>12.48024615384611</v>
      </c>
      <c r="S96" s="58">
        <f t="shared" si="87"/>
        <v>1405.4026687454177</v>
      </c>
      <c r="T96" s="58">
        <f t="shared" si="46"/>
        <v>0.70506458791555815</v>
      </c>
      <c r="U96" s="57">
        <f t="shared" si="47"/>
        <v>29.278644777466859</v>
      </c>
      <c r="V96" s="57">
        <f t="shared" si="88"/>
        <v>1405.4026687454177</v>
      </c>
      <c r="W96" s="57">
        <f t="shared" si="49"/>
        <v>11.775181565930552</v>
      </c>
      <c r="X96" s="109">
        <f t="shared" si="51"/>
        <v>1.4921397450962104E-13</v>
      </c>
      <c r="Y96" s="273">
        <f>(G96*$D$158*E96)*(References!$C$55/References!$G$58)-L96</f>
        <v>0</v>
      </c>
    </row>
    <row r="97" spans="1:31">
      <c r="A97" s="266"/>
      <c r="B97" s="92">
        <v>30</v>
      </c>
      <c r="C97" s="72" t="s">
        <v>343</v>
      </c>
      <c r="D97" s="44">
        <f>+SUMIF('Price Out'!D:D,C97,'Price Out'!AH:AH)</f>
        <v>1</v>
      </c>
      <c r="E97" s="94">
        <f>+References!B11</f>
        <v>4.333333333333333</v>
      </c>
      <c r="F97" s="44">
        <f t="shared" si="50"/>
        <v>52</v>
      </c>
      <c r="G97" s="44">
        <f>+References!B30*3</f>
        <v>87</v>
      </c>
      <c r="H97" s="44">
        <f t="shared" si="39"/>
        <v>4524</v>
      </c>
      <c r="I97" s="44">
        <f t="shared" si="37"/>
        <v>4507.1378269958414</v>
      </c>
      <c r="J97" s="58">
        <f>+I97*References!$C$55</f>
        <v>4.326852313915988</v>
      </c>
      <c r="K97" s="58">
        <f>+J97/References!$G$58</f>
        <v>4.4156059944034984</v>
      </c>
      <c r="L97" s="58">
        <f t="shared" si="92"/>
        <v>0.36796716620029152</v>
      </c>
      <c r="M97" s="58">
        <f>+'Proposed Rates'!$B$111*3*References!$B$11</f>
        <v>43.55</v>
      </c>
      <c r="N97" s="58">
        <f t="shared" si="41"/>
        <v>43.917967166200292</v>
      </c>
      <c r="O97" s="58">
        <f>+'Proposed Rates'!D111*3*References!B11</f>
        <v>43.94</v>
      </c>
      <c r="P97" s="58">
        <f t="shared" si="90"/>
        <v>522.59999999999991</v>
      </c>
      <c r="Q97" s="58">
        <f t="shared" si="91"/>
        <v>527.28</v>
      </c>
      <c r="R97" s="58">
        <f t="shared" si="44"/>
        <v>4.6800000000000637</v>
      </c>
      <c r="S97" s="58">
        <f t="shared" si="87"/>
        <v>527.01560599440347</v>
      </c>
      <c r="T97" s="58">
        <f t="shared" si="46"/>
        <v>0.26439400559650039</v>
      </c>
      <c r="U97" s="57">
        <f t="shared" si="47"/>
        <v>43.917967166200292</v>
      </c>
      <c r="V97" s="57">
        <f t="shared" si="88"/>
        <v>527.01560599440347</v>
      </c>
      <c r="W97" s="57">
        <f t="shared" si="49"/>
        <v>4.4156059944035633</v>
      </c>
      <c r="X97" s="109">
        <f t="shared" si="51"/>
        <v>6.4837024638109142E-14</v>
      </c>
      <c r="Y97" s="273">
        <f>(G97*$D$158*E97)*(References!$C$55/References!$G$58)-L97</f>
        <v>0</v>
      </c>
    </row>
    <row r="98" spans="1:31" s="72" customFormat="1">
      <c r="A98" s="266"/>
      <c r="B98" s="92"/>
      <c r="C98" s="72" t="s">
        <v>533</v>
      </c>
      <c r="D98" s="44">
        <f>+SUMIF('Price Out'!D:D,C98,'Price Out'!AH:AH)</f>
        <v>0.99999013806706127</v>
      </c>
      <c r="E98" s="94">
        <f>+References!B11</f>
        <v>4.333333333333333</v>
      </c>
      <c r="F98" s="44">
        <f t="shared" si="50"/>
        <v>51.999487179487176</v>
      </c>
      <c r="G98" s="44">
        <f>+References!B30*4</f>
        <v>116</v>
      </c>
      <c r="H98" s="44">
        <f t="shared" ref="H98" si="93">+F98*G98</f>
        <v>6031.9405128205126</v>
      </c>
      <c r="I98" s="44">
        <f t="shared" si="37"/>
        <v>6009.4578372064607</v>
      </c>
      <c r="J98" s="58">
        <f>+I98*References!$C$55</f>
        <v>5.769079523718176</v>
      </c>
      <c r="K98" s="58">
        <f>+J98/References!$G$58</f>
        <v>5.8874165973243962</v>
      </c>
      <c r="L98" s="58">
        <f t="shared" ref="L98" si="94">+K98/F98*E98</f>
        <v>0.49062288826705536</v>
      </c>
      <c r="M98" s="58">
        <f>+'Proposed Rates'!$B$111*4*References!$B$11</f>
        <v>58.066666666666663</v>
      </c>
      <c r="N98" s="58">
        <f t="shared" si="41"/>
        <v>58.557289554933718</v>
      </c>
      <c r="O98" s="58">
        <f>+'Proposed Rates'!D111*4*References!B11</f>
        <v>58.586666666666659</v>
      </c>
      <c r="P98" s="58">
        <f t="shared" ref="P98" si="95">+D98*M98*12</f>
        <v>696.79312820512826</v>
      </c>
      <c r="Q98" s="58">
        <f t="shared" ref="Q98" si="96">+D98*O98*12</f>
        <v>703.03306666666663</v>
      </c>
      <c r="R98" s="58">
        <f t="shared" ref="R98" si="97">+Q98-P98</f>
        <v>6.2399384615383724</v>
      </c>
      <c r="S98" s="58">
        <f t="shared" ref="S98" si="98">+D98*N98*12</f>
        <v>702.68054480245257</v>
      </c>
      <c r="T98" s="58">
        <f t="shared" ref="T98" si="99">+Q98-S98</f>
        <v>0.3525218642140544</v>
      </c>
      <c r="U98" s="57">
        <f t="shared" ref="U98" si="100">+N98</f>
        <v>58.557289554933718</v>
      </c>
      <c r="V98" s="57">
        <f t="shared" ref="V98" si="101">+D98*U98*12</f>
        <v>702.68054480245257</v>
      </c>
      <c r="W98" s="57">
        <f t="shared" ref="W98" si="102">+V98-P98</f>
        <v>5.887416597324318</v>
      </c>
      <c r="X98" s="109">
        <f t="shared" ref="X98" si="103">W98-K98</f>
        <v>-7.815970093361102E-14</v>
      </c>
      <c r="Y98" s="273">
        <f>(G98*$D$158*E98)*(References!$C$55/References!$G$58)-L98</f>
        <v>0</v>
      </c>
      <c r="AA98" s="55"/>
      <c r="AB98" s="55"/>
      <c r="AC98" s="55"/>
      <c r="AD98" s="55"/>
      <c r="AE98" s="55"/>
    </row>
    <row r="99" spans="1:31">
      <c r="A99" s="266"/>
      <c r="B99" s="92">
        <v>30</v>
      </c>
      <c r="C99" s="72" t="s">
        <v>345</v>
      </c>
      <c r="D99" s="44">
        <f>+SUMIF('Price Out'!D:D,C99,'Price Out'!AH:AH)</f>
        <v>2</v>
      </c>
      <c r="E99" s="94">
        <f>+References!B11</f>
        <v>4.333333333333333</v>
      </c>
      <c r="F99" s="44">
        <f t="shared" si="50"/>
        <v>104</v>
      </c>
      <c r="G99" s="44">
        <f>+References!B30*6</f>
        <v>174</v>
      </c>
      <c r="H99" s="44">
        <f t="shared" si="39"/>
        <v>18096</v>
      </c>
      <c r="I99" s="44">
        <f t="shared" ref="I99:I113" si="104">+H99*$D$158</f>
        <v>18028.551307983365</v>
      </c>
      <c r="J99" s="58">
        <f>+I99*References!$C$55</f>
        <v>17.307409255663952</v>
      </c>
      <c r="K99" s="58">
        <f>+J99/References!$G$58</f>
        <v>17.662423977613994</v>
      </c>
      <c r="L99" s="58">
        <f t="shared" si="92"/>
        <v>0.73593433240058304</v>
      </c>
      <c r="M99" s="58">
        <f>+'Proposed Rates'!B110*6*References!B11</f>
        <v>81.38</v>
      </c>
      <c r="N99" s="58">
        <f t="shared" si="41"/>
        <v>82.115934332400585</v>
      </c>
      <c r="O99" s="58">
        <f>+'Proposed Rates'!D110*6*References!B11</f>
        <v>82.159999999999982</v>
      </c>
      <c r="P99" s="58">
        <f t="shared" si="90"/>
        <v>1953.12</v>
      </c>
      <c r="Q99" s="58">
        <f t="shared" si="91"/>
        <v>1971.8399999999997</v>
      </c>
      <c r="R99" s="58">
        <f t="shared" si="44"/>
        <v>18.7199999999998</v>
      </c>
      <c r="S99" s="58">
        <f t="shared" si="87"/>
        <v>1970.7824239776141</v>
      </c>
      <c r="T99" s="58">
        <f t="shared" si="46"/>
        <v>1.0575760223855468</v>
      </c>
      <c r="U99" s="57">
        <f t="shared" si="47"/>
        <v>82.115934332400585</v>
      </c>
      <c r="V99" s="57">
        <f t="shared" si="88"/>
        <v>1970.7824239776141</v>
      </c>
      <c r="W99" s="57">
        <f t="shared" si="49"/>
        <v>17.662423977614253</v>
      </c>
      <c r="X99" s="109">
        <f t="shared" si="51"/>
        <v>2.5934809855243657E-13</v>
      </c>
      <c r="Y99" s="273">
        <f>(G99*$D$158*E99)*(References!$C$55/References!$G$58)-L99</f>
        <v>0</v>
      </c>
    </row>
    <row r="100" spans="1:31">
      <c r="A100" s="266"/>
      <c r="B100" s="92">
        <v>30</v>
      </c>
      <c r="C100" s="72" t="s">
        <v>347</v>
      </c>
      <c r="D100" s="44">
        <f>+SUMIF('Price Out'!D:D,C100,'Price Out'!AH:AH)</f>
        <v>23.746283799042331</v>
      </c>
      <c r="E100" s="94">
        <f>+References!B11</f>
        <v>4.333333333333333</v>
      </c>
      <c r="F100" s="44">
        <f t="shared" si="50"/>
        <v>1234.8067575502012</v>
      </c>
      <c r="G100" s="44">
        <f>+References!B25</f>
        <v>47</v>
      </c>
      <c r="H100" s="44">
        <f t="shared" si="39"/>
        <v>58035.917604859453</v>
      </c>
      <c r="I100" s="44">
        <f t="shared" si="104"/>
        <v>57819.60202503889</v>
      </c>
      <c r="J100" s="58">
        <f>+I100*References!$C$55</f>
        <v>55.506817944037081</v>
      </c>
      <c r="K100" s="58">
        <f>+J100/References!$G$58</f>
        <v>56.645390288842819</v>
      </c>
      <c r="L100" s="58">
        <f t="shared" si="40"/>
        <v>4.587389074645544E-2</v>
      </c>
      <c r="M100" s="58">
        <f>+'Proposed Rates'!B116</f>
        <v>6.79</v>
      </c>
      <c r="N100" s="58">
        <f t="shared" si="41"/>
        <v>6.8358738907464556</v>
      </c>
      <c r="O100" s="58">
        <f>+'Proposed Rates'!D116</f>
        <v>6.84</v>
      </c>
      <c r="P100" s="58">
        <f t="shared" si="42"/>
        <v>8384.3378837658656</v>
      </c>
      <c r="Q100" s="58">
        <f t="shared" si="43"/>
        <v>8446.0782216433763</v>
      </c>
      <c r="R100" s="58">
        <f t="shared" si="44"/>
        <v>61.740337877510683</v>
      </c>
      <c r="S100" s="58">
        <f t="shared" si="45"/>
        <v>8440.9832740547081</v>
      </c>
      <c r="T100" s="58">
        <f t="shared" si="46"/>
        <v>5.0949475886682194</v>
      </c>
      <c r="U100" s="57">
        <f t="shared" si="47"/>
        <v>6.8358738907464556</v>
      </c>
      <c r="V100" s="57">
        <f t="shared" si="48"/>
        <v>8440.9832740547081</v>
      </c>
      <c r="W100" s="57">
        <f t="shared" si="49"/>
        <v>56.645390288842464</v>
      </c>
      <c r="X100" s="109">
        <f t="shared" si="51"/>
        <v>-3.5527136788005009E-13</v>
      </c>
      <c r="Y100" s="273">
        <f>(G100*$D$158)*(References!$C$55/References!$G$58)-L100</f>
        <v>0</v>
      </c>
    </row>
    <row r="101" spans="1:31">
      <c r="A101" s="266"/>
      <c r="B101" s="92">
        <v>30</v>
      </c>
      <c r="C101" s="72" t="s">
        <v>349</v>
      </c>
      <c r="D101" s="44">
        <f>+SUMIF('Price Out'!D:D,C101,'Price Out'!AH:AH)</f>
        <v>31.750600356340538</v>
      </c>
      <c r="E101" s="94">
        <f>+References!B11</f>
        <v>4.333333333333333</v>
      </c>
      <c r="F101" s="44">
        <f t="shared" si="50"/>
        <v>1651.031218529708</v>
      </c>
      <c r="G101" s="44">
        <f>+References!B25</f>
        <v>47</v>
      </c>
      <c r="H101" s="44">
        <f t="shared" si="39"/>
        <v>77598.467270896275</v>
      </c>
      <c r="I101" s="44">
        <f t="shared" si="104"/>
        <v>77309.236771342912</v>
      </c>
      <c r="J101" s="58">
        <f>+I101*References!$C$55</f>
        <v>74.216867300488857</v>
      </c>
      <c r="K101" s="58">
        <f>+J101/References!$G$58</f>
        <v>75.739225737819027</v>
      </c>
      <c r="L101" s="58">
        <f t="shared" si="40"/>
        <v>4.5873890746455447E-2</v>
      </c>
      <c r="M101" s="58">
        <f>+'Proposed Rates'!B116</f>
        <v>6.79</v>
      </c>
      <c r="N101" s="58">
        <f>+L101+M101</f>
        <v>6.8358738907464556</v>
      </c>
      <c r="O101" s="58">
        <f>+'Proposed Rates'!D116</f>
        <v>6.84</v>
      </c>
      <c r="P101" s="58">
        <f t="shared" si="42"/>
        <v>11210.501973816718</v>
      </c>
      <c r="Q101" s="58">
        <f t="shared" si="43"/>
        <v>11293.053534743203</v>
      </c>
      <c r="R101" s="58">
        <f>+Q101-P101</f>
        <v>82.551560926485763</v>
      </c>
      <c r="S101" s="58">
        <f>+F101*N101</f>
        <v>11286.241199554537</v>
      </c>
      <c r="T101" s="58">
        <f t="shared" si="46"/>
        <v>6.8123351886661112</v>
      </c>
      <c r="U101" s="57">
        <f t="shared" si="47"/>
        <v>6.8358738907464556</v>
      </c>
      <c r="V101" s="57">
        <f t="shared" si="48"/>
        <v>11286.241199554537</v>
      </c>
      <c r="W101" s="57">
        <f t="shared" si="49"/>
        <v>75.739225737819652</v>
      </c>
      <c r="X101" s="109">
        <f t="shared" si="51"/>
        <v>6.2527760746888816E-13</v>
      </c>
      <c r="Y101" s="273">
        <f>(G101*$D$158)*(References!$C$55/References!$G$58)-L101</f>
        <v>0</v>
      </c>
    </row>
    <row r="102" spans="1:31">
      <c r="A102" s="266"/>
      <c r="B102" s="92">
        <v>30</v>
      </c>
      <c r="C102" s="72" t="s">
        <v>351</v>
      </c>
      <c r="D102" s="44">
        <f>+SUMIF('Price Out'!D:D,C102,'Price Out'!AH:AH)</f>
        <v>119.38450196496431</v>
      </c>
      <c r="E102" s="94">
        <f>+References!B12</f>
        <v>2.1666666666666665</v>
      </c>
      <c r="F102" s="44">
        <f t="shared" si="50"/>
        <v>3103.9970510890716</v>
      </c>
      <c r="G102" s="44">
        <f>+References!B25</f>
        <v>47</v>
      </c>
      <c r="H102" s="44">
        <f t="shared" si="39"/>
        <v>145887.86140118635</v>
      </c>
      <c r="I102" s="44">
        <f t="shared" si="104"/>
        <v>145344.09783837612</v>
      </c>
      <c r="J102" s="58">
        <f>+I102*References!$C$55</f>
        <v>139.53033392484045</v>
      </c>
      <c r="K102" s="58">
        <f>+J102/References!$G$58</f>
        <v>142.39242159897995</v>
      </c>
      <c r="L102" s="58">
        <f t="shared" si="40"/>
        <v>4.5873890746455447E-2</v>
      </c>
      <c r="M102" s="58">
        <f>+'Proposed Rates'!B116</f>
        <v>6.79</v>
      </c>
      <c r="N102" s="58">
        <f t="shared" si="41"/>
        <v>6.8358738907464556</v>
      </c>
      <c r="O102" s="58">
        <f>+'Proposed Rates'!D116</f>
        <v>6.84</v>
      </c>
      <c r="P102" s="58">
        <f t="shared" si="42"/>
        <v>21076.139976894796</v>
      </c>
      <c r="Q102" s="58">
        <f t="shared" si="43"/>
        <v>21231.339829449251</v>
      </c>
      <c r="R102" s="58">
        <f t="shared" si="44"/>
        <v>155.19985255445499</v>
      </c>
      <c r="S102" s="58">
        <f t="shared" si="45"/>
        <v>21218.532398493779</v>
      </c>
      <c r="T102" s="58">
        <f t="shared" si="46"/>
        <v>12.807430955472228</v>
      </c>
      <c r="U102" s="57">
        <f t="shared" si="47"/>
        <v>6.8358738907464556</v>
      </c>
      <c r="V102" s="57">
        <f t="shared" si="48"/>
        <v>21218.532398493779</v>
      </c>
      <c r="W102" s="57">
        <f t="shared" si="49"/>
        <v>142.39242159898276</v>
      </c>
      <c r="X102" s="109">
        <f t="shared" si="51"/>
        <v>2.8137492336099967E-12</v>
      </c>
      <c r="Y102" s="273">
        <f>(G102*$D$158)*(References!$C$55/References!$G$58)-L102</f>
        <v>0</v>
      </c>
    </row>
    <row r="103" spans="1:31">
      <c r="A103" s="266"/>
      <c r="B103" s="92">
        <v>30</v>
      </c>
      <c r="C103" s="72" t="s">
        <v>353</v>
      </c>
      <c r="D103" s="44">
        <f>+SUMIF('Price Out'!D:D,C103,'Price Out'!AH:AH)</f>
        <v>6.3734089975301425</v>
      </c>
      <c r="E103" s="94">
        <f>+References!B12</f>
        <v>2.1666666666666665</v>
      </c>
      <c r="F103" s="44">
        <f t="shared" si="50"/>
        <v>165.70863393578369</v>
      </c>
      <c r="G103" s="44">
        <f>+References!B25</f>
        <v>47</v>
      </c>
      <c r="H103" s="44">
        <f t="shared" si="39"/>
        <v>7788.305794981834</v>
      </c>
      <c r="I103" s="44">
        <f t="shared" si="104"/>
        <v>7759.2766703743464</v>
      </c>
      <c r="J103" s="58">
        <f>+I103*References!$C$55</f>
        <v>7.4489056035593384</v>
      </c>
      <c r="K103" s="58">
        <f>+J103/References!$G$58</f>
        <v>7.6016997689145205</v>
      </c>
      <c r="L103" s="58">
        <f t="shared" si="40"/>
        <v>4.5873890746455447E-2</v>
      </c>
      <c r="M103" s="58">
        <f>+'Proposed Rates'!B116</f>
        <v>6.79</v>
      </c>
      <c r="N103" s="58">
        <f>+L103+M103</f>
        <v>6.8358738907464556</v>
      </c>
      <c r="O103" s="58">
        <f>+'Proposed Rates'!D116</f>
        <v>6.84</v>
      </c>
      <c r="P103" s="58">
        <f t="shared" si="42"/>
        <v>1125.1616244239713</v>
      </c>
      <c r="Q103" s="58">
        <f>+F103*O103</f>
        <v>1133.4470561207604</v>
      </c>
      <c r="R103" s="58">
        <f>+Q103-P103</f>
        <v>8.2854316967891464</v>
      </c>
      <c r="S103" s="58">
        <f>+F103*N103</f>
        <v>1132.7633241928859</v>
      </c>
      <c r="T103" s="58">
        <f>+Q103-S103</f>
        <v>0.68373192787453263</v>
      </c>
      <c r="U103" s="57">
        <f t="shared" si="47"/>
        <v>6.8358738907464556</v>
      </c>
      <c r="V103" s="57">
        <f t="shared" si="48"/>
        <v>1132.7633241928859</v>
      </c>
      <c r="W103" s="57">
        <f t="shared" si="49"/>
        <v>7.6016997689146137</v>
      </c>
      <c r="X103" s="109">
        <f t="shared" si="51"/>
        <v>9.3258734068513149E-14</v>
      </c>
      <c r="Y103" s="273">
        <f>(G103*$D$158)*(References!$C$55/References!$G$58)-L103</f>
        <v>0</v>
      </c>
    </row>
    <row r="104" spans="1:31">
      <c r="A104" s="266"/>
      <c r="B104" s="92">
        <v>30</v>
      </c>
      <c r="C104" s="72" t="s">
        <v>355</v>
      </c>
      <c r="D104" s="44">
        <f>+SUMIF('Price Out'!D:D,C104,'Price Out'!AH:AH)</f>
        <v>0.99999031683321726</v>
      </c>
      <c r="E104" s="94">
        <f>+References!B11</f>
        <v>4.333333333333333</v>
      </c>
      <c r="F104" s="44">
        <f t="shared" si="50"/>
        <v>51.999496475327298</v>
      </c>
      <c r="G104" s="44">
        <f>+References!B25*2</f>
        <v>94</v>
      </c>
      <c r="H104" s="44">
        <f t="shared" si="39"/>
        <v>4887.9526686807658</v>
      </c>
      <c r="I104" s="44">
        <f t="shared" si="104"/>
        <v>4869.7339455296978</v>
      </c>
      <c r="J104" s="58">
        <f>+I104*References!$C$55</f>
        <v>4.6749445877084881</v>
      </c>
      <c r="K104" s="58">
        <f>+J104/References!$G$58</f>
        <v>4.7708384403597188</v>
      </c>
      <c r="L104" s="58">
        <f t="shared" si="40"/>
        <v>9.1747781492910893E-2</v>
      </c>
      <c r="M104" s="58">
        <f>+'Proposed Rates'!B116*2</f>
        <v>13.58</v>
      </c>
      <c r="N104" s="58">
        <f t="shared" si="41"/>
        <v>13.671747781492911</v>
      </c>
      <c r="O104" s="58">
        <f>+'Proposed Rates'!D116*2</f>
        <v>13.68</v>
      </c>
      <c r="P104" s="58">
        <f t="shared" si="42"/>
        <v>706.15316213494475</v>
      </c>
      <c r="Q104" s="58">
        <f t="shared" si="43"/>
        <v>711.35311178247741</v>
      </c>
      <c r="R104" s="58">
        <f t="shared" si="44"/>
        <v>5.1999496475326623</v>
      </c>
      <c r="S104" s="58">
        <f t="shared" si="45"/>
        <v>710.92400057530449</v>
      </c>
      <c r="T104" s="58">
        <f t="shared" si="46"/>
        <v>0.42911120717292306</v>
      </c>
      <c r="U104" s="57">
        <f t="shared" si="47"/>
        <v>13.671747781492911</v>
      </c>
      <c r="V104" s="57">
        <f t="shared" si="48"/>
        <v>710.92400057530449</v>
      </c>
      <c r="W104" s="57">
        <f t="shared" si="49"/>
        <v>4.7708384403597393</v>
      </c>
      <c r="X104" s="109">
        <f t="shared" si="51"/>
        <v>2.042810365310288E-14</v>
      </c>
      <c r="Y104" s="273">
        <f>(G104*$D$158)*(References!$C$55/References!$G$58)-L104</f>
        <v>0</v>
      </c>
    </row>
    <row r="105" spans="1:31">
      <c r="A105" s="266"/>
      <c r="B105" s="92">
        <v>30</v>
      </c>
      <c r="C105" s="72" t="s">
        <v>357</v>
      </c>
      <c r="D105" s="44">
        <f>+SUMIF('Price Out'!D:D,C105,'Price Out'!AH:AH)</f>
        <v>18.517486204009174</v>
      </c>
      <c r="E105" s="94">
        <f>+References!B11</f>
        <v>4.333333333333333</v>
      </c>
      <c r="F105" s="44">
        <f t="shared" si="50"/>
        <v>962.90928260847704</v>
      </c>
      <c r="G105" s="44">
        <f>+References!B26</f>
        <v>68</v>
      </c>
      <c r="H105" s="44">
        <f t="shared" si="39"/>
        <v>65477.831217376443</v>
      </c>
      <c r="I105" s="44">
        <f t="shared" si="104"/>
        <v>65233.777610408164</v>
      </c>
      <c r="J105" s="58">
        <f>+I105*References!$C$55</f>
        <v>62.624426505991551</v>
      </c>
      <c r="K105" s="58">
        <f>+J105/References!$G$58</f>
        <v>63.908997352782478</v>
      </c>
      <c r="L105" s="58">
        <f t="shared" si="40"/>
        <v>6.6370735548063192E-2</v>
      </c>
      <c r="M105" s="58">
        <f>+'Proposed Rates'!B121</f>
        <v>9.7799999999999994</v>
      </c>
      <c r="N105" s="58">
        <f t="shared" si="41"/>
        <v>9.8463707355480619</v>
      </c>
      <c r="O105" s="58">
        <f>+'Proposed Rates'!D121</f>
        <v>9.85</v>
      </c>
      <c r="P105" s="58">
        <f t="shared" si="42"/>
        <v>9417.2527839109043</v>
      </c>
      <c r="Q105" s="58">
        <f t="shared" si="43"/>
        <v>9484.6564336934989</v>
      </c>
      <c r="R105" s="58">
        <f t="shared" si="44"/>
        <v>67.403649782594584</v>
      </c>
      <c r="S105" s="58">
        <f t="shared" si="45"/>
        <v>9481.1617812636869</v>
      </c>
      <c r="T105" s="58">
        <f t="shared" si="46"/>
        <v>3.4946524298120494</v>
      </c>
      <c r="U105" s="57">
        <f t="shared" si="47"/>
        <v>9.8463707355480619</v>
      </c>
      <c r="V105" s="57">
        <f t="shared" si="48"/>
        <v>9481.1617812636869</v>
      </c>
      <c r="W105" s="57">
        <f t="shared" si="49"/>
        <v>63.908997352782535</v>
      </c>
      <c r="X105" s="109">
        <f t="shared" si="51"/>
        <v>5.6843418860808015E-14</v>
      </c>
      <c r="Y105" s="273">
        <f>(G105*$D$158)*(References!$C$55/References!$G$58)-L105</f>
        <v>0</v>
      </c>
    </row>
    <row r="106" spans="1:31">
      <c r="A106" s="266"/>
      <c r="B106" s="92">
        <v>30</v>
      </c>
      <c r="C106" s="72" t="s">
        <v>359</v>
      </c>
      <c r="D106" s="44">
        <f>+SUMIF('Price Out'!D:D,C106,'Price Out'!AH:AH)</f>
        <v>2.0000269055882907</v>
      </c>
      <c r="E106" s="94">
        <f>+References!B11</f>
        <v>4.333333333333333</v>
      </c>
      <c r="F106" s="44">
        <f t="shared" si="50"/>
        <v>104.00139909059111</v>
      </c>
      <c r="G106" s="44">
        <f>+References!B26</f>
        <v>68</v>
      </c>
      <c r="H106" s="44">
        <f t="shared" si="39"/>
        <v>7072.0951381601953</v>
      </c>
      <c r="I106" s="44">
        <f t="shared" si="104"/>
        <v>7045.7355246054813</v>
      </c>
      <c r="J106" s="58">
        <f>+I106*References!$C$55</f>
        <v>6.7639061036212311</v>
      </c>
      <c r="K106" s="58">
        <f>+J106/References!$G$58</f>
        <v>6.902649355670202</v>
      </c>
      <c r="L106" s="58">
        <f t="shared" si="40"/>
        <v>6.6370735548063192E-2</v>
      </c>
      <c r="M106" s="58">
        <f>+'Proposed Rates'!B121</f>
        <v>9.7799999999999994</v>
      </c>
      <c r="N106" s="58">
        <f t="shared" si="41"/>
        <v>9.8463707355480619</v>
      </c>
      <c r="O106" s="58">
        <f>+'Proposed Rates'!D121</f>
        <v>9.85</v>
      </c>
      <c r="P106" s="58">
        <f t="shared" si="42"/>
        <v>1017.1336831059809</v>
      </c>
      <c r="Q106" s="58">
        <f t="shared" si="43"/>
        <v>1024.4137810423224</v>
      </c>
      <c r="R106" s="58">
        <f t="shared" si="44"/>
        <v>7.2800979363414626</v>
      </c>
      <c r="S106" s="58">
        <f t="shared" si="45"/>
        <v>1024.036332461651</v>
      </c>
      <c r="T106" s="58">
        <f t="shared" si="46"/>
        <v>0.3774485806713983</v>
      </c>
      <c r="U106" s="57">
        <f t="shared" si="47"/>
        <v>9.8463707355480619</v>
      </c>
      <c r="V106" s="57">
        <f t="shared" si="48"/>
        <v>1024.036332461651</v>
      </c>
      <c r="W106" s="57">
        <f t="shared" si="49"/>
        <v>6.9026493556700643</v>
      </c>
      <c r="X106" s="109">
        <f t="shared" si="51"/>
        <v>-1.3766765505351941E-13</v>
      </c>
      <c r="Y106" s="273">
        <f>(G106*$D$158)*(References!$C$55/References!$G$58)-L106</f>
        <v>0</v>
      </c>
    </row>
    <row r="107" spans="1:31">
      <c r="A107" s="266"/>
      <c r="B107" s="92">
        <v>30</v>
      </c>
      <c r="C107" s="72" t="s">
        <v>361</v>
      </c>
      <c r="D107" s="44">
        <f>+SUMIF('Price Out'!D:D,C107,'Price Out'!AH:AH)</f>
        <v>0.33333333333333331</v>
      </c>
      <c r="E107" s="94">
        <f>+References!B11</f>
        <v>4.333333333333333</v>
      </c>
      <c r="F107" s="44">
        <f t="shared" si="50"/>
        <v>17.333333333333329</v>
      </c>
      <c r="G107" s="44">
        <f>+References!B26*2</f>
        <v>136</v>
      </c>
      <c r="H107" s="44">
        <f t="shared" si="39"/>
        <v>2357.3333333333326</v>
      </c>
      <c r="I107" s="44">
        <f t="shared" si="104"/>
        <v>2348.5469136836559</v>
      </c>
      <c r="J107" s="58">
        <f>+I107*References!$C$55</f>
        <v>2.2546050371362991</v>
      </c>
      <c r="K107" s="58">
        <f>+J107/References!$G$58</f>
        <v>2.3008521656661896</v>
      </c>
      <c r="L107" s="58">
        <f t="shared" si="40"/>
        <v>0.13274147109612636</v>
      </c>
      <c r="M107" s="58">
        <f>+'Proposed Rates'!B121*2</f>
        <v>19.559999999999999</v>
      </c>
      <c r="N107" s="58">
        <f t="shared" si="41"/>
        <v>19.692741471096124</v>
      </c>
      <c r="O107" s="58">
        <f>+'Proposed Rates'!D121*2</f>
        <v>19.7</v>
      </c>
      <c r="P107" s="58">
        <f t="shared" si="42"/>
        <v>339.03999999999991</v>
      </c>
      <c r="Q107" s="58">
        <f t="shared" si="43"/>
        <v>341.46666666666658</v>
      </c>
      <c r="R107" s="58">
        <f t="shared" si="44"/>
        <v>2.4266666666666765</v>
      </c>
      <c r="S107" s="58">
        <f t="shared" si="45"/>
        <v>341.34085216566604</v>
      </c>
      <c r="T107" s="58">
        <f t="shared" si="46"/>
        <v>0.12581450100054781</v>
      </c>
      <c r="U107" s="57">
        <f t="shared" si="47"/>
        <v>19.692741471096124</v>
      </c>
      <c r="V107" s="57">
        <f t="shared" si="48"/>
        <v>341.34085216566604</v>
      </c>
      <c r="W107" s="57">
        <f t="shared" si="49"/>
        <v>2.3008521656661287</v>
      </c>
      <c r="X107" s="109">
        <f t="shared" si="51"/>
        <v>-6.0840221749458578E-14</v>
      </c>
      <c r="Y107" s="273">
        <f>(G107*$D$158)*(References!$C$55/References!$G$58)-L107</f>
        <v>0</v>
      </c>
    </row>
    <row r="108" spans="1:31">
      <c r="A108" s="266"/>
      <c r="B108" s="92">
        <v>30</v>
      </c>
      <c r="C108" s="72" t="s">
        <v>363</v>
      </c>
      <c r="D108" s="44">
        <f>+SUMIF('Price Out'!D:D,C108,'Price Out'!AH:AH)</f>
        <v>8.0836964496985484</v>
      </c>
      <c r="E108" s="94">
        <f>+References!B12</f>
        <v>2.1666666666666665</v>
      </c>
      <c r="F108" s="44">
        <f t="shared" si="50"/>
        <v>210.17610769216225</v>
      </c>
      <c r="G108" s="44">
        <f>+References!B26</f>
        <v>68</v>
      </c>
      <c r="H108" s="44">
        <f t="shared" si="39"/>
        <v>14291.975323067032</v>
      </c>
      <c r="I108" s="44">
        <f t="shared" si="104"/>
        <v>14238.705261071294</v>
      </c>
      <c r="J108" s="58">
        <f>+I108*References!$C$55</f>
        <v>13.66915705062838</v>
      </c>
      <c r="K108" s="58">
        <f>+J108/References!$G$58</f>
        <v>13.949542862157751</v>
      </c>
      <c r="L108" s="58">
        <f t="shared" si="40"/>
        <v>6.6370735548063192E-2</v>
      </c>
      <c r="M108" s="58">
        <f>+'Proposed Rates'!B121</f>
        <v>9.7799999999999994</v>
      </c>
      <c r="N108" s="58">
        <f t="shared" si="41"/>
        <v>9.8463707355480619</v>
      </c>
      <c r="O108" s="58">
        <f>+'Proposed Rates'!D121</f>
        <v>9.85</v>
      </c>
      <c r="P108" s="58">
        <f t="shared" si="42"/>
        <v>2055.5223332293467</v>
      </c>
      <c r="Q108" s="58">
        <f t="shared" si="43"/>
        <v>2070.2346607677982</v>
      </c>
      <c r="R108" s="58">
        <f t="shared" si="44"/>
        <v>14.712327538451518</v>
      </c>
      <c r="S108" s="58">
        <f t="shared" si="45"/>
        <v>2069.4718760915043</v>
      </c>
      <c r="T108" s="58">
        <f t="shared" si="46"/>
        <v>0.76278467629390434</v>
      </c>
      <c r="U108" s="57">
        <f t="shared" si="47"/>
        <v>9.8463707355480619</v>
      </c>
      <c r="V108" s="57">
        <f t="shared" si="48"/>
        <v>2069.4718760915043</v>
      </c>
      <c r="W108" s="57">
        <f t="shared" si="49"/>
        <v>13.949542862157614</v>
      </c>
      <c r="X108" s="109">
        <f t="shared" si="51"/>
        <v>-1.3677947663381929E-13</v>
      </c>
      <c r="Y108" s="273">
        <f>(G108*$D$158)*(References!$C$55/References!$G$58)-L108</f>
        <v>0</v>
      </c>
    </row>
    <row r="109" spans="1:31">
      <c r="A109" s="266"/>
      <c r="B109" s="92">
        <v>30</v>
      </c>
      <c r="C109" s="72" t="s">
        <v>365</v>
      </c>
      <c r="D109" s="44">
        <f>+SUMIF('Price Out'!D:D,C109,'Price Out'!AH:AH)</f>
        <v>3.2500403583824364</v>
      </c>
      <c r="E109" s="94">
        <f>+References!B12</f>
        <v>2.1666666666666665</v>
      </c>
      <c r="F109" s="44">
        <f t="shared" si="50"/>
        <v>84.501049317943341</v>
      </c>
      <c r="G109" s="44">
        <f>+References!B26</f>
        <v>68</v>
      </c>
      <c r="H109" s="44">
        <f t="shared" si="39"/>
        <v>5746.0713536201474</v>
      </c>
      <c r="I109" s="44">
        <f t="shared" si="104"/>
        <v>5724.654189769798</v>
      </c>
      <c r="J109" s="58">
        <f>+I109*References!$C$55</f>
        <v>5.4956680221789806</v>
      </c>
      <c r="K109" s="58">
        <f>+J109/References!$G$58</f>
        <v>5.6083967978150637</v>
      </c>
      <c r="L109" s="58">
        <f t="shared" si="40"/>
        <v>6.6370735548063206E-2</v>
      </c>
      <c r="M109" s="58">
        <f>+'Proposed Rates'!B121</f>
        <v>9.7799999999999994</v>
      </c>
      <c r="N109" s="58">
        <f t="shared" si="41"/>
        <v>9.8463707355480619</v>
      </c>
      <c r="O109" s="58">
        <f>+'Proposed Rates'!D121</f>
        <v>9.85</v>
      </c>
      <c r="P109" s="58">
        <f t="shared" si="42"/>
        <v>826.42026232948581</v>
      </c>
      <c r="Q109" s="58">
        <f t="shared" si="43"/>
        <v>832.33533578174183</v>
      </c>
      <c r="R109" s="58">
        <f t="shared" si="44"/>
        <v>5.9150734522560242</v>
      </c>
      <c r="S109" s="58">
        <f t="shared" si="45"/>
        <v>832.02865912730078</v>
      </c>
      <c r="T109" s="58">
        <f t="shared" si="46"/>
        <v>0.30667665444104841</v>
      </c>
      <c r="U109" s="57">
        <f t="shared" si="47"/>
        <v>9.8463707355480619</v>
      </c>
      <c r="V109" s="57">
        <f t="shared" si="48"/>
        <v>832.02865912730078</v>
      </c>
      <c r="W109" s="57">
        <f t="shared" si="49"/>
        <v>5.6083967978149758</v>
      </c>
      <c r="X109" s="109">
        <f t="shared" si="51"/>
        <v>-8.7929663550312398E-14</v>
      </c>
      <c r="Y109" s="273">
        <f>(G109*$D$158)*(References!$C$55/References!$G$58)-L109</f>
        <v>0</v>
      </c>
    </row>
    <row r="110" spans="1:31">
      <c r="A110" s="266"/>
      <c r="B110" s="92">
        <v>29</v>
      </c>
      <c r="C110" s="43" t="s">
        <v>93</v>
      </c>
      <c r="D110" s="44">
        <f>+SUMIF('Price Out'!D:D,C110,'Price Out'!AH:AH)</f>
        <v>2</v>
      </c>
      <c r="E110" s="56">
        <f>+References!B13</f>
        <v>1</v>
      </c>
      <c r="F110" s="44">
        <f t="shared" si="50"/>
        <v>24</v>
      </c>
      <c r="G110" s="44">
        <f>+References!B31</f>
        <v>175</v>
      </c>
      <c r="H110" s="44">
        <f t="shared" si="39"/>
        <v>4200</v>
      </c>
      <c r="I110" s="44">
        <f t="shared" si="104"/>
        <v>4184.3454627282345</v>
      </c>
      <c r="J110" s="58">
        <f>+I110*References!$C$55</f>
        <v>4.0169716442190868</v>
      </c>
      <c r="K110" s="58">
        <f>+J110/References!$G$58</f>
        <v>4.0993689603215504</v>
      </c>
      <c r="L110" s="58">
        <f t="shared" si="40"/>
        <v>0.17080704001339794</v>
      </c>
      <c r="M110" s="58">
        <f>+'Proposed Rates'!B100</f>
        <v>30.4</v>
      </c>
      <c r="N110" s="58">
        <f t="shared" si="41"/>
        <v>30.570807040013396</v>
      </c>
      <c r="O110" s="58">
        <f>+'Proposed Rates'!D100</f>
        <v>30.57</v>
      </c>
      <c r="P110" s="58">
        <f t="shared" si="42"/>
        <v>729.59999999999991</v>
      </c>
      <c r="Q110" s="58">
        <f t="shared" si="43"/>
        <v>733.68000000000006</v>
      </c>
      <c r="R110" s="58">
        <f t="shared" si="44"/>
        <v>4.0800000000001546</v>
      </c>
      <c r="S110" s="58">
        <f t="shared" si="45"/>
        <v>733.69936896032152</v>
      </c>
      <c r="T110" s="58">
        <f t="shared" si="46"/>
        <v>-1.9368960321457962E-2</v>
      </c>
      <c r="U110" s="57">
        <f t="shared" si="47"/>
        <v>30.570807040013396</v>
      </c>
      <c r="V110" s="57">
        <f t="shared" si="48"/>
        <v>733.69936896032152</v>
      </c>
      <c r="W110" s="57">
        <f t="shared" si="49"/>
        <v>4.0993689603216126</v>
      </c>
      <c r="X110" s="109">
        <f t="shared" si="51"/>
        <v>6.2172489379008766E-14</v>
      </c>
      <c r="Y110" s="273">
        <f>(G110*$D$158)*(References!$C$55/References!$G$58)-L110</f>
        <v>0</v>
      </c>
    </row>
    <row r="111" spans="1:31">
      <c r="A111" s="266"/>
      <c r="B111" s="92">
        <v>29</v>
      </c>
      <c r="C111" s="43" t="s">
        <v>368</v>
      </c>
      <c r="D111" s="44">
        <f>+SUMIF('Price Out'!D:D,C111,'Price Out'!AH:AH)</f>
        <v>1.7975102237190281</v>
      </c>
      <c r="E111" s="56">
        <f>+References!B13</f>
        <v>1</v>
      </c>
      <c r="F111" s="44">
        <f t="shared" si="50"/>
        <v>21.570122684628338</v>
      </c>
      <c r="G111" s="44">
        <f>+References!B32</f>
        <v>250</v>
      </c>
      <c r="H111" s="44">
        <f t="shared" si="39"/>
        <v>5392.5306711570847</v>
      </c>
      <c r="I111" s="44">
        <f t="shared" si="104"/>
        <v>5372.4312491616647</v>
      </c>
      <c r="J111" s="58">
        <f>+I111*References!$C$55</f>
        <v>5.1575339991951745</v>
      </c>
      <c r="K111" s="58">
        <f>+J111/References!$G$58</f>
        <v>5.2633268692674502</v>
      </c>
      <c r="L111" s="58">
        <f t="shared" si="40"/>
        <v>0.24401005716199706</v>
      </c>
      <c r="M111" s="58">
        <f>+'Proposed Rates'!B101</f>
        <v>43.09</v>
      </c>
      <c r="N111" s="58">
        <f t="shared" si="41"/>
        <v>43.334010057161997</v>
      </c>
      <c r="O111" s="58">
        <f>+'Proposed Rates'!D101</f>
        <v>43.330000000000005</v>
      </c>
      <c r="P111" s="58">
        <f t="shared" si="42"/>
        <v>929.45658648063511</v>
      </c>
      <c r="Q111" s="58">
        <f t="shared" si="43"/>
        <v>934.63341592494601</v>
      </c>
      <c r="R111" s="58">
        <f t="shared" si="44"/>
        <v>5.1768294443108971</v>
      </c>
      <c r="S111" s="58">
        <f t="shared" si="45"/>
        <v>934.71991334990253</v>
      </c>
      <c r="T111" s="58">
        <f t="shared" si="46"/>
        <v>-8.6497424956519353E-2</v>
      </c>
      <c r="U111" s="57">
        <f t="shared" si="47"/>
        <v>43.334010057161997</v>
      </c>
      <c r="V111" s="57">
        <f t="shared" si="48"/>
        <v>934.71991334990253</v>
      </c>
      <c r="W111" s="57">
        <f t="shared" si="49"/>
        <v>5.2633268692674164</v>
      </c>
      <c r="X111" s="109">
        <f t="shared" si="51"/>
        <v>-3.3750779948604759E-14</v>
      </c>
      <c r="Y111" s="273">
        <f>(G111*$D$158)*(References!$C$55/References!$G$58)-L111</f>
        <v>0</v>
      </c>
    </row>
    <row r="112" spans="1:31">
      <c r="A112" s="266"/>
      <c r="B112" s="92">
        <v>29</v>
      </c>
      <c r="C112" s="43" t="s">
        <v>370</v>
      </c>
      <c r="D112" s="44">
        <f>+SUMIF('Price Out'!D:D,C112,'Price Out'!AH:AH)</f>
        <v>7.9146656815663095</v>
      </c>
      <c r="E112" s="56">
        <f>+References!B13</f>
        <v>1</v>
      </c>
      <c r="F112" s="44">
        <f t="shared" si="50"/>
        <v>94.975988178795717</v>
      </c>
      <c r="G112" s="44">
        <f>+References!B33</f>
        <v>324</v>
      </c>
      <c r="H112" s="44">
        <f t="shared" si="39"/>
        <v>30772.220169929813</v>
      </c>
      <c r="I112" s="44">
        <f t="shared" si="104"/>
        <v>30657.523772885736</v>
      </c>
      <c r="J112" s="58">
        <f>+I112*References!$C$55</f>
        <v>29.43122282197017</v>
      </c>
      <c r="K112" s="58">
        <f>+J112/References!$G$58</f>
        <v>30.034924810664528</v>
      </c>
      <c r="L112" s="58">
        <f t="shared" si="40"/>
        <v>0.31623703408194814</v>
      </c>
      <c r="M112" s="58">
        <f>+'Proposed Rates'!B102</f>
        <v>55.45</v>
      </c>
      <c r="N112" s="58">
        <f t="shared" si="41"/>
        <v>55.766237034081954</v>
      </c>
      <c r="O112" s="58">
        <f>+'Proposed Rates'!D102</f>
        <v>55.77</v>
      </c>
      <c r="P112" s="58">
        <f t="shared" si="42"/>
        <v>5266.418544514223</v>
      </c>
      <c r="Q112" s="58">
        <f t="shared" si="43"/>
        <v>5296.8108607314371</v>
      </c>
      <c r="R112" s="58">
        <f t="shared" si="44"/>
        <v>30.392316217214102</v>
      </c>
      <c r="S112" s="58">
        <f t="shared" si="45"/>
        <v>5296.4534693248879</v>
      </c>
      <c r="T112" s="58">
        <f t="shared" si="46"/>
        <v>0.35739140654914081</v>
      </c>
      <c r="U112" s="57">
        <f t="shared" si="47"/>
        <v>55.766237034081954</v>
      </c>
      <c r="V112" s="57">
        <f t="shared" si="48"/>
        <v>5296.4534693248879</v>
      </c>
      <c r="W112" s="57">
        <f t="shared" si="49"/>
        <v>30.034924810664961</v>
      </c>
      <c r="X112" s="109">
        <f t="shared" si="51"/>
        <v>4.3343106881366111E-13</v>
      </c>
      <c r="Y112" s="273">
        <f>(G112*$D$158)*(References!$C$55/References!$G$58)-L112</f>
        <v>0</v>
      </c>
    </row>
    <row r="113" spans="1:31" s="72" customFormat="1">
      <c r="A113" s="266"/>
      <c r="B113" s="92">
        <v>29</v>
      </c>
      <c r="C113" s="72" t="s">
        <v>531</v>
      </c>
      <c r="D113" s="44">
        <f>+SUMIF('Price Out'!D:D,C113,'Price Out'!AH:AH)</f>
        <v>0.41666666666666669</v>
      </c>
      <c r="E113" s="94">
        <f>+References!B13</f>
        <v>1</v>
      </c>
      <c r="F113" s="44">
        <f t="shared" si="50"/>
        <v>5</v>
      </c>
      <c r="G113" s="44">
        <f>+References!B36</f>
        <v>840</v>
      </c>
      <c r="H113" s="44">
        <f t="shared" ref="H113" si="105">+F113*G113</f>
        <v>4200</v>
      </c>
      <c r="I113" s="44">
        <f t="shared" si="104"/>
        <v>4184.3454627282345</v>
      </c>
      <c r="J113" s="58">
        <f>+I113*References!$C$55</f>
        <v>4.0169716442190868</v>
      </c>
      <c r="K113" s="58">
        <f>+J113/References!$G$58</f>
        <v>4.0993689603215504</v>
      </c>
      <c r="L113" s="58">
        <f t="shared" ref="L113" si="106">+K113/F113</f>
        <v>0.8198737920643101</v>
      </c>
      <c r="M113" s="58">
        <f>+'Proposed Rates'!B105</f>
        <v>128.22</v>
      </c>
      <c r="N113" s="58">
        <f t="shared" si="41"/>
        <v>129.0398737920643</v>
      </c>
      <c r="O113" s="58">
        <f>+'Proposed Rates'!D105</f>
        <v>129.04</v>
      </c>
      <c r="P113" s="58">
        <f t="shared" ref="P113" si="107">+F113*M113</f>
        <v>641.1</v>
      </c>
      <c r="Q113" s="58">
        <f t="shared" ref="Q113" si="108">+F113*O113</f>
        <v>645.19999999999993</v>
      </c>
      <c r="R113" s="58">
        <f t="shared" ref="R113" si="109">+Q113-P113</f>
        <v>4.0999999999999091</v>
      </c>
      <c r="S113" s="58">
        <f t="shared" ref="S113" si="110">+F113*N113</f>
        <v>645.19936896032152</v>
      </c>
      <c r="T113" s="58">
        <f t="shared" ref="T113" si="111">+Q113-S113</f>
        <v>6.3103967841016129E-4</v>
      </c>
      <c r="U113" s="57">
        <f t="shared" ref="U113" si="112">+N113</f>
        <v>129.0398737920643</v>
      </c>
      <c r="V113" s="57">
        <f t="shared" ref="V113" si="113">+F113*U113</f>
        <v>645.19936896032152</v>
      </c>
      <c r="W113" s="57">
        <f t="shared" ref="W113" si="114">+V113-P113</f>
        <v>4.0993689603214989</v>
      </c>
      <c r="X113" s="109">
        <f t="shared" ref="X113" si="115">W113-K113</f>
        <v>-5.1514348342607263E-14</v>
      </c>
      <c r="Y113" s="273">
        <f>(G113*$D$158)*(References!$C$55/References!$G$58)-L113</f>
        <v>0</v>
      </c>
      <c r="AA113" s="55"/>
      <c r="AB113" s="55"/>
      <c r="AC113" s="55"/>
      <c r="AD113" s="55"/>
      <c r="AE113" s="55"/>
    </row>
    <row r="114" spans="1:31">
      <c r="A114" s="266"/>
      <c r="B114" s="92">
        <v>29</v>
      </c>
      <c r="C114" s="43" t="s">
        <v>372</v>
      </c>
      <c r="D114" s="44">
        <f>+SUMIF('Price Out'!D:D,C114,'Price Out'!AH:AH)</f>
        <v>3.0833333333333335</v>
      </c>
      <c r="E114" s="56">
        <f>+References!B13</f>
        <v>1</v>
      </c>
      <c r="F114" s="44">
        <f t="shared" si="50"/>
        <v>37</v>
      </c>
      <c r="G114" s="44">
        <f>+References!B31</f>
        <v>175</v>
      </c>
      <c r="H114" s="44">
        <f t="shared" si="39"/>
        <v>6475</v>
      </c>
      <c r="I114" s="44">
        <f t="shared" ref="I114:I120" si="116">+H114*$D$158</f>
        <v>6450.8659217060285</v>
      </c>
      <c r="J114" s="58">
        <f>+I114*References!$C$55</f>
        <v>6.1928312848377587</v>
      </c>
      <c r="K114" s="58">
        <f>+J114/References!$G$58</f>
        <v>6.3198604804957226</v>
      </c>
      <c r="L114" s="58">
        <f t="shared" si="40"/>
        <v>0.17080704001339791</v>
      </c>
      <c r="M114" s="58">
        <f>+'Proposed Rates'!B92</f>
        <v>30.4</v>
      </c>
      <c r="N114" s="58">
        <f t="shared" si="41"/>
        <v>30.570807040013396</v>
      </c>
      <c r="O114" s="58">
        <f>+'Proposed Rates'!D92</f>
        <v>30.57</v>
      </c>
      <c r="P114" s="58">
        <f t="shared" si="42"/>
        <v>1124.8</v>
      </c>
      <c r="Q114" s="58">
        <f t="shared" si="43"/>
        <v>1131.0899999999999</v>
      </c>
      <c r="R114" s="58">
        <f t="shared" si="44"/>
        <v>6.2899999999999636</v>
      </c>
      <c r="S114" s="58">
        <f t="shared" si="45"/>
        <v>1131.1198604804956</v>
      </c>
      <c r="T114" s="58">
        <f t="shared" si="46"/>
        <v>-2.9860480495699449E-2</v>
      </c>
      <c r="U114" s="57">
        <f t="shared" si="47"/>
        <v>30.570807040013396</v>
      </c>
      <c r="V114" s="57">
        <f t="shared" si="48"/>
        <v>1131.1198604804956</v>
      </c>
      <c r="W114" s="57">
        <f t="shared" si="49"/>
        <v>6.3198604804956631</v>
      </c>
      <c r="X114" s="109">
        <f t="shared" si="51"/>
        <v>-5.9507954119908391E-14</v>
      </c>
      <c r="Y114" s="273">
        <f>(G114*$D$158)*(References!$C$55/References!$G$58)-L114</f>
        <v>0</v>
      </c>
    </row>
    <row r="115" spans="1:31">
      <c r="A115" s="266"/>
      <c r="B115" s="92">
        <v>29</v>
      </c>
      <c r="C115" s="43" t="s">
        <v>374</v>
      </c>
      <c r="D115" s="44">
        <f>+SUMIF('Price Out'!D:D,C115,'Price Out'!AH:AH)</f>
        <v>0.41666666666666669</v>
      </c>
      <c r="E115" s="56">
        <f>+References!B13</f>
        <v>1</v>
      </c>
      <c r="F115" s="44">
        <f t="shared" si="50"/>
        <v>5</v>
      </c>
      <c r="G115" s="44">
        <f>+References!B32</f>
        <v>250</v>
      </c>
      <c r="H115" s="44">
        <f t="shared" si="39"/>
        <v>1250</v>
      </c>
      <c r="I115" s="44">
        <f t="shared" si="116"/>
        <v>1245.3409115262605</v>
      </c>
      <c r="J115" s="58">
        <f>+I115*References!$C$55</f>
        <v>1.1955272750652046</v>
      </c>
      <c r="K115" s="58">
        <f>+J115/References!$G$58</f>
        <v>1.2200502858099853</v>
      </c>
      <c r="L115" s="58">
        <f t="shared" si="40"/>
        <v>0.24401005716199706</v>
      </c>
      <c r="M115" s="58">
        <f>+'Proposed Rates'!B93</f>
        <v>43.09</v>
      </c>
      <c r="N115" s="58">
        <f t="shared" si="41"/>
        <v>43.334010057161997</v>
      </c>
      <c r="O115" s="58">
        <f>+'Proposed Rates'!D93</f>
        <v>43.330000000000005</v>
      </c>
      <c r="P115" s="58">
        <f t="shared" si="42"/>
        <v>215.45000000000002</v>
      </c>
      <c r="Q115" s="58">
        <f t="shared" si="43"/>
        <v>216.65000000000003</v>
      </c>
      <c r="R115" s="58">
        <f t="shared" si="44"/>
        <v>1.2000000000000171</v>
      </c>
      <c r="S115" s="58">
        <f t="shared" si="45"/>
        <v>216.67005028580999</v>
      </c>
      <c r="T115" s="58">
        <f t="shared" si="46"/>
        <v>-2.0050285809958268E-2</v>
      </c>
      <c r="U115" s="57">
        <f t="shared" si="47"/>
        <v>43.334010057161997</v>
      </c>
      <c r="V115" s="57">
        <f t="shared" si="48"/>
        <v>216.67005028580999</v>
      </c>
      <c r="W115" s="57">
        <f t="shared" si="49"/>
        <v>1.2200502858099753</v>
      </c>
      <c r="X115" s="109">
        <f t="shared" si="51"/>
        <v>-9.9920072216264089E-15</v>
      </c>
      <c r="Y115" s="273">
        <f>(G115*$D$158)*(References!$C$55/References!$G$58)-L115</f>
        <v>0</v>
      </c>
    </row>
    <row r="116" spans="1:31">
      <c r="A116" s="266"/>
      <c r="B116" s="92">
        <v>29</v>
      </c>
      <c r="C116" s="43" t="s">
        <v>376</v>
      </c>
      <c r="D116" s="44">
        <f>+SUMIF('Price Out'!D:D,C116,'Price Out'!AH:AH)</f>
        <v>1.5833333333333333</v>
      </c>
      <c r="E116" s="56">
        <f>+References!B13</f>
        <v>1</v>
      </c>
      <c r="F116" s="44">
        <f t="shared" si="50"/>
        <v>19</v>
      </c>
      <c r="G116" s="44">
        <f>+References!B33</f>
        <v>324</v>
      </c>
      <c r="H116" s="44">
        <f t="shared" si="39"/>
        <v>6156</v>
      </c>
      <c r="I116" s="44">
        <f t="shared" si="116"/>
        <v>6133.0549210845275</v>
      </c>
      <c r="J116" s="58">
        <f>+I116*References!$C$55</f>
        <v>5.8877327242411193</v>
      </c>
      <c r="K116" s="58">
        <f>+J116/References!$G$58</f>
        <v>6.0085036475570153</v>
      </c>
      <c r="L116" s="58">
        <f t="shared" si="40"/>
        <v>0.3162370340819482</v>
      </c>
      <c r="M116" s="58">
        <f>+'Proposed Rates'!B94</f>
        <v>55.45</v>
      </c>
      <c r="N116" s="58">
        <f t="shared" si="41"/>
        <v>55.766237034081954</v>
      </c>
      <c r="O116" s="58">
        <f>+'Proposed Rates'!D94</f>
        <v>55.77</v>
      </c>
      <c r="P116" s="58">
        <f t="shared" si="42"/>
        <v>1053.55</v>
      </c>
      <c r="Q116" s="58">
        <f t="shared" si="43"/>
        <v>1059.6300000000001</v>
      </c>
      <c r="R116" s="58">
        <f t="shared" si="44"/>
        <v>6.0800000000001546</v>
      </c>
      <c r="S116" s="58">
        <f t="shared" si="45"/>
        <v>1059.558503647557</v>
      </c>
      <c r="T116" s="58">
        <f>+Q116-S116</f>
        <v>7.1496352443091382E-2</v>
      </c>
      <c r="U116" s="57">
        <f t="shared" si="47"/>
        <v>55.766237034081954</v>
      </c>
      <c r="V116" s="57">
        <f t="shared" si="48"/>
        <v>1059.558503647557</v>
      </c>
      <c r="W116" s="57">
        <f t="shared" si="49"/>
        <v>6.0085036475570632</v>
      </c>
      <c r="X116" s="109">
        <f t="shared" si="51"/>
        <v>4.7961634663806763E-14</v>
      </c>
      <c r="Y116" s="273">
        <f>(G116*$D$158)*(References!$C$55/References!$G$58)-L116</f>
        <v>0</v>
      </c>
    </row>
    <row r="117" spans="1:31">
      <c r="A117" s="266"/>
      <c r="B117" s="92">
        <v>29</v>
      </c>
      <c r="C117" s="43" t="s">
        <v>378</v>
      </c>
      <c r="D117" s="44">
        <f>+SUMIF('Price Out'!D:D,C117,'Price Out'!AH:AH)</f>
        <v>1.5833333333333333</v>
      </c>
      <c r="E117" s="56">
        <f>+References!B13</f>
        <v>1</v>
      </c>
      <c r="F117" s="44">
        <f t="shared" si="50"/>
        <v>19</v>
      </c>
      <c r="G117" s="44">
        <f>+References!B34</f>
        <v>473</v>
      </c>
      <c r="H117" s="44">
        <f t="shared" si="39"/>
        <v>8987</v>
      </c>
      <c r="I117" s="44">
        <f t="shared" si="116"/>
        <v>8953.5030175092015</v>
      </c>
      <c r="J117" s="58">
        <f>+I117*References!$C$55</f>
        <v>8.5953628968087941</v>
      </c>
      <c r="K117" s="58">
        <f>+J117/References!$G$58</f>
        <v>8.7716735348594703</v>
      </c>
      <c r="L117" s="58">
        <f t="shared" si="40"/>
        <v>0.46166702815049843</v>
      </c>
      <c r="M117" s="58">
        <f>+'Proposed Rates'!B95</f>
        <v>74.73</v>
      </c>
      <c r="N117" s="58">
        <f t="shared" si="41"/>
        <v>75.191667028150505</v>
      </c>
      <c r="O117" s="58">
        <f>+'Proposed Rates'!D95</f>
        <v>75.19</v>
      </c>
      <c r="P117" s="58">
        <f t="shared" si="42"/>
        <v>1419.8700000000001</v>
      </c>
      <c r="Q117" s="58">
        <f t="shared" si="43"/>
        <v>1428.61</v>
      </c>
      <c r="R117" s="58">
        <f t="shared" si="44"/>
        <v>8.7399999999997817</v>
      </c>
      <c r="S117" s="58">
        <f t="shared" si="45"/>
        <v>1428.6416735348596</v>
      </c>
      <c r="T117" s="58">
        <f t="shared" si="46"/>
        <v>-3.1673534859692154E-2</v>
      </c>
      <c r="U117" s="57">
        <f t="shared" si="47"/>
        <v>75.191667028150505</v>
      </c>
      <c r="V117" s="57">
        <f t="shared" si="48"/>
        <v>1428.6416735348596</v>
      </c>
      <c r="W117" s="57">
        <f t="shared" si="49"/>
        <v>8.7716735348594739</v>
      </c>
      <c r="X117" s="109">
        <f t="shared" si="51"/>
        <v>0</v>
      </c>
      <c r="Y117" s="273">
        <f>(G117*$D$158)*(References!$C$55/References!$G$58)-L117</f>
        <v>0</v>
      </c>
    </row>
    <row r="118" spans="1:31">
      <c r="A118" s="266"/>
      <c r="B118" s="92">
        <v>29</v>
      </c>
      <c r="C118" s="43" t="s">
        <v>380</v>
      </c>
      <c r="D118" s="44">
        <f>+SUMIF('Price Out'!D:D,C118,'Price Out'!AH:AH)</f>
        <v>0.75</v>
      </c>
      <c r="E118" s="56">
        <f>+References!B13</f>
        <v>1</v>
      </c>
      <c r="F118" s="44">
        <f t="shared" si="50"/>
        <v>9</v>
      </c>
      <c r="G118" s="44">
        <f>+References!B35</f>
        <v>613</v>
      </c>
      <c r="H118" s="44">
        <f t="shared" si="39"/>
        <v>5517</v>
      </c>
      <c r="I118" s="44">
        <f t="shared" si="116"/>
        <v>5496.436647112303</v>
      </c>
      <c r="J118" s="58">
        <f>+I118*References!$C$55</f>
        <v>5.2765791812277865</v>
      </c>
      <c r="K118" s="58">
        <f>+J118/References!$G$58</f>
        <v>5.3848139414509504</v>
      </c>
      <c r="L118" s="58">
        <f t="shared" si="40"/>
        <v>0.59831266016121676</v>
      </c>
      <c r="M118" s="58">
        <f>+'Proposed Rates'!B96</f>
        <v>98.38</v>
      </c>
      <c r="N118" s="58">
        <f t="shared" si="41"/>
        <v>98.978312660161208</v>
      </c>
      <c r="O118" s="58">
        <f>+'Proposed Rates'!D96</f>
        <v>98.97999999999999</v>
      </c>
      <c r="P118" s="58">
        <f t="shared" si="42"/>
        <v>885.42</v>
      </c>
      <c r="Q118" s="58">
        <f t="shared" si="43"/>
        <v>890.81999999999994</v>
      </c>
      <c r="R118" s="58">
        <f t="shared" si="44"/>
        <v>5.3999999999999773</v>
      </c>
      <c r="S118" s="58">
        <f t="shared" si="45"/>
        <v>890.8048139414509</v>
      </c>
      <c r="T118" s="58">
        <f t="shared" si="46"/>
        <v>1.5186058549033987E-2</v>
      </c>
      <c r="U118" s="57">
        <f t="shared" si="47"/>
        <v>98.978312660161208</v>
      </c>
      <c r="V118" s="57">
        <f t="shared" si="48"/>
        <v>890.8048139414509</v>
      </c>
      <c r="W118" s="57">
        <f t="shared" si="49"/>
        <v>5.3848139414509433</v>
      </c>
      <c r="X118" s="109">
        <f t="shared" si="51"/>
        <v>-7.1054273576010019E-15</v>
      </c>
      <c r="Y118" s="273">
        <f>(G118*$D$158)*(References!$C$55/References!$G$58)-L118</f>
        <v>0</v>
      </c>
    </row>
    <row r="119" spans="1:31">
      <c r="A119" s="266"/>
      <c r="B119" s="92">
        <v>29</v>
      </c>
      <c r="C119" s="43" t="s">
        <v>382</v>
      </c>
      <c r="D119" s="44">
        <f>+SUMIF('Price Out'!D:D,C119,'Price Out'!AH:AH)</f>
        <v>1.1666666666666667</v>
      </c>
      <c r="E119" s="56">
        <f>+References!B13</f>
        <v>1</v>
      </c>
      <c r="F119" s="44">
        <f t="shared" si="50"/>
        <v>14</v>
      </c>
      <c r="G119" s="44">
        <f>+References!B36</f>
        <v>840</v>
      </c>
      <c r="H119" s="44">
        <f t="shared" si="39"/>
        <v>11760</v>
      </c>
      <c r="I119" s="44">
        <f t="shared" si="116"/>
        <v>11716.167295639058</v>
      </c>
      <c r="J119" s="58">
        <f>+I119*References!$C$55</f>
        <v>11.247520603813443</v>
      </c>
      <c r="K119" s="58">
        <f>+J119/References!$G$58</f>
        <v>11.478233088900341</v>
      </c>
      <c r="L119" s="58">
        <f t="shared" si="40"/>
        <v>0.8198737920643101</v>
      </c>
      <c r="M119" s="58">
        <f>+'Proposed Rates'!B97</f>
        <v>128.22</v>
      </c>
      <c r="N119" s="58">
        <f t="shared" si="41"/>
        <v>129.0398737920643</v>
      </c>
      <c r="O119" s="58">
        <f>+'Proposed Rates'!D97</f>
        <v>129.04</v>
      </c>
      <c r="P119" s="58">
        <f t="shared" si="42"/>
        <v>1795.08</v>
      </c>
      <c r="Q119" s="58">
        <f t="shared" si="43"/>
        <v>1806.56</v>
      </c>
      <c r="R119" s="58">
        <f t="shared" si="44"/>
        <v>11.480000000000018</v>
      </c>
      <c r="S119" s="58">
        <f t="shared" si="45"/>
        <v>1806.5582330889001</v>
      </c>
      <c r="T119" s="58">
        <f t="shared" si="46"/>
        <v>1.7669110998213E-3</v>
      </c>
      <c r="U119" s="57">
        <f t="shared" si="47"/>
        <v>129.0398737920643</v>
      </c>
      <c r="V119" s="57">
        <f t="shared" si="48"/>
        <v>1806.5582330889001</v>
      </c>
      <c r="W119" s="57">
        <f t="shared" si="49"/>
        <v>11.478233088900197</v>
      </c>
      <c r="X119" s="109">
        <f t="shared" si="51"/>
        <v>-1.4388490399142029E-13</v>
      </c>
      <c r="Y119" s="273">
        <f>(G119*$D$158)*(References!$C$55/References!$G$58)-L119</f>
        <v>0</v>
      </c>
    </row>
    <row r="120" spans="1:31" s="72" customFormat="1">
      <c r="A120" s="266"/>
      <c r="B120" s="92"/>
      <c r="C120" s="72" t="s">
        <v>538</v>
      </c>
      <c r="D120" s="44">
        <f>+SUMIF('Price Out'!D:D,C120,'Price Out'!AH:AH)</f>
        <v>8.3333333333333329E-2</v>
      </c>
      <c r="E120" s="94">
        <f>+References!B13</f>
        <v>1</v>
      </c>
      <c r="F120" s="44">
        <f t="shared" si="50"/>
        <v>1</v>
      </c>
      <c r="G120" s="44">
        <f>+References!B26</f>
        <v>68</v>
      </c>
      <c r="H120" s="44">
        <f t="shared" ref="H120" si="117">+F120*G120</f>
        <v>68</v>
      </c>
      <c r="I120" s="44">
        <f t="shared" si="116"/>
        <v>67.746545587028564</v>
      </c>
      <c r="J120" s="58">
        <f>+I120*References!$C$55</f>
        <v>6.5036683763547126E-2</v>
      </c>
      <c r="K120" s="58">
        <f>+J120/References!$G$58</f>
        <v>6.6370735548063192E-2</v>
      </c>
      <c r="L120" s="58">
        <f t="shared" ref="L120" si="118">+K120/F120</f>
        <v>6.6370735548063192E-2</v>
      </c>
      <c r="M120" s="58">
        <f>+'Proposed Rates'!B113</f>
        <v>12.8</v>
      </c>
      <c r="N120" s="58">
        <f t="shared" si="41"/>
        <v>12.866370735548063</v>
      </c>
      <c r="O120" s="58">
        <f>+'Proposed Rates'!D113</f>
        <v>12.83</v>
      </c>
      <c r="P120" s="58">
        <f t="shared" ref="P120" si="119">+F120*M120</f>
        <v>12.8</v>
      </c>
      <c r="Q120" s="58">
        <f t="shared" ref="Q120" si="120">+F120*O120</f>
        <v>12.83</v>
      </c>
      <c r="R120" s="58">
        <f t="shared" ref="R120" si="121">+Q120-P120</f>
        <v>2.9999999999999361E-2</v>
      </c>
      <c r="S120" s="58">
        <f t="shared" ref="S120" si="122">+F120*N120</f>
        <v>12.866370735548063</v>
      </c>
      <c r="T120" s="58">
        <f t="shared" ref="T120" si="123">+Q120-S120</f>
        <v>-3.6370735548063138E-2</v>
      </c>
      <c r="U120" s="57">
        <f t="shared" ref="U120" si="124">+N120</f>
        <v>12.866370735548063</v>
      </c>
      <c r="V120" s="57">
        <f t="shared" ref="V120" si="125">+F120*U120</f>
        <v>12.866370735548063</v>
      </c>
      <c r="W120" s="57">
        <f t="shared" ref="W120" si="126">+V120-P120</f>
        <v>6.6370735548062498E-2</v>
      </c>
      <c r="X120" s="109">
        <f t="shared" ref="X120" si="127">W120-K120</f>
        <v>-6.9388939039072284E-16</v>
      </c>
      <c r="Y120" s="273">
        <f>(G120*$D$158)*(References!$C$55/References!$G$58)-L120</f>
        <v>0</v>
      </c>
      <c r="AA120" s="55"/>
      <c r="AB120" s="55"/>
      <c r="AC120" s="55"/>
      <c r="AD120" s="55"/>
      <c r="AE120" s="55"/>
    </row>
    <row r="121" spans="1:31">
      <c r="A121" s="266"/>
      <c r="B121" s="92">
        <v>30</v>
      </c>
      <c r="C121" s="43" t="s">
        <v>384</v>
      </c>
      <c r="D121" s="44">
        <f>+SUMIF('Price Out'!D:D,C121,'Price Out'!AH:AH)</f>
        <v>129.1348822441926</v>
      </c>
      <c r="E121" s="56">
        <f>+References!B13</f>
        <v>1</v>
      </c>
      <c r="F121" s="44">
        <f t="shared" ref="F121:F124" si="128">+D121*E121*12</f>
        <v>1549.6185869303113</v>
      </c>
      <c r="G121" s="44">
        <f>+References!B30</f>
        <v>29</v>
      </c>
      <c r="H121" s="44">
        <f t="shared" ref="H121" si="129">+F121*G121</f>
        <v>44938.939020979029</v>
      </c>
      <c r="I121" s="44">
        <f>+H121*$D$158</f>
        <v>44771.439426727244</v>
      </c>
      <c r="J121" s="58">
        <f>+I121*References!$C$55</f>
        <v>42.980581849657959</v>
      </c>
      <c r="K121" s="58">
        <f>+J121/References!$G$58</f>
        <v>43.862212317234373</v>
      </c>
      <c r="L121" s="58">
        <f t="shared" ref="L121" si="130">+K121/F121</f>
        <v>2.8305166630791662E-2</v>
      </c>
      <c r="M121" s="58">
        <f>+'Proposed Rates'!B109</f>
        <v>3.35</v>
      </c>
      <c r="N121" s="58">
        <f t="shared" ref="N121" si="131">+L121+M121</f>
        <v>3.3783051666307919</v>
      </c>
      <c r="O121" s="58">
        <f>+'Proposed Rates'!D109</f>
        <v>3.38</v>
      </c>
      <c r="P121" s="58">
        <f t="shared" si="42"/>
        <v>5191.2222662165432</v>
      </c>
      <c r="Q121" s="58">
        <f t="shared" si="43"/>
        <v>5237.7108238244518</v>
      </c>
      <c r="R121" s="58">
        <f t="shared" ref="R121" si="132">+Q121-P121</f>
        <v>46.48855760790866</v>
      </c>
      <c r="S121" s="58">
        <f t="shared" si="45"/>
        <v>5235.0844785337777</v>
      </c>
      <c r="T121" s="58">
        <f t="shared" ref="T121" si="133">+Q121-S121</f>
        <v>2.6263452906741804</v>
      </c>
      <c r="U121" s="57">
        <f t="shared" ref="U121" si="134">+N121</f>
        <v>3.3783051666307919</v>
      </c>
      <c r="V121" s="57">
        <f t="shared" si="48"/>
        <v>5235.0844785337777</v>
      </c>
      <c r="W121" s="57">
        <f t="shared" ref="W121" si="135">+V121-P121</f>
        <v>43.86221231723448</v>
      </c>
      <c r="X121" s="109">
        <f t="shared" si="51"/>
        <v>1.0658141036401503E-13</v>
      </c>
      <c r="Y121" s="273">
        <f>(G121*$D$158)*(References!$C$55/References!$G$58)-L121</f>
        <v>0</v>
      </c>
    </row>
    <row r="122" spans="1:31">
      <c r="A122" s="266"/>
      <c r="B122" s="92">
        <v>22</v>
      </c>
      <c r="C122" s="43" t="s">
        <v>386</v>
      </c>
      <c r="D122" s="44">
        <f>+SUMIF('Price Out'!D:D,C122,'Price Out'!AH:AH)</f>
        <v>7.6658103849842441</v>
      </c>
      <c r="E122" s="56">
        <f>+References!B13</f>
        <v>1</v>
      </c>
      <c r="F122" s="44">
        <f t="shared" si="128"/>
        <v>91.989724619810929</v>
      </c>
      <c r="G122" s="44">
        <f>+References!B46</f>
        <v>125</v>
      </c>
      <c r="H122" s="44">
        <f t="shared" ref="H122:H123" si="136">+F122*G122</f>
        <v>11498.715577476367</v>
      </c>
      <c r="I122" s="44">
        <f>+H122*$D$158</f>
        <v>11455.856750908502</v>
      </c>
      <c r="J122" s="58">
        <f>+I122*References!$C$55</f>
        <v>10.997622480872112</v>
      </c>
      <c r="K122" s="58">
        <f>+J122/References!$G$58</f>
        <v>11.223208981398216</v>
      </c>
      <c r="L122" s="58">
        <f t="shared" ref="L122:L123" si="137">+K122/F122</f>
        <v>0.12200502858099851</v>
      </c>
      <c r="M122" s="58">
        <f>+'Proposed Rates'!B57</f>
        <v>13.83</v>
      </c>
      <c r="N122" s="58">
        <f t="shared" ref="N122:N124" si="138">+L122+M122</f>
        <v>13.952005028580999</v>
      </c>
      <c r="O122" s="58">
        <f>+'Proposed Rates'!D57</f>
        <v>13.95</v>
      </c>
      <c r="P122" s="58">
        <f t="shared" si="42"/>
        <v>1272.2178914919853</v>
      </c>
      <c r="Q122" s="58">
        <f t="shared" si="43"/>
        <v>1283.2566584463623</v>
      </c>
      <c r="R122" s="58">
        <f t="shared" ref="R122:R123" si="139">+Q122-P122</f>
        <v>11.038766954377024</v>
      </c>
      <c r="S122" s="58">
        <f t="shared" si="45"/>
        <v>1283.4411004733834</v>
      </c>
      <c r="T122" s="58">
        <f t="shared" ref="T122:T123" si="140">+Q122-S122</f>
        <v>-0.18444202702107759</v>
      </c>
      <c r="U122" s="57">
        <f t="shared" ref="U122:U123" si="141">+N122</f>
        <v>13.952005028580999</v>
      </c>
      <c r="V122" s="57">
        <f t="shared" si="48"/>
        <v>1283.4411004733834</v>
      </c>
      <c r="W122" s="57">
        <f t="shared" ref="W122:W123" si="142">+V122-P122</f>
        <v>11.223208981398102</v>
      </c>
      <c r="X122" s="109">
        <f t="shared" si="51"/>
        <v>-1.1368683772161603E-13</v>
      </c>
      <c r="Y122" s="273">
        <f>(G122*$D$158)*(References!$C$55/References!$G$58)-L122</f>
        <v>0</v>
      </c>
    </row>
    <row r="123" spans="1:31">
      <c r="A123" s="266"/>
      <c r="B123" s="92">
        <v>30</v>
      </c>
      <c r="C123" s="43" t="s">
        <v>388</v>
      </c>
      <c r="D123" s="44">
        <f>+SUMIF('Price Out'!D:D,C123,'Price Out'!AH:AH)</f>
        <v>845.34153846153833</v>
      </c>
      <c r="E123" s="56">
        <f>+References!B13</f>
        <v>1</v>
      </c>
      <c r="F123" s="44">
        <f t="shared" si="128"/>
        <v>10144.09846153846</v>
      </c>
      <c r="G123" s="44">
        <f>+References!B30</f>
        <v>29</v>
      </c>
      <c r="H123" s="44">
        <f t="shared" si="136"/>
        <v>294178.85538461537</v>
      </c>
      <c r="I123" s="44">
        <f>+H123*$D$158</f>
        <v>293082.37113314308</v>
      </c>
      <c r="J123" s="58">
        <f>+I123*References!$C$55</f>
        <v>281.35907628781604</v>
      </c>
      <c r="K123" s="58">
        <f>+J123/References!$G$58</f>
        <v>287.13039727300338</v>
      </c>
      <c r="L123" s="58">
        <f t="shared" si="137"/>
        <v>2.8305166630791655E-2</v>
      </c>
      <c r="M123" s="58">
        <f>+'Proposed Rates'!B109</f>
        <v>3.35</v>
      </c>
      <c r="N123" s="58">
        <f t="shared" si="138"/>
        <v>3.3783051666307919</v>
      </c>
      <c r="O123" s="58">
        <f>+'Proposed Rates'!D109</f>
        <v>3.38</v>
      </c>
      <c r="P123" s="58">
        <f t="shared" ref="P123" si="143">+F123*M123</f>
        <v>33982.729846153845</v>
      </c>
      <c r="Q123" s="58">
        <f t="shared" ref="Q123" si="144">+F123*O123</f>
        <v>34287.052799999998</v>
      </c>
      <c r="R123" s="58">
        <f t="shared" si="139"/>
        <v>304.32295384615281</v>
      </c>
      <c r="S123" s="58">
        <f t="shared" ref="S123" si="145">+F123*N123</f>
        <v>34269.860243426847</v>
      </c>
      <c r="T123" s="58">
        <f t="shared" si="140"/>
        <v>17.192556573150796</v>
      </c>
      <c r="U123" s="57">
        <f t="shared" si="141"/>
        <v>3.3783051666307919</v>
      </c>
      <c r="V123" s="57">
        <f t="shared" ref="V123" si="146">+F123*U123</f>
        <v>34269.860243426847</v>
      </c>
      <c r="W123" s="57">
        <f t="shared" si="142"/>
        <v>287.13039727300202</v>
      </c>
      <c r="X123" s="109">
        <f t="shared" ref="X123:X125" si="147">W123-K123</f>
        <v>-1.3642420526593924E-12</v>
      </c>
      <c r="Y123" s="273">
        <f>(G123*$D$158)*(References!$C$55/References!$G$58)-L123</f>
        <v>0</v>
      </c>
    </row>
    <row r="124" spans="1:31">
      <c r="A124" s="266"/>
      <c r="B124" s="92"/>
      <c r="C124" s="43" t="s">
        <v>422</v>
      </c>
      <c r="D124" s="44">
        <f>+SUMIF('Price Out'!D:D,C124,'Price Out'!AH:AH)</f>
        <v>3.3333333333333335</v>
      </c>
      <c r="E124" s="56">
        <v>1</v>
      </c>
      <c r="F124" s="44">
        <f t="shared" si="128"/>
        <v>40</v>
      </c>
      <c r="G124" s="44">
        <f>+References!B46</f>
        <v>125</v>
      </c>
      <c r="H124" s="44">
        <f t="shared" ref="H124" si="148">+F124*G124</f>
        <v>5000</v>
      </c>
      <c r="I124" s="44">
        <f>+H124*$D$158</f>
        <v>4981.3636461050419</v>
      </c>
      <c r="J124" s="58">
        <f>+I124*References!$C$55</f>
        <v>4.7821091002608185</v>
      </c>
      <c r="K124" s="58">
        <f>+J124/References!$G$58</f>
        <v>4.8802011432399413</v>
      </c>
      <c r="L124" s="58">
        <f t="shared" ref="L124" si="149">+K124/F124</f>
        <v>0.12200502858099853</v>
      </c>
      <c r="M124" s="58">
        <f>+'Proposed Rates'!B70</f>
        <v>33.24</v>
      </c>
      <c r="N124" s="58">
        <f t="shared" si="138"/>
        <v>33.362005028581002</v>
      </c>
      <c r="O124" s="58">
        <f>+'Proposed Rates'!D70</f>
        <v>33.24</v>
      </c>
      <c r="P124" s="58">
        <f t="shared" ref="P124" si="150">+F124*M124</f>
        <v>1329.6000000000001</v>
      </c>
      <c r="Q124" s="58">
        <f t="shared" ref="Q124" si="151">+F124*O124</f>
        <v>1329.6000000000001</v>
      </c>
      <c r="R124" s="58">
        <f t="shared" ref="R124" si="152">+Q124-P124</f>
        <v>0</v>
      </c>
      <c r="S124" s="58">
        <f t="shared" ref="S124" si="153">+F124*N124</f>
        <v>1334.48020114324</v>
      </c>
      <c r="T124" s="58">
        <f t="shared" ref="T124" si="154">+Q124-S124</f>
        <v>-4.8802011432399013</v>
      </c>
      <c r="U124" s="57">
        <f t="shared" ref="U124" si="155">+N124</f>
        <v>33.362005028581002</v>
      </c>
      <c r="V124" s="57">
        <f t="shared" ref="V124" si="156">+F124*U124</f>
        <v>1334.48020114324</v>
      </c>
      <c r="W124" s="57">
        <f t="shared" ref="W124" si="157">+V124-P124</f>
        <v>4.8802011432399013</v>
      </c>
      <c r="X124" s="109">
        <f t="shared" ref="X124" si="158">W124-K124</f>
        <v>-3.9968028886505635E-14</v>
      </c>
      <c r="Y124" s="273">
        <f>(G124*$D$158)*(References!$C$55/References!$G$58)-L124</f>
        <v>0</v>
      </c>
    </row>
    <row r="125" spans="1:31">
      <c r="A125" s="266"/>
      <c r="B125" s="92"/>
      <c r="U125" s="57"/>
      <c r="V125" s="57"/>
      <c r="W125" s="57"/>
      <c r="X125" s="109">
        <f t="shared" si="147"/>
        <v>0</v>
      </c>
    </row>
    <row r="126" spans="1:31">
      <c r="A126" s="84"/>
      <c r="B126" s="82"/>
      <c r="C126" s="81" t="s">
        <v>14</v>
      </c>
      <c r="D126" s="45">
        <f>SUM(D52:D125)</f>
        <v>2415.6805634543366</v>
      </c>
      <c r="E126" s="49"/>
      <c r="F126" s="45">
        <f>SUM(F52:F125)</f>
        <v>52761.94612955366</v>
      </c>
      <c r="G126" s="85"/>
      <c r="H126" s="45">
        <f>SUM(H52:H125)</f>
        <v>7519597.664944862</v>
      </c>
      <c r="I126" s="45">
        <f>SUM(I52:I125)</f>
        <v>7491570.0882985396</v>
      </c>
      <c r="J126" s="42"/>
      <c r="K126" s="42"/>
      <c r="L126" s="52"/>
      <c r="M126" s="52"/>
      <c r="N126" s="52"/>
      <c r="O126" s="52"/>
      <c r="P126" s="42">
        <f>SUM(P52:P125)</f>
        <v>996164.73141037708</v>
      </c>
      <c r="Q126" s="42">
        <f>SUM(Q52:Q125)</f>
        <v>1003538.907132856</v>
      </c>
      <c r="R126" s="42">
        <f>SUM(R52:R125)</f>
        <v>7374.1757224784906</v>
      </c>
      <c r="S126" s="42">
        <f>SUM(S52:S125)</f>
        <v>1003504.1612346109</v>
      </c>
      <c r="T126" s="42">
        <f>SUM(T52:T125)</f>
        <v>34.745898244822271</v>
      </c>
      <c r="U126" s="42"/>
      <c r="V126" s="42">
        <f>SUM(V52:V125)</f>
        <v>1003504.1612346109</v>
      </c>
      <c r="W126" s="42">
        <f>SUM(W52:W125)</f>
        <v>7339.429824233669</v>
      </c>
      <c r="X126" s="109">
        <f>+W126/P126</f>
        <v>7.3676868823115754E-3</v>
      </c>
    </row>
    <row r="127" spans="1:31">
      <c r="C127" s="83" t="s">
        <v>2</v>
      </c>
      <c r="D127" s="86">
        <f>+D51+D126</f>
        <v>9132.4795395629681</v>
      </c>
      <c r="F127" s="86">
        <f>+F51+F126</f>
        <v>272806.20879539131</v>
      </c>
      <c r="H127" s="86">
        <f>+H51+H126</f>
        <v>17692438.270129871</v>
      </c>
      <c r="I127" s="86">
        <f>+I51+I126</f>
        <v>17626493.761956498</v>
      </c>
      <c r="P127" s="64">
        <f>+P51+P126</f>
        <v>2483195.6938022343</v>
      </c>
      <c r="Q127" s="64">
        <f>+Q51+Q126</f>
        <v>2500526.3439065591</v>
      </c>
      <c r="R127" s="64">
        <f>+R51+R126</f>
        <v>17330.650104324028</v>
      </c>
      <c r="S127" s="64">
        <f>+S51+S126</f>
        <v>2500465.0161029366</v>
      </c>
      <c r="T127" s="64">
        <f>+T51+T126</f>
        <v>61.32780362215253</v>
      </c>
      <c r="U127" s="64"/>
      <c r="V127" s="64">
        <f>+V51+V126</f>
        <v>2500374.5826840373</v>
      </c>
      <c r="W127" s="64">
        <f>+W51+W126</f>
        <v>17269.322300702039</v>
      </c>
      <c r="X127" s="109"/>
    </row>
    <row r="129" spans="1:31">
      <c r="Z129" s="55"/>
      <c r="AE129" s="43"/>
    </row>
    <row r="130" spans="1:31" ht="15" customHeight="1">
      <c r="A130" s="69"/>
      <c r="B130" s="54"/>
      <c r="C130" s="60" t="s">
        <v>91</v>
      </c>
      <c r="D130" s="87"/>
      <c r="E130" s="41"/>
      <c r="F130" s="51"/>
      <c r="G130" s="51"/>
      <c r="H130" s="51"/>
      <c r="I130" s="51"/>
      <c r="J130" s="91"/>
      <c r="K130" s="91"/>
      <c r="L130" s="91"/>
      <c r="M130" s="91"/>
      <c r="N130" s="91"/>
      <c r="O130" s="91"/>
      <c r="Z130" s="55"/>
      <c r="AE130" s="43"/>
    </row>
    <row r="131" spans="1:31" s="72" customFormat="1" ht="15" customHeight="1">
      <c r="A131" s="69"/>
      <c r="B131" s="92">
        <v>20</v>
      </c>
      <c r="C131" s="76" t="s">
        <v>662</v>
      </c>
      <c r="D131" s="40"/>
      <c r="E131" s="59">
        <v>1</v>
      </c>
      <c r="F131" s="50">
        <v>12</v>
      </c>
      <c r="G131" s="50">
        <f>+References!$B$24</f>
        <v>37</v>
      </c>
      <c r="H131" s="50">
        <f>+E131*F131*G131</f>
        <v>444</v>
      </c>
      <c r="I131" s="50">
        <f t="shared" ref="I131:I136" si="159">+H131*$D$158</f>
        <v>442.3450917741277</v>
      </c>
      <c r="J131" s="48">
        <f>+I131*References!$C$55</f>
        <v>0.42465128810316061</v>
      </c>
      <c r="K131" s="48">
        <f>+J131/References!$G$58</f>
        <v>0.43336186151970674</v>
      </c>
      <c r="L131" s="48">
        <f>+K131/F131</f>
        <v>3.6113488459975564E-2</v>
      </c>
      <c r="M131" s="48">
        <f>+'Proposed Rates'!B20</f>
        <v>9.17</v>
      </c>
      <c r="N131" s="48">
        <f>+L131+M131</f>
        <v>9.2061134884599749</v>
      </c>
      <c r="O131" s="48">
        <f>+'Proposed Rates'!D20</f>
        <v>9.2061134884599749</v>
      </c>
      <c r="P131" s="58"/>
      <c r="Q131" s="58"/>
      <c r="R131" s="58"/>
      <c r="S131" s="58"/>
      <c r="T131" s="58"/>
      <c r="U131" s="58"/>
      <c r="V131" s="58"/>
      <c r="W131" s="58"/>
      <c r="Z131" s="55"/>
      <c r="AA131" s="55"/>
      <c r="AB131" s="55"/>
      <c r="AC131" s="55"/>
      <c r="AD131" s="55"/>
    </row>
    <row r="132" spans="1:31" s="72" customFormat="1" ht="15" customHeight="1">
      <c r="A132" s="69"/>
      <c r="B132" s="92">
        <v>20</v>
      </c>
      <c r="C132" s="76" t="s">
        <v>663</v>
      </c>
      <c r="D132" s="40"/>
      <c r="E132" s="59">
        <v>1</v>
      </c>
      <c r="F132" s="50">
        <v>12</v>
      </c>
      <c r="G132" s="50">
        <f>+References!$B$24</f>
        <v>37</v>
      </c>
      <c r="H132" s="50">
        <f t="shared" ref="H132:H136" si="160">+E132*F132*G132</f>
        <v>444</v>
      </c>
      <c r="I132" s="50">
        <f t="shared" si="159"/>
        <v>442.3450917741277</v>
      </c>
      <c r="J132" s="48">
        <f>+I132*References!$C$55</f>
        <v>0.42465128810316061</v>
      </c>
      <c r="K132" s="48">
        <f>+J132/References!$G$58</f>
        <v>0.43336186151970674</v>
      </c>
      <c r="L132" s="48">
        <f t="shared" ref="L132:L136" si="161">+K132/F132</f>
        <v>3.6113488459975564E-2</v>
      </c>
      <c r="M132" s="48">
        <f>+'Proposed Rates'!B39</f>
        <v>7.17</v>
      </c>
      <c r="N132" s="48">
        <f t="shared" ref="N132:N136" si="162">+L132+M132</f>
        <v>7.2061134884599758</v>
      </c>
      <c r="O132" s="48">
        <f>+'Proposed Rates'!D39</f>
        <v>7.2061134884599758</v>
      </c>
      <c r="P132" s="58"/>
      <c r="Q132" s="58"/>
      <c r="R132" s="58"/>
      <c r="S132" s="58"/>
      <c r="T132" s="58"/>
      <c r="U132" s="58"/>
      <c r="V132" s="58"/>
      <c r="W132" s="58"/>
      <c r="Z132" s="55"/>
      <c r="AA132" s="55"/>
      <c r="AB132" s="55"/>
      <c r="AC132" s="55"/>
      <c r="AD132" s="55"/>
    </row>
    <row r="133" spans="1:31" s="72" customFormat="1" ht="15" customHeight="1">
      <c r="A133" s="69"/>
      <c r="B133" s="92"/>
      <c r="C133" s="76" t="s">
        <v>664</v>
      </c>
      <c r="D133" s="40"/>
      <c r="E133" s="59">
        <f>+References!$B$11</f>
        <v>4.333333333333333</v>
      </c>
      <c r="F133" s="50">
        <v>12</v>
      </c>
      <c r="G133" s="50">
        <f>+References!$B$24</f>
        <v>37</v>
      </c>
      <c r="H133" s="50">
        <f t="shared" si="160"/>
        <v>1924</v>
      </c>
      <c r="I133" s="50">
        <f t="shared" si="159"/>
        <v>1916.8287310212199</v>
      </c>
      <c r="J133" s="48">
        <f>+I133*References!$C$55</f>
        <v>1.8401555817803628</v>
      </c>
      <c r="K133" s="48">
        <f>+J133/References!$G$58</f>
        <v>1.8779013999187293</v>
      </c>
      <c r="L133" s="48">
        <f t="shared" si="161"/>
        <v>0.15649178332656077</v>
      </c>
      <c r="M133" s="48">
        <f>+'Proposed Rates'!B22</f>
        <v>19.88</v>
      </c>
      <c r="N133" s="48">
        <f t="shared" si="162"/>
        <v>20.036491783326561</v>
      </c>
      <c r="O133" s="48">
        <f>+'Proposed Rates'!D22</f>
        <v>20.036491783326561</v>
      </c>
      <c r="P133" s="58"/>
      <c r="Q133" s="58"/>
      <c r="R133" s="58"/>
      <c r="S133" s="58"/>
      <c r="T133" s="58"/>
      <c r="U133" s="58"/>
      <c r="V133" s="58"/>
      <c r="W133" s="58"/>
      <c r="Z133" s="55"/>
      <c r="AA133" s="55"/>
      <c r="AB133" s="55"/>
      <c r="AC133" s="55"/>
      <c r="AD133" s="55"/>
    </row>
    <row r="134" spans="1:31" s="72" customFormat="1" ht="15" customHeight="1">
      <c r="A134" s="69"/>
      <c r="B134" s="92"/>
      <c r="C134" s="76" t="s">
        <v>665</v>
      </c>
      <c r="D134" s="40"/>
      <c r="E134" s="59">
        <f>+References!$B$11</f>
        <v>4.333333333333333</v>
      </c>
      <c r="F134" s="50">
        <v>12</v>
      </c>
      <c r="G134" s="50">
        <f>+References!$B$24</f>
        <v>37</v>
      </c>
      <c r="H134" s="50">
        <f t="shared" si="160"/>
        <v>1924</v>
      </c>
      <c r="I134" s="50">
        <f t="shared" si="159"/>
        <v>1916.8287310212199</v>
      </c>
      <c r="J134" s="48">
        <f>+I134*References!$C$55</f>
        <v>1.8401555817803628</v>
      </c>
      <c r="K134" s="48">
        <f>+J134/References!$G$58</f>
        <v>1.8779013999187293</v>
      </c>
      <c r="L134" s="48">
        <f t="shared" si="161"/>
        <v>0.15649178332656077</v>
      </c>
      <c r="M134" s="48">
        <f>+'Proposed Rates'!B41</f>
        <v>17.88</v>
      </c>
      <c r="N134" s="48">
        <f t="shared" si="162"/>
        <v>18.036491783326561</v>
      </c>
      <c r="O134" s="48">
        <f>+'Proposed Rates'!D41</f>
        <v>18.036491783326561</v>
      </c>
      <c r="P134" s="58"/>
      <c r="Q134" s="58"/>
      <c r="R134" s="58"/>
      <c r="S134" s="58"/>
      <c r="T134" s="58"/>
      <c r="U134" s="58"/>
      <c r="V134" s="58"/>
      <c r="W134" s="58"/>
      <c r="Z134" s="55"/>
      <c r="AA134" s="55"/>
      <c r="AB134" s="55"/>
      <c r="AC134" s="55"/>
      <c r="AD134" s="55"/>
    </row>
    <row r="135" spans="1:31" s="72" customFormat="1" ht="15" customHeight="1">
      <c r="A135" s="69"/>
      <c r="B135" s="92"/>
      <c r="C135" s="76" t="s">
        <v>666</v>
      </c>
      <c r="D135" s="40"/>
      <c r="E135" s="59">
        <f>+References!$B$12</f>
        <v>2.1666666666666665</v>
      </c>
      <c r="F135" s="50">
        <v>12</v>
      </c>
      <c r="G135" s="50">
        <f>+References!$B$24</f>
        <v>37</v>
      </c>
      <c r="H135" s="50">
        <f t="shared" si="160"/>
        <v>962</v>
      </c>
      <c r="I135" s="50">
        <f t="shared" si="159"/>
        <v>958.41436551060997</v>
      </c>
      <c r="J135" s="48">
        <f>+I135*References!$C$55</f>
        <v>0.92007779089018138</v>
      </c>
      <c r="K135" s="48">
        <f>+J135/References!$G$58</f>
        <v>0.93895069995936464</v>
      </c>
      <c r="L135" s="48">
        <f t="shared" si="161"/>
        <v>7.8245891663280387E-2</v>
      </c>
      <c r="M135" s="48">
        <f>+'Proposed Rates'!B21</f>
        <v>14.73</v>
      </c>
      <c r="N135" s="48">
        <f t="shared" si="162"/>
        <v>14.808245891663281</v>
      </c>
      <c r="O135" s="48">
        <f>+'Proposed Rates'!D21</f>
        <v>14.808245891663281</v>
      </c>
      <c r="P135" s="58"/>
      <c r="Q135" s="58"/>
      <c r="R135" s="58"/>
      <c r="S135" s="58"/>
      <c r="T135" s="58"/>
      <c r="U135" s="58"/>
      <c r="V135" s="58"/>
      <c r="W135" s="58"/>
      <c r="Z135" s="55"/>
      <c r="AA135" s="55"/>
      <c r="AB135" s="55"/>
      <c r="AC135" s="55"/>
      <c r="AD135" s="55"/>
    </row>
    <row r="136" spans="1:31" s="72" customFormat="1" ht="15" customHeight="1">
      <c r="A136" s="69"/>
      <c r="B136" s="92">
        <v>20</v>
      </c>
      <c r="C136" s="76" t="s">
        <v>667</v>
      </c>
      <c r="D136" s="40"/>
      <c r="E136" s="59">
        <f>+References!$B$12</f>
        <v>2.1666666666666665</v>
      </c>
      <c r="F136" s="50">
        <v>12</v>
      </c>
      <c r="G136" s="50">
        <f>+References!$B$24</f>
        <v>37</v>
      </c>
      <c r="H136" s="50">
        <f t="shared" si="160"/>
        <v>962</v>
      </c>
      <c r="I136" s="50">
        <f t="shared" si="159"/>
        <v>958.41436551060997</v>
      </c>
      <c r="J136" s="48">
        <f>+I136*References!$C$55</f>
        <v>0.92007779089018138</v>
      </c>
      <c r="K136" s="48">
        <f>+J136/References!$G$58</f>
        <v>0.93895069995936464</v>
      </c>
      <c r="L136" s="48">
        <f t="shared" si="161"/>
        <v>7.8245891663280387E-2</v>
      </c>
      <c r="M136" s="48">
        <f>+'Proposed Rates'!B40</f>
        <v>12.73</v>
      </c>
      <c r="N136" s="48">
        <f t="shared" si="162"/>
        <v>12.808245891663281</v>
      </c>
      <c r="O136" s="48">
        <f>+'Proposed Rates'!D40</f>
        <v>12.808245891663281</v>
      </c>
      <c r="P136" s="58"/>
      <c r="Q136" s="58"/>
      <c r="R136" s="58"/>
      <c r="S136" s="58"/>
      <c r="T136" s="58"/>
      <c r="U136" s="58"/>
      <c r="V136" s="58"/>
      <c r="W136" s="58"/>
      <c r="Z136" s="55"/>
      <c r="AA136" s="55"/>
      <c r="AB136" s="55"/>
      <c r="AC136" s="55"/>
      <c r="AD136" s="55"/>
    </row>
    <row r="137" spans="1:31">
      <c r="A137" s="266" t="s">
        <v>11</v>
      </c>
      <c r="B137" s="92">
        <v>20</v>
      </c>
      <c r="C137" s="76" t="s">
        <v>103</v>
      </c>
      <c r="D137" s="40">
        <v>0</v>
      </c>
      <c r="E137" s="59">
        <f>+References!B11</f>
        <v>4.333333333333333</v>
      </c>
      <c r="F137" s="50">
        <v>12</v>
      </c>
      <c r="G137" s="50">
        <f>+References!B21</f>
        <v>97</v>
      </c>
      <c r="H137" s="50">
        <f>+E137*F137*G137</f>
        <v>5044</v>
      </c>
      <c r="I137" s="50">
        <f t="shared" ref="I137:I145" si="163">+H137*$D$158</f>
        <v>5025.1996461907656</v>
      </c>
      <c r="J137" s="48">
        <f>+I137*References!$C$55</f>
        <v>4.8241916603431125</v>
      </c>
      <c r="K137" s="48">
        <f>+J137/References!$G$58</f>
        <v>4.9231469133004513</v>
      </c>
      <c r="L137" s="48">
        <f t="shared" ref="L137:L145" si="164">+K137/F137</f>
        <v>0.41026224277503759</v>
      </c>
      <c r="M137" s="48">
        <f>+'Proposed Rates'!B36</f>
        <v>43.89</v>
      </c>
      <c r="N137" s="48">
        <f t="shared" ref="N137:N145" si="165">+L137+M137</f>
        <v>44.300262242775041</v>
      </c>
      <c r="O137" s="48">
        <f>+'Proposed Rates'!D36</f>
        <v>44.3</v>
      </c>
      <c r="Z137" s="55"/>
      <c r="AE137" s="43"/>
    </row>
    <row r="138" spans="1:31" s="72" customFormat="1">
      <c r="A138" s="266"/>
      <c r="B138" s="92">
        <v>20</v>
      </c>
      <c r="C138" s="76" t="s">
        <v>104</v>
      </c>
      <c r="D138" s="40">
        <v>0</v>
      </c>
      <c r="E138" s="59">
        <f>+References!B11</f>
        <v>4.333333333333333</v>
      </c>
      <c r="F138" s="50">
        <v>12</v>
      </c>
      <c r="G138" s="50">
        <f>+References!B22</f>
        <v>117</v>
      </c>
      <c r="H138" s="50">
        <f t="shared" ref="H138:H139" si="166">+E138*F138*G138</f>
        <v>6084</v>
      </c>
      <c r="I138" s="50">
        <f t="shared" si="163"/>
        <v>6061.3232845806142</v>
      </c>
      <c r="J138" s="48">
        <f>+I138*References!$C$55</f>
        <v>5.8188703531973625</v>
      </c>
      <c r="K138" s="48">
        <f>+J138/References!$G$58</f>
        <v>5.9382287510943588</v>
      </c>
      <c r="L138" s="48">
        <f t="shared" si="164"/>
        <v>0.4948523959245299</v>
      </c>
      <c r="M138" s="48">
        <f>+'Proposed Rates'!B37</f>
        <v>52.84</v>
      </c>
      <c r="N138" s="48">
        <f t="shared" si="165"/>
        <v>53.334852395924536</v>
      </c>
      <c r="O138" s="48">
        <f>+'Proposed Rates'!D37</f>
        <v>53.330000000000005</v>
      </c>
      <c r="P138" s="58"/>
      <c r="T138" s="58"/>
      <c r="U138" s="58"/>
      <c r="V138" s="58"/>
      <c r="W138" s="58"/>
      <c r="Z138" s="55"/>
      <c r="AA138" s="55"/>
      <c r="AB138" s="55"/>
      <c r="AC138" s="55"/>
      <c r="AD138" s="55"/>
    </row>
    <row r="139" spans="1:31" s="72" customFormat="1">
      <c r="A139" s="266"/>
      <c r="B139" s="92">
        <v>20</v>
      </c>
      <c r="C139" s="76" t="s">
        <v>475</v>
      </c>
      <c r="D139" s="40">
        <v>0</v>
      </c>
      <c r="E139" s="59">
        <f>+References!B11</f>
        <v>4.333333333333333</v>
      </c>
      <c r="F139" s="50">
        <v>12</v>
      </c>
      <c r="G139" s="50">
        <f>+References!B22</f>
        <v>117</v>
      </c>
      <c r="H139" s="50">
        <f t="shared" si="166"/>
        <v>6084</v>
      </c>
      <c r="I139" s="50">
        <f t="shared" si="163"/>
        <v>6061.3232845806142</v>
      </c>
      <c r="J139" s="48">
        <f>+I139*References!$C$55</f>
        <v>5.8188703531973625</v>
      </c>
      <c r="K139" s="48">
        <f>+J139/References!$G$58</f>
        <v>5.9382287510943588</v>
      </c>
      <c r="L139" s="48">
        <f t="shared" si="164"/>
        <v>0.4948523959245299</v>
      </c>
      <c r="M139" s="48">
        <f>+'Proposed Rates'!B18</f>
        <v>54.84</v>
      </c>
      <c r="N139" s="48">
        <f t="shared" si="165"/>
        <v>55.334852395924536</v>
      </c>
      <c r="O139" s="48">
        <f>+'Proposed Rates'!D18</f>
        <v>55.330000000000005</v>
      </c>
      <c r="P139" s="58"/>
      <c r="T139" s="58"/>
      <c r="U139" s="58"/>
      <c r="V139" s="58"/>
      <c r="W139" s="58"/>
      <c r="Z139" s="55"/>
      <c r="AA139" s="55"/>
      <c r="AB139" s="55"/>
      <c r="AC139" s="55"/>
      <c r="AD139" s="55"/>
    </row>
    <row r="140" spans="1:31" s="72" customFormat="1">
      <c r="A140" s="266"/>
      <c r="B140" s="92">
        <v>21</v>
      </c>
      <c r="C140" s="76" t="s">
        <v>96</v>
      </c>
      <c r="D140" s="40">
        <v>0</v>
      </c>
      <c r="E140" s="59">
        <f>+References!B13</f>
        <v>1</v>
      </c>
      <c r="F140" s="50">
        <f t="shared" ref="F140:F145" si="167">+E140*12</f>
        <v>12</v>
      </c>
      <c r="G140" s="50">
        <f>+References!B18</f>
        <v>34</v>
      </c>
      <c r="H140" s="50">
        <f t="shared" ref="H140:H145" si="168">+F140*G140</f>
        <v>408</v>
      </c>
      <c r="I140" s="50">
        <f t="shared" si="163"/>
        <v>406.47927352217141</v>
      </c>
      <c r="J140" s="48">
        <f>+I140*References!$C$55</f>
        <v>0.39022010258128276</v>
      </c>
      <c r="K140" s="48">
        <f>+J140/References!$G$58</f>
        <v>0.39822441328837921</v>
      </c>
      <c r="L140" s="48">
        <f t="shared" si="164"/>
        <v>3.3185367774031603E-2</v>
      </c>
      <c r="M140" s="48">
        <f>+'Proposed Rates'!B53</f>
        <v>5.26</v>
      </c>
      <c r="N140" s="48">
        <f t="shared" si="165"/>
        <v>5.293185367774031</v>
      </c>
      <c r="O140" s="48">
        <f>+'Proposed Rates'!D53</f>
        <v>5.29</v>
      </c>
      <c r="P140" s="58"/>
      <c r="T140" s="58"/>
      <c r="U140" s="58"/>
      <c r="V140" s="58"/>
      <c r="W140" s="58"/>
      <c r="Z140" s="55"/>
      <c r="AA140" s="55"/>
      <c r="AB140" s="55"/>
      <c r="AC140" s="55"/>
      <c r="AD140" s="55"/>
    </row>
    <row r="141" spans="1:31" s="72" customFormat="1">
      <c r="A141" s="266"/>
      <c r="B141" s="92">
        <v>22</v>
      </c>
      <c r="C141" s="76" t="s">
        <v>120</v>
      </c>
      <c r="D141" s="40">
        <v>0</v>
      </c>
      <c r="E141" s="59">
        <f>+References!B13</f>
        <v>1</v>
      </c>
      <c r="F141" s="50">
        <f t="shared" si="167"/>
        <v>12</v>
      </c>
      <c r="G141" s="50">
        <f>+References!B46</f>
        <v>125</v>
      </c>
      <c r="H141" s="50">
        <f t="shared" si="168"/>
        <v>1500</v>
      </c>
      <c r="I141" s="50">
        <f t="shared" si="163"/>
        <v>1494.4090938315123</v>
      </c>
      <c r="J141" s="48">
        <f>+I141*References!$C$55</f>
        <v>1.4346327300782453</v>
      </c>
      <c r="K141" s="48">
        <f>+J141/References!$G$58</f>
        <v>1.4640603429719821</v>
      </c>
      <c r="L141" s="48">
        <f t="shared" si="164"/>
        <v>0.1220050285809985</v>
      </c>
      <c r="M141" s="48">
        <f>+'Proposed Rates'!B58</f>
        <v>9.81</v>
      </c>
      <c r="N141" s="48">
        <f t="shared" si="165"/>
        <v>9.9320050285809991</v>
      </c>
      <c r="O141" s="48">
        <f>+'Proposed Rates'!D58</f>
        <v>9.93</v>
      </c>
      <c r="P141" s="58"/>
      <c r="Q141" s="58"/>
      <c r="R141" s="58"/>
      <c r="S141" s="58"/>
      <c r="T141" s="58"/>
      <c r="U141" s="58"/>
      <c r="V141" s="58"/>
      <c r="W141" s="58"/>
      <c r="Z141" s="55"/>
      <c r="AA141" s="55"/>
      <c r="AB141" s="55"/>
      <c r="AC141" s="55"/>
      <c r="AD141" s="55"/>
    </row>
    <row r="142" spans="1:31" s="72" customFormat="1">
      <c r="A142" s="266"/>
      <c r="B142" s="92">
        <v>22</v>
      </c>
      <c r="C142" s="76" t="s">
        <v>121</v>
      </c>
      <c r="D142" s="40">
        <v>0</v>
      </c>
      <c r="E142" s="59">
        <f>+References!B13</f>
        <v>1</v>
      </c>
      <c r="F142" s="50">
        <f t="shared" si="167"/>
        <v>12</v>
      </c>
      <c r="G142" s="50">
        <f>+References!B46</f>
        <v>125</v>
      </c>
      <c r="H142" s="50">
        <f t="shared" si="168"/>
        <v>1500</v>
      </c>
      <c r="I142" s="50">
        <f t="shared" si="163"/>
        <v>1494.4090938315123</v>
      </c>
      <c r="J142" s="48">
        <f>+I142*References!$C$55</f>
        <v>1.4346327300782453</v>
      </c>
      <c r="K142" s="48">
        <f>+J142/References!$G$58</f>
        <v>1.4640603429719821</v>
      </c>
      <c r="L142" s="48">
        <f t="shared" si="164"/>
        <v>0.1220050285809985</v>
      </c>
      <c r="M142" s="48">
        <f>+'Proposed Rates'!B59</f>
        <v>13.83</v>
      </c>
      <c r="N142" s="48">
        <f t="shared" si="165"/>
        <v>13.952005028580999</v>
      </c>
      <c r="O142" s="48">
        <f>+'Proposed Rates'!D59</f>
        <v>13.95</v>
      </c>
      <c r="P142" s="58"/>
      <c r="Q142" s="58"/>
      <c r="R142" s="58"/>
      <c r="S142" s="58"/>
      <c r="T142" s="58"/>
      <c r="U142" s="58"/>
      <c r="V142" s="58"/>
      <c r="W142" s="58"/>
      <c r="Z142" s="55"/>
      <c r="AA142" s="55"/>
      <c r="AB142" s="55"/>
      <c r="AC142" s="55"/>
      <c r="AD142" s="55"/>
    </row>
    <row r="143" spans="1:31" s="72" customFormat="1">
      <c r="A143" s="266"/>
      <c r="B143" s="92">
        <v>22</v>
      </c>
      <c r="C143" s="76" t="s">
        <v>123</v>
      </c>
      <c r="D143" s="40">
        <v>0</v>
      </c>
      <c r="E143" s="59">
        <f>+References!B13</f>
        <v>1</v>
      </c>
      <c r="F143" s="50">
        <f t="shared" si="167"/>
        <v>12</v>
      </c>
      <c r="G143" s="50">
        <f>+References!B46</f>
        <v>125</v>
      </c>
      <c r="H143" s="50">
        <f t="shared" si="168"/>
        <v>1500</v>
      </c>
      <c r="I143" s="50">
        <f t="shared" si="163"/>
        <v>1494.4090938315123</v>
      </c>
      <c r="J143" s="48">
        <f>+I143*References!$C$55</f>
        <v>1.4346327300782453</v>
      </c>
      <c r="K143" s="48">
        <f>+J143/References!$G$58</f>
        <v>1.4640603429719821</v>
      </c>
      <c r="L143" s="48">
        <f t="shared" si="164"/>
        <v>0.1220050285809985</v>
      </c>
      <c r="M143" s="48">
        <f>+'Proposed Rates'!B61</f>
        <v>18.18</v>
      </c>
      <c r="N143" s="48">
        <f t="shared" si="165"/>
        <v>18.302005028580997</v>
      </c>
      <c r="O143" s="48">
        <f>+'Proposed Rates'!D61</f>
        <v>18.3</v>
      </c>
      <c r="P143" s="58"/>
      <c r="Q143" s="58"/>
      <c r="S143" s="58"/>
      <c r="T143" s="58"/>
      <c r="U143" s="58"/>
      <c r="V143" s="58"/>
      <c r="W143" s="58"/>
      <c r="Z143" s="55"/>
      <c r="AA143" s="55"/>
      <c r="AB143" s="55"/>
      <c r="AC143" s="55"/>
      <c r="AD143" s="55"/>
    </row>
    <row r="144" spans="1:31" s="72" customFormat="1">
      <c r="A144" s="266"/>
      <c r="B144" s="92">
        <v>22</v>
      </c>
      <c r="C144" s="76" t="s">
        <v>124</v>
      </c>
      <c r="D144" s="40">
        <v>0</v>
      </c>
      <c r="E144" s="59">
        <f>+References!B13</f>
        <v>1</v>
      </c>
      <c r="F144" s="50">
        <f t="shared" si="167"/>
        <v>12</v>
      </c>
      <c r="G144" s="50">
        <f>+References!B46</f>
        <v>125</v>
      </c>
      <c r="H144" s="50">
        <f t="shared" si="168"/>
        <v>1500</v>
      </c>
      <c r="I144" s="50">
        <f t="shared" si="163"/>
        <v>1494.4090938315123</v>
      </c>
      <c r="J144" s="48">
        <f>+I144*References!$C$55</f>
        <v>1.4346327300782453</v>
      </c>
      <c r="K144" s="48">
        <f>+J144/References!$G$58</f>
        <v>1.4640603429719821</v>
      </c>
      <c r="L144" s="48">
        <f t="shared" si="164"/>
        <v>0.1220050285809985</v>
      </c>
      <c r="M144" s="48">
        <f>+'Proposed Rates'!B62</f>
        <v>24.87</v>
      </c>
      <c r="N144" s="48">
        <f t="shared" si="165"/>
        <v>24.992005028580998</v>
      </c>
      <c r="O144" s="48">
        <f>+'Proposed Rates'!D62</f>
        <v>24.990000000000002</v>
      </c>
      <c r="P144" s="58"/>
      <c r="Q144" s="58"/>
      <c r="R144" s="58"/>
      <c r="S144" s="58"/>
      <c r="T144" s="58"/>
      <c r="U144" s="58"/>
      <c r="V144" s="58"/>
      <c r="W144" s="58"/>
      <c r="Z144" s="55"/>
      <c r="AA144" s="55"/>
      <c r="AB144" s="55"/>
      <c r="AC144" s="55"/>
      <c r="AD144" s="55"/>
    </row>
    <row r="145" spans="1:31">
      <c r="A145" s="266" t="s">
        <v>12</v>
      </c>
      <c r="B145" s="93">
        <v>29</v>
      </c>
      <c r="C145" s="102" t="s">
        <v>153</v>
      </c>
      <c r="D145" s="88">
        <v>0</v>
      </c>
      <c r="E145" s="63">
        <f>+References!B13</f>
        <v>1</v>
      </c>
      <c r="F145" s="77">
        <f t="shared" si="167"/>
        <v>12</v>
      </c>
      <c r="G145" s="78">
        <f>+References!B34</f>
        <v>473</v>
      </c>
      <c r="H145" s="77">
        <f t="shared" si="168"/>
        <v>5676</v>
      </c>
      <c r="I145" s="77">
        <f t="shared" si="163"/>
        <v>5654.8440110584434</v>
      </c>
      <c r="J145" s="47">
        <f>+I145*References!$C$55</f>
        <v>5.428650250616081</v>
      </c>
      <c r="K145" s="47">
        <f>+J145/References!$G$58</f>
        <v>5.5400043378059811</v>
      </c>
      <c r="L145" s="47">
        <f t="shared" si="164"/>
        <v>0.46166702815049843</v>
      </c>
      <c r="M145" s="47">
        <f>+'Proposed Rates'!B103</f>
        <v>74.73</v>
      </c>
      <c r="N145" s="47">
        <f t="shared" si="165"/>
        <v>75.191667028150505</v>
      </c>
      <c r="O145" s="47">
        <f>+'Proposed Rates'!D103</f>
        <v>75.19</v>
      </c>
      <c r="Z145" s="55"/>
      <c r="AE145" s="43"/>
    </row>
    <row r="146" spans="1:31">
      <c r="A146" s="266"/>
      <c r="B146" s="75">
        <v>29</v>
      </c>
      <c r="C146" s="35" t="s">
        <v>155</v>
      </c>
      <c r="D146" s="40">
        <v>0</v>
      </c>
      <c r="E146" s="65">
        <f>+References!B13</f>
        <v>1</v>
      </c>
      <c r="F146" s="50">
        <f>+E146*12</f>
        <v>12</v>
      </c>
      <c r="G146" s="68">
        <f>+References!B36</f>
        <v>840</v>
      </c>
      <c r="H146" s="50">
        <f t="shared" ref="H146:H147" si="169">+F146*G146</f>
        <v>10080</v>
      </c>
      <c r="I146" s="50">
        <f t="shared" ref="I146:I147" si="170">+H146*$D$158</f>
        <v>10042.429110547764</v>
      </c>
      <c r="J146" s="48">
        <f>+I146*References!$C$55</f>
        <v>9.6407319461258094</v>
      </c>
      <c r="K146" s="48">
        <f>+J146/References!$G$58</f>
        <v>9.8384855047717217</v>
      </c>
      <c r="L146" s="48">
        <f t="shared" ref="L146:L147" si="171">+K146/F146</f>
        <v>0.8198737920643101</v>
      </c>
      <c r="M146" s="48">
        <f>+'Proposed Rates'!B105</f>
        <v>128.22</v>
      </c>
      <c r="N146" s="48">
        <f t="shared" ref="N146:N147" si="172">+L146+M146</f>
        <v>129.0398737920643</v>
      </c>
      <c r="O146" s="48">
        <f>+'Proposed Rates'!D105</f>
        <v>129.04</v>
      </c>
      <c r="Z146" s="55"/>
      <c r="AE146" s="43"/>
    </row>
    <row r="147" spans="1:31">
      <c r="A147" s="266"/>
      <c r="B147" s="75">
        <v>29</v>
      </c>
      <c r="C147" s="35" t="s">
        <v>156</v>
      </c>
      <c r="D147" s="40">
        <v>0</v>
      </c>
      <c r="E147" s="65">
        <f>+References!B13</f>
        <v>1</v>
      </c>
      <c r="F147" s="50">
        <f>+E147*12</f>
        <v>12</v>
      </c>
      <c r="G147" s="68">
        <f>+References!B37</f>
        <v>980</v>
      </c>
      <c r="H147" s="50">
        <f t="shared" si="169"/>
        <v>11760</v>
      </c>
      <c r="I147" s="50">
        <f t="shared" si="170"/>
        <v>11716.167295639058</v>
      </c>
      <c r="J147" s="48">
        <f>+I147*References!$C$55</f>
        <v>11.247520603813443</v>
      </c>
      <c r="K147" s="48">
        <f>+J147/References!$G$58</f>
        <v>11.478233088900341</v>
      </c>
      <c r="L147" s="48">
        <f t="shared" si="171"/>
        <v>0.95651942407502843</v>
      </c>
      <c r="M147" s="48">
        <f>+'Proposed Rates'!B106</f>
        <v>168.18</v>
      </c>
      <c r="N147" s="48">
        <f t="shared" si="172"/>
        <v>169.13651942407503</v>
      </c>
      <c r="O147" s="48">
        <f>+'Proposed Rates'!D106</f>
        <v>169.14000000000001</v>
      </c>
      <c r="Z147" s="55"/>
      <c r="AE147" s="43"/>
    </row>
    <row r="148" spans="1:31">
      <c r="A148" s="266"/>
      <c r="B148" s="75"/>
      <c r="C148" s="79"/>
      <c r="D148" s="40"/>
      <c r="E148" s="65"/>
      <c r="F148" s="50"/>
      <c r="G148" s="68"/>
      <c r="H148" s="50"/>
      <c r="I148" s="50"/>
      <c r="J148" s="48"/>
      <c r="K148" s="48"/>
      <c r="L148" s="48"/>
      <c r="M148" s="48"/>
      <c r="N148" s="48"/>
      <c r="O148" s="48"/>
      <c r="Z148" s="55"/>
      <c r="AE148" s="43"/>
    </row>
    <row r="149" spans="1:31">
      <c r="A149" s="99"/>
      <c r="B149" s="67"/>
      <c r="C149" s="79"/>
      <c r="D149" s="40"/>
      <c r="E149" s="65"/>
      <c r="F149" s="50"/>
      <c r="G149" s="68"/>
      <c r="H149" s="50"/>
      <c r="I149" s="50"/>
      <c r="J149" s="62"/>
      <c r="K149" s="48"/>
      <c r="L149" s="48"/>
      <c r="M149" s="48"/>
      <c r="N149" s="48"/>
      <c r="O149" s="48"/>
      <c r="Z149" s="55"/>
      <c r="AE149" s="43"/>
    </row>
    <row r="150" spans="1:31">
      <c r="A150" s="99"/>
      <c r="B150" s="67"/>
      <c r="C150" s="79"/>
      <c r="D150" s="40"/>
      <c r="E150" s="65"/>
      <c r="F150" s="50"/>
      <c r="G150" s="68"/>
      <c r="H150" s="50"/>
      <c r="I150" s="50"/>
      <c r="J150" s="62"/>
      <c r="K150" s="48"/>
      <c r="L150" s="48"/>
      <c r="M150" s="48"/>
      <c r="N150" s="48"/>
      <c r="O150" s="48"/>
      <c r="P150" s="62"/>
    </row>
    <row r="151" spans="1:31" s="55" customFormat="1">
      <c r="D151" s="44"/>
      <c r="E151" s="56"/>
      <c r="F151" s="44"/>
      <c r="G151" s="44"/>
      <c r="H151" s="44"/>
      <c r="I151" s="44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3" spans="1:31">
      <c r="C153" s="267" t="s">
        <v>86</v>
      </c>
      <c r="D153" s="267"/>
      <c r="E153" s="95"/>
      <c r="F153" s="89"/>
    </row>
    <row r="154" spans="1:31">
      <c r="C154" s="53"/>
      <c r="D154" s="66" t="s">
        <v>14</v>
      </c>
    </row>
    <row r="155" spans="1:31">
      <c r="C155" s="53" t="s">
        <v>30</v>
      </c>
      <c r="D155" s="71">
        <f>+Disposal!E19</f>
        <v>8813.2468809782513</v>
      </c>
    </row>
    <row r="156" spans="1:31" s="90" customFormat="1">
      <c r="A156" s="43"/>
      <c r="B156" s="80"/>
      <c r="C156" s="53" t="s">
        <v>31</v>
      </c>
      <c r="D156" s="40">
        <f>+D155*References!G20</f>
        <v>17626493.761956502</v>
      </c>
      <c r="E156" s="56"/>
      <c r="F156" s="44"/>
      <c r="G156" s="44"/>
      <c r="H156" s="44"/>
      <c r="I156" s="44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43"/>
      <c r="Y156" s="43"/>
      <c r="Z156" s="43"/>
      <c r="AA156" s="55"/>
      <c r="AB156" s="55"/>
      <c r="AC156" s="55"/>
      <c r="AD156" s="55"/>
      <c r="AE156" s="55"/>
    </row>
    <row r="157" spans="1:31" s="90" customFormat="1" ht="15" customHeight="1">
      <c r="A157" s="43"/>
      <c r="B157" s="80"/>
      <c r="C157" s="53" t="s">
        <v>3</v>
      </c>
      <c r="D157" s="40">
        <f>+F127</f>
        <v>272806.20879539131</v>
      </c>
      <c r="E157" s="56"/>
      <c r="F157" s="44"/>
      <c r="G157" s="44"/>
      <c r="H157" s="44"/>
      <c r="I157" s="44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43"/>
      <c r="Y157" s="43"/>
      <c r="Z157" s="43"/>
      <c r="AA157" s="55"/>
      <c r="AB157" s="55"/>
      <c r="AC157" s="55"/>
      <c r="AD157" s="55"/>
      <c r="AE157" s="55"/>
    </row>
    <row r="158" spans="1:31" s="90" customFormat="1">
      <c r="A158" s="43"/>
      <c r="B158" s="80"/>
      <c r="C158" s="70" t="s">
        <v>9</v>
      </c>
      <c r="D158" s="61">
        <f>+D156/H127</f>
        <v>0.99627272922100829</v>
      </c>
      <c r="E158" s="56"/>
      <c r="F158" s="44"/>
      <c r="G158" s="44"/>
      <c r="H158" s="44"/>
      <c r="I158" s="44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43"/>
      <c r="Y158" s="43"/>
      <c r="Z158" s="43"/>
      <c r="AA158" s="55"/>
      <c r="AB158" s="55"/>
      <c r="AC158" s="55"/>
      <c r="AD158" s="55"/>
      <c r="AE158" s="55"/>
    </row>
    <row r="160" spans="1:31">
      <c r="D160" s="58" t="s">
        <v>11</v>
      </c>
      <c r="E160" s="58">
        <f>+R51</f>
        <v>9956.474381845539</v>
      </c>
      <c r="F160" s="110">
        <f>+R51/P51</f>
        <v>6.6955393893283598E-3</v>
      </c>
    </row>
    <row r="161" spans="4:6">
      <c r="D161" s="58" t="s">
        <v>12</v>
      </c>
      <c r="E161" s="58">
        <f>+R126</f>
        <v>7374.1757224784906</v>
      </c>
      <c r="F161" s="110">
        <f>+R126/P126</f>
        <v>7.4025665534635824E-3</v>
      </c>
    </row>
    <row r="162" spans="4:6">
      <c r="D162" s="58" t="s">
        <v>14</v>
      </c>
      <c r="E162" s="47">
        <f>SUM(E160:E161)</f>
        <v>17330.650104324028</v>
      </c>
      <c r="F162" s="111"/>
    </row>
    <row r="163" spans="4:6">
      <c r="D163" s="58"/>
      <c r="E163" s="58"/>
      <c r="F163" s="111"/>
    </row>
    <row r="164" spans="4:6">
      <c r="D164" s="100" t="s">
        <v>450</v>
      </c>
      <c r="E164" s="58">
        <f>4420*References!B55</f>
        <v>8486.4000000000069</v>
      </c>
      <c r="F164" s="110">
        <f>+References!D55</f>
        <v>1.8311874105865541E-2</v>
      </c>
    </row>
  </sheetData>
  <mergeCells count="5">
    <mergeCell ref="A7:A49"/>
    <mergeCell ref="A52:A125"/>
    <mergeCell ref="A137:A144"/>
    <mergeCell ref="A145:A148"/>
    <mergeCell ref="C153:D153"/>
  </mergeCells>
  <pageMargins left="0.7" right="0.7" top="0.75" bottom="0.75" header="0.3" footer="0.3"/>
  <pageSetup scale="57" fitToHeight="0" pageOrder="overThenDown" orientation="landscape" r:id="rId1"/>
  <headerFooter>
    <oddFooter>&amp;L&amp;F - &amp;A&amp;R&amp;P of &amp;N</oddFooter>
  </headerFooter>
  <rowBreaks count="2" manualBreakCount="2">
    <brk id="46" max="16383" man="1"/>
    <brk id="95" max="16383" man="1"/>
  </rowBreaks>
  <colBreaks count="1" manualBreakCount="1">
    <brk id="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showGridLines="0" tabSelected="1" zoomScale="85" zoomScaleNormal="85" workbookViewId="0">
      <selection activeCell="H104" sqref="H104"/>
    </sheetView>
  </sheetViews>
  <sheetFormatPr defaultRowHeight="15"/>
  <cols>
    <col min="1" max="1" width="27.42578125" style="112" customWidth="1"/>
    <col min="2" max="3" width="14" style="120" customWidth="1"/>
    <col min="4" max="4" width="14" style="125" customWidth="1"/>
    <col min="5" max="16384" width="9.140625" style="112"/>
  </cols>
  <sheetData>
    <row r="1" spans="1:10">
      <c r="A1" s="123" t="s">
        <v>433</v>
      </c>
    </row>
    <row r="2" spans="1:10">
      <c r="A2" s="123" t="s">
        <v>434</v>
      </c>
    </row>
    <row r="3" spans="1:10">
      <c r="A3" s="123" t="s">
        <v>676</v>
      </c>
      <c r="B3" s="119"/>
    </row>
    <row r="4" spans="1:10">
      <c r="A4" s="119"/>
    </row>
    <row r="5" spans="1:10">
      <c r="A5" s="117" t="s">
        <v>91</v>
      </c>
    </row>
    <row r="6" spans="1:10" ht="30">
      <c r="A6" s="113"/>
      <c r="B6" s="114" t="s">
        <v>441</v>
      </c>
      <c r="C6" s="114" t="s">
        <v>94</v>
      </c>
      <c r="D6" s="126" t="s">
        <v>476</v>
      </c>
    </row>
    <row r="7" spans="1:10">
      <c r="A7" s="101" t="s">
        <v>97</v>
      </c>
      <c r="B7" s="124"/>
      <c r="C7" s="124"/>
      <c r="D7" s="127"/>
    </row>
    <row r="8" spans="1:10">
      <c r="A8" s="112" t="s">
        <v>98</v>
      </c>
      <c r="B8" s="260">
        <v>6.98</v>
      </c>
      <c r="C8" s="120">
        <f>+ROUND('Gray''s DF Calc'!L44,2)</f>
        <v>0.03</v>
      </c>
      <c r="D8" s="160">
        <f>B8+C8</f>
        <v>7.0100000000000007</v>
      </c>
      <c r="E8" s="159"/>
    </row>
    <row r="9" spans="1:10">
      <c r="D9" s="160"/>
    </row>
    <row r="10" spans="1:10">
      <c r="A10" s="101" t="s">
        <v>453</v>
      </c>
      <c r="B10" s="124"/>
      <c r="C10" s="124"/>
      <c r="D10" s="161"/>
    </row>
    <row r="11" spans="1:10">
      <c r="A11" s="121" t="s">
        <v>452</v>
      </c>
      <c r="D11" s="160"/>
    </row>
    <row r="12" spans="1:10">
      <c r="A12" s="112" t="s">
        <v>99</v>
      </c>
      <c r="B12" s="260">
        <v>13.6</v>
      </c>
      <c r="C12" s="120">
        <f>+ROUND('Gray''s DF Calc'!L9,2)</f>
        <v>0.08</v>
      </c>
      <c r="D12" s="160">
        <f t="shared" ref="D12:D28" si="0">B12+C12</f>
        <v>13.68</v>
      </c>
      <c r="E12" s="159"/>
      <c r="G12" s="122"/>
    </row>
    <row r="13" spans="1:10">
      <c r="A13" s="112" t="s">
        <v>110</v>
      </c>
      <c r="B13" s="260">
        <v>8.5299999999999994</v>
      </c>
      <c r="C13" s="120">
        <f>+ROUND('Gray''s DF Calc'!L11,2)</f>
        <v>0.03</v>
      </c>
      <c r="D13" s="160">
        <f t="shared" si="0"/>
        <v>8.5599999999999987</v>
      </c>
      <c r="E13" s="159"/>
    </row>
    <row r="14" spans="1:10">
      <c r="A14" s="112" t="s">
        <v>100</v>
      </c>
      <c r="B14" s="260">
        <v>18.73</v>
      </c>
      <c r="C14" s="120">
        <f>+ROUND('Gray''s DF Calc'!L13,2)</f>
        <v>0.14000000000000001</v>
      </c>
      <c r="D14" s="160">
        <f t="shared" si="0"/>
        <v>18.87</v>
      </c>
      <c r="E14" s="159"/>
      <c r="F14" s="122"/>
    </row>
    <row r="15" spans="1:10">
      <c r="A15" s="112" t="s">
        <v>101</v>
      </c>
      <c r="B15" s="260">
        <v>27.72</v>
      </c>
      <c r="C15" s="120">
        <f>+ROUND('Gray''s DF Calc'!L15,2)</f>
        <v>0.22</v>
      </c>
      <c r="D15" s="160">
        <f t="shared" si="0"/>
        <v>27.939999999999998</v>
      </c>
      <c r="E15" s="159"/>
      <c r="J15" s="122"/>
    </row>
    <row r="16" spans="1:10">
      <c r="A16" s="112" t="s">
        <v>102</v>
      </c>
      <c r="B16" s="260">
        <v>36.979999999999997</v>
      </c>
      <c r="C16" s="120">
        <f>+ROUND('Gray''s DF Calc'!L17,2)</f>
        <v>0.33</v>
      </c>
      <c r="D16" s="160">
        <f t="shared" si="0"/>
        <v>37.309999999999995</v>
      </c>
      <c r="E16" s="159"/>
      <c r="J16" s="122"/>
    </row>
    <row r="17" spans="1:10">
      <c r="A17" s="112" t="s">
        <v>103</v>
      </c>
      <c r="B17" s="260">
        <v>45.89</v>
      </c>
      <c r="C17" s="120">
        <f>+ROUND('Gray''s DF Calc'!L19,2)</f>
        <v>0.41</v>
      </c>
      <c r="D17" s="160">
        <f t="shared" si="0"/>
        <v>46.3</v>
      </c>
      <c r="E17" s="159"/>
      <c r="J17" s="122"/>
    </row>
    <row r="18" spans="1:10">
      <c r="A18" s="115" t="s">
        <v>104</v>
      </c>
      <c r="B18" s="116">
        <v>54.84</v>
      </c>
      <c r="C18" s="116">
        <f>+ROUND('Gray''s DF Calc'!L139,2)</f>
        <v>0.49</v>
      </c>
      <c r="D18" s="162">
        <f t="shared" si="0"/>
        <v>55.330000000000005</v>
      </c>
      <c r="E18" s="159"/>
    </row>
    <row r="19" spans="1:10">
      <c r="A19" s="112" t="s">
        <v>107</v>
      </c>
      <c r="B19" s="260">
        <v>13.9</v>
      </c>
      <c r="C19" s="120">
        <f>+ROUND('Gray''s DF Calc'!L20,2)</f>
        <v>7.0000000000000007E-2</v>
      </c>
      <c r="D19" s="160">
        <f t="shared" si="0"/>
        <v>13.97</v>
      </c>
      <c r="E19" s="159"/>
    </row>
    <row r="20" spans="1:10">
      <c r="A20" s="112" t="s">
        <v>668</v>
      </c>
      <c r="B20" s="260">
        <v>9.17</v>
      </c>
      <c r="C20" s="120">
        <f>+'Gray''s DF Calc'!L131</f>
        <v>3.6113488459975564E-2</v>
      </c>
      <c r="D20" s="160">
        <f t="shared" si="0"/>
        <v>9.2061134884599749</v>
      </c>
      <c r="E20" s="159"/>
    </row>
    <row r="21" spans="1:10">
      <c r="A21" s="112" t="s">
        <v>669</v>
      </c>
      <c r="B21" s="260">
        <v>14.73</v>
      </c>
      <c r="C21" s="120">
        <f>+'Gray''s DF Calc'!L135</f>
        <v>7.8245891663280387E-2</v>
      </c>
      <c r="D21" s="160">
        <f t="shared" si="0"/>
        <v>14.808245891663281</v>
      </c>
      <c r="E21" s="159"/>
    </row>
    <row r="22" spans="1:10">
      <c r="A22" s="112" t="s">
        <v>670</v>
      </c>
      <c r="B22" s="260">
        <v>19.88</v>
      </c>
      <c r="C22" s="120">
        <f>+'Gray''s DF Calc'!L133</f>
        <v>0.15649178332656077</v>
      </c>
      <c r="D22" s="160">
        <f t="shared" si="0"/>
        <v>20.036491783326561</v>
      </c>
      <c r="E22" s="159"/>
    </row>
    <row r="23" spans="1:10">
      <c r="A23" s="112" t="s">
        <v>111</v>
      </c>
      <c r="B23" s="260">
        <v>11.78</v>
      </c>
      <c r="C23" s="120">
        <f>+ROUND('Gray''s DF Calc'!L23,2)</f>
        <v>0.05</v>
      </c>
      <c r="D23" s="160">
        <f t="shared" si="0"/>
        <v>11.83</v>
      </c>
      <c r="E23" s="159"/>
    </row>
    <row r="24" spans="1:10">
      <c r="A24" s="112" t="s">
        <v>108</v>
      </c>
      <c r="B24" s="260">
        <v>18.899999999999999</v>
      </c>
      <c r="C24" s="120">
        <f>+ROUND('Gray''s DF Calc'!L31,2)</f>
        <v>0.1</v>
      </c>
      <c r="D24" s="160">
        <f t="shared" si="0"/>
        <v>19</v>
      </c>
      <c r="E24" s="159"/>
    </row>
    <row r="25" spans="1:10">
      <c r="A25" s="112" t="s">
        <v>105</v>
      </c>
      <c r="B25" s="260">
        <v>28.29</v>
      </c>
      <c r="C25" s="120">
        <f>+ROUND('Gray''s DF Calc'!L27,2)</f>
        <v>0.2</v>
      </c>
      <c r="D25" s="160">
        <f t="shared" si="0"/>
        <v>28.49</v>
      </c>
      <c r="E25" s="159"/>
    </row>
    <row r="26" spans="1:10">
      <c r="A26" s="112" t="s">
        <v>112</v>
      </c>
      <c r="B26" s="260">
        <v>15.09</v>
      </c>
      <c r="C26" s="120">
        <f>+ROUND('Gray''s DF Calc'!L34,2)</f>
        <v>7.0000000000000007E-2</v>
      </c>
      <c r="D26" s="160">
        <f t="shared" si="0"/>
        <v>15.16</v>
      </c>
      <c r="E26" s="159"/>
    </row>
    <row r="27" spans="1:10">
      <c r="A27" s="112" t="s">
        <v>109</v>
      </c>
      <c r="B27" s="260">
        <v>24.01</v>
      </c>
      <c r="C27" s="120">
        <f>+ROUND('Gray''s DF Calc'!L40,2)</f>
        <v>0.14000000000000001</v>
      </c>
      <c r="D27" s="160">
        <f t="shared" si="0"/>
        <v>24.150000000000002</v>
      </c>
      <c r="E27" s="159"/>
    </row>
    <row r="28" spans="1:10">
      <c r="A28" s="112" t="s">
        <v>106</v>
      </c>
      <c r="B28" s="260">
        <v>38.28</v>
      </c>
      <c r="C28" s="120">
        <f>+ROUND('Gray''s DF Calc'!L37,2)</f>
        <v>0.28999999999999998</v>
      </c>
      <c r="D28" s="160">
        <f t="shared" si="0"/>
        <v>38.57</v>
      </c>
      <c r="E28" s="159"/>
    </row>
    <row r="29" spans="1:10">
      <c r="D29" s="160"/>
    </row>
    <row r="30" spans="1:10">
      <c r="A30" s="121" t="s">
        <v>451</v>
      </c>
      <c r="D30" s="160"/>
    </row>
    <row r="31" spans="1:10">
      <c r="A31" s="112" t="s">
        <v>99</v>
      </c>
      <c r="B31" s="260">
        <f>B12-2</f>
        <v>11.6</v>
      </c>
      <c r="C31" s="120">
        <f>+ROUND('Gray''s DF Calc'!L7,2)</f>
        <v>0.08</v>
      </c>
      <c r="D31" s="160">
        <f t="shared" ref="D31:D100" si="1">B31+C31</f>
        <v>11.68</v>
      </c>
      <c r="E31" s="159"/>
    </row>
    <row r="32" spans="1:10">
      <c r="A32" s="112" t="s">
        <v>110</v>
      </c>
      <c r="B32" s="260">
        <f t="shared" ref="B32:B37" si="2">B13-2</f>
        <v>6.5299999999999994</v>
      </c>
      <c r="C32" s="120">
        <f>+ROUND('Gray''s DF Calc'!L10,2)</f>
        <v>0.03</v>
      </c>
      <c r="D32" s="160">
        <f>B32+C32</f>
        <v>6.56</v>
      </c>
      <c r="E32" s="159"/>
    </row>
    <row r="33" spans="1:10">
      <c r="A33" s="112" t="s">
        <v>100</v>
      </c>
      <c r="B33" s="260">
        <f t="shared" si="2"/>
        <v>16.73</v>
      </c>
      <c r="C33" s="120">
        <f>+ROUND('Gray''s DF Calc'!L14,2)</f>
        <v>0.14000000000000001</v>
      </c>
      <c r="D33" s="160">
        <f t="shared" si="1"/>
        <v>16.87</v>
      </c>
      <c r="E33" s="159"/>
      <c r="F33" s="122"/>
    </row>
    <row r="34" spans="1:10">
      <c r="A34" s="112" t="s">
        <v>101</v>
      </c>
      <c r="B34" s="260">
        <f t="shared" si="2"/>
        <v>25.72</v>
      </c>
      <c r="C34" s="120">
        <f>+ROUND('Gray''s DF Calc'!L16,2)</f>
        <v>0.22</v>
      </c>
      <c r="D34" s="160">
        <f t="shared" si="1"/>
        <v>25.939999999999998</v>
      </c>
      <c r="E34" s="159"/>
      <c r="J34" s="122"/>
    </row>
    <row r="35" spans="1:10">
      <c r="A35" s="112" t="s">
        <v>102</v>
      </c>
      <c r="B35" s="260">
        <f t="shared" si="2"/>
        <v>34.979999999999997</v>
      </c>
      <c r="C35" s="120">
        <f>+ROUND('Gray''s DF Calc'!L18,2)</f>
        <v>0.33</v>
      </c>
      <c r="D35" s="160">
        <f t="shared" si="1"/>
        <v>35.309999999999995</v>
      </c>
      <c r="E35" s="159"/>
      <c r="J35" s="122"/>
    </row>
    <row r="36" spans="1:10">
      <c r="A36" s="115" t="s">
        <v>103</v>
      </c>
      <c r="B36" s="116">
        <f t="shared" si="2"/>
        <v>43.89</v>
      </c>
      <c r="C36" s="116">
        <f>+ROUND('Gray''s DF Calc'!L137,2)</f>
        <v>0.41</v>
      </c>
      <c r="D36" s="162">
        <f t="shared" si="1"/>
        <v>44.3</v>
      </c>
      <c r="E36" s="159"/>
      <c r="J36" s="122"/>
    </row>
    <row r="37" spans="1:10">
      <c r="A37" s="115" t="s">
        <v>104</v>
      </c>
      <c r="B37" s="116">
        <f t="shared" si="2"/>
        <v>52.84</v>
      </c>
      <c r="C37" s="116">
        <f>+ROUND('Gray''s DF Calc'!L138,2)</f>
        <v>0.49</v>
      </c>
      <c r="D37" s="162">
        <f t="shared" si="1"/>
        <v>53.330000000000005</v>
      </c>
      <c r="E37" s="159"/>
    </row>
    <row r="38" spans="1:10">
      <c r="A38" s="112" t="s">
        <v>107</v>
      </c>
      <c r="B38" s="260">
        <f>B19-2</f>
        <v>11.9</v>
      </c>
      <c r="C38" s="120">
        <f>+ROUND('Gray''s DF Calc'!L21,2)</f>
        <v>7.0000000000000007E-2</v>
      </c>
      <c r="D38" s="160">
        <f t="shared" ref="D38:D43" si="3">B38+C38</f>
        <v>11.97</v>
      </c>
      <c r="E38" s="159"/>
    </row>
    <row r="39" spans="1:10">
      <c r="A39" s="112" t="s">
        <v>668</v>
      </c>
      <c r="B39" s="260">
        <f>B20-2</f>
        <v>7.17</v>
      </c>
      <c r="C39" s="120">
        <f>+'Gray''s DF Calc'!L132</f>
        <v>3.6113488459975564E-2</v>
      </c>
      <c r="D39" s="160">
        <f t="shared" si="3"/>
        <v>7.2061134884599758</v>
      </c>
      <c r="E39" s="159"/>
    </row>
    <row r="40" spans="1:10">
      <c r="A40" s="112" t="s">
        <v>669</v>
      </c>
      <c r="B40" s="260">
        <f t="shared" ref="B40:B47" si="4">B21-2</f>
        <v>12.73</v>
      </c>
      <c r="C40" s="120">
        <f>+'Gray''s DF Calc'!L136</f>
        <v>7.8245891663280387E-2</v>
      </c>
      <c r="D40" s="160">
        <f t="shared" si="3"/>
        <v>12.808245891663281</v>
      </c>
      <c r="E40" s="159"/>
    </row>
    <row r="41" spans="1:10">
      <c r="A41" s="112" t="s">
        <v>670</v>
      </c>
      <c r="B41" s="260">
        <f t="shared" si="4"/>
        <v>17.88</v>
      </c>
      <c r="C41" s="120">
        <f>+'Gray''s DF Calc'!L134</f>
        <v>0.15649178332656077</v>
      </c>
      <c r="D41" s="160">
        <f t="shared" si="3"/>
        <v>18.036491783326561</v>
      </c>
      <c r="E41" s="159"/>
    </row>
    <row r="42" spans="1:10">
      <c r="A42" s="112" t="s">
        <v>111</v>
      </c>
      <c r="B42" s="260">
        <f t="shared" si="4"/>
        <v>9.7799999999999994</v>
      </c>
      <c r="C42" s="120">
        <f>+ROUND('Gray''s DF Calc'!L22,2)</f>
        <v>0.05</v>
      </c>
      <c r="D42" s="160">
        <f t="shared" si="3"/>
        <v>9.83</v>
      </c>
      <c r="E42" s="159"/>
    </row>
    <row r="43" spans="1:10">
      <c r="A43" s="112" t="s">
        <v>108</v>
      </c>
      <c r="B43" s="260">
        <f t="shared" si="4"/>
        <v>16.899999999999999</v>
      </c>
      <c r="C43" s="120">
        <f>+ROUND('Gray''s DF Calc'!L30,2)</f>
        <v>0.1</v>
      </c>
      <c r="D43" s="160">
        <f t="shared" si="3"/>
        <v>17</v>
      </c>
      <c r="E43" s="159"/>
    </row>
    <row r="44" spans="1:10">
      <c r="A44" s="112" t="s">
        <v>105</v>
      </c>
      <c r="B44" s="260">
        <f t="shared" si="4"/>
        <v>26.29</v>
      </c>
      <c r="C44" s="120">
        <f>+ROUND('Gray''s DF Calc'!L26,2)</f>
        <v>0.2</v>
      </c>
      <c r="D44" s="160">
        <f t="shared" si="1"/>
        <v>26.49</v>
      </c>
      <c r="E44" s="159"/>
    </row>
    <row r="45" spans="1:10">
      <c r="A45" s="112" t="s">
        <v>112</v>
      </c>
      <c r="B45" s="260">
        <f t="shared" si="4"/>
        <v>13.09</v>
      </c>
      <c r="C45" s="120">
        <f>+ROUND('Gray''s DF Calc'!L33,2)</f>
        <v>7.0000000000000007E-2</v>
      </c>
      <c r="D45" s="160">
        <f>B45+C45</f>
        <v>13.16</v>
      </c>
      <c r="E45" s="159"/>
    </row>
    <row r="46" spans="1:10">
      <c r="A46" s="112" t="s">
        <v>109</v>
      </c>
      <c r="B46" s="260">
        <f t="shared" si="4"/>
        <v>22.01</v>
      </c>
      <c r="C46" s="120">
        <f>+ROUND('Gray''s DF Calc'!L39,2)</f>
        <v>0.14000000000000001</v>
      </c>
      <c r="D46" s="160">
        <f>B46+C46</f>
        <v>22.150000000000002</v>
      </c>
      <c r="E46" s="159"/>
    </row>
    <row r="47" spans="1:10">
      <c r="A47" s="112" t="s">
        <v>106</v>
      </c>
      <c r="B47" s="260">
        <f t="shared" si="4"/>
        <v>36.28</v>
      </c>
      <c r="C47" s="120">
        <f>+ROUND('Gray''s DF Calc'!L36,2)</f>
        <v>0.28999999999999998</v>
      </c>
      <c r="D47" s="160">
        <f t="shared" si="1"/>
        <v>36.57</v>
      </c>
      <c r="E47" s="159"/>
    </row>
    <row r="48" spans="1:10">
      <c r="D48" s="160"/>
    </row>
    <row r="49" spans="1:5">
      <c r="A49" s="101" t="s">
        <v>113</v>
      </c>
      <c r="B49" s="124"/>
      <c r="C49" s="124"/>
      <c r="D49" s="161"/>
    </row>
    <row r="50" spans="1:5">
      <c r="A50" s="112" t="s">
        <v>114</v>
      </c>
      <c r="B50" s="260">
        <v>4.71</v>
      </c>
      <c r="C50" s="120">
        <f>+'Gray''s DF Calc'!L43</f>
        <v>3.3185367774031596E-2</v>
      </c>
      <c r="D50" s="160">
        <f t="shared" si="1"/>
        <v>4.7431853677740312</v>
      </c>
      <c r="E50" s="159"/>
    </row>
    <row r="51" spans="1:5">
      <c r="A51" s="112" t="s">
        <v>115</v>
      </c>
      <c r="B51" s="260">
        <v>9.2200000000000006</v>
      </c>
      <c r="C51" s="46">
        <f>+ROUND('Gray''s DF Calc'!L48,2)</f>
        <v>0.05</v>
      </c>
      <c r="D51" s="160">
        <f t="shared" si="1"/>
        <v>9.2700000000000014</v>
      </c>
      <c r="E51" s="159"/>
    </row>
    <row r="52" spans="1:5">
      <c r="A52" s="112" t="s">
        <v>116</v>
      </c>
      <c r="B52" s="260">
        <v>13.81</v>
      </c>
      <c r="C52" s="46">
        <f>+ROUND('Gray''s DF Calc'!L49,2)</f>
        <v>7.0000000000000007E-2</v>
      </c>
      <c r="D52" s="160">
        <f t="shared" si="1"/>
        <v>13.88</v>
      </c>
      <c r="E52" s="159"/>
    </row>
    <row r="53" spans="1:5">
      <c r="A53" s="115" t="s">
        <v>96</v>
      </c>
      <c r="B53" s="116">
        <v>5.26</v>
      </c>
      <c r="C53" s="116">
        <f>+ROUND('Gray''s DF Calc'!L140,2)</f>
        <v>0.03</v>
      </c>
      <c r="D53" s="162">
        <f t="shared" si="1"/>
        <v>5.29</v>
      </c>
      <c r="E53" s="159"/>
    </row>
    <row r="54" spans="1:5">
      <c r="A54" s="112" t="s">
        <v>117</v>
      </c>
      <c r="B54" s="260">
        <v>7.52</v>
      </c>
      <c r="C54" s="120">
        <f>+ROUND('Gray''s DF Calc'!L42,2)</f>
        <v>0.03</v>
      </c>
      <c r="D54" s="160">
        <f t="shared" si="1"/>
        <v>7.55</v>
      </c>
      <c r="E54" s="159"/>
    </row>
    <row r="55" spans="1:5">
      <c r="D55" s="160"/>
    </row>
    <row r="56" spans="1:5">
      <c r="A56" s="101" t="s">
        <v>118</v>
      </c>
      <c r="B56" s="124"/>
      <c r="C56" s="124"/>
      <c r="D56" s="161"/>
    </row>
    <row r="57" spans="1:5">
      <c r="A57" s="112" t="s">
        <v>119</v>
      </c>
      <c r="B57" s="260">
        <v>13.83</v>
      </c>
      <c r="C57" s="120">
        <f>+ROUND('Gray''s DF Calc'!L122,2)</f>
        <v>0.12</v>
      </c>
      <c r="D57" s="160">
        <f t="shared" si="1"/>
        <v>13.95</v>
      </c>
      <c r="E57" s="159"/>
    </row>
    <row r="58" spans="1:5">
      <c r="A58" s="115" t="s">
        <v>120</v>
      </c>
      <c r="B58" s="116">
        <v>9.81</v>
      </c>
      <c r="C58" s="116">
        <f>+ROUND('Gray''s DF Calc'!L141,2)</f>
        <v>0.12</v>
      </c>
      <c r="D58" s="162">
        <f t="shared" si="1"/>
        <v>9.93</v>
      </c>
      <c r="E58" s="159"/>
    </row>
    <row r="59" spans="1:5">
      <c r="A59" s="115" t="s">
        <v>121</v>
      </c>
      <c r="B59" s="116">
        <v>13.83</v>
      </c>
      <c r="C59" s="116">
        <f>+ROUND('Gray''s DF Calc'!L142,2)</f>
        <v>0.12</v>
      </c>
      <c r="D59" s="162">
        <f t="shared" si="1"/>
        <v>13.95</v>
      </c>
      <c r="E59" s="159"/>
    </row>
    <row r="60" spans="1:5">
      <c r="A60" s="112" t="s">
        <v>122</v>
      </c>
      <c r="B60" s="260">
        <v>24.87</v>
      </c>
      <c r="C60" s="120">
        <f>+ROUND('Gray''s DF Calc'!L45,2)</f>
        <v>0.12</v>
      </c>
      <c r="D60" s="160">
        <f t="shared" si="1"/>
        <v>24.990000000000002</v>
      </c>
      <c r="E60" s="159"/>
    </row>
    <row r="61" spans="1:5">
      <c r="A61" s="115" t="s">
        <v>123</v>
      </c>
      <c r="B61" s="116">
        <v>18.18</v>
      </c>
      <c r="C61" s="116">
        <f>+ROUND('Gray''s DF Calc'!L143,2)</f>
        <v>0.12</v>
      </c>
      <c r="D61" s="162">
        <f t="shared" si="1"/>
        <v>18.3</v>
      </c>
      <c r="E61" s="159"/>
    </row>
    <row r="62" spans="1:5">
      <c r="A62" s="115" t="s">
        <v>124</v>
      </c>
      <c r="B62" s="116">
        <v>24.87</v>
      </c>
      <c r="C62" s="116">
        <f>+ROUND('Gray''s DF Calc'!L144,2)</f>
        <v>0.12</v>
      </c>
      <c r="D62" s="162">
        <f t="shared" si="1"/>
        <v>24.990000000000002</v>
      </c>
      <c r="E62" s="159"/>
    </row>
    <row r="63" spans="1:5">
      <c r="D63" s="160"/>
      <c r="E63" s="159"/>
    </row>
    <row r="64" spans="1:5">
      <c r="A64" s="101" t="s">
        <v>125</v>
      </c>
      <c r="B64" s="124"/>
      <c r="C64" s="124"/>
      <c r="D64" s="161"/>
      <c r="E64" s="159"/>
    </row>
    <row r="65" spans="1:5">
      <c r="A65" s="115" t="s">
        <v>126</v>
      </c>
      <c r="B65" s="116">
        <v>0.13</v>
      </c>
      <c r="C65" s="118">
        <f>+ROUND(References!B59/References!G20,2)</f>
        <v>0</v>
      </c>
      <c r="D65" s="162">
        <f t="shared" si="1"/>
        <v>0.13</v>
      </c>
      <c r="E65" s="159"/>
    </row>
    <row r="66" spans="1:5">
      <c r="D66" s="160"/>
    </row>
    <row r="67" spans="1:5">
      <c r="A67" s="101" t="s">
        <v>127</v>
      </c>
      <c r="B67" s="124"/>
      <c r="C67" s="124"/>
      <c r="D67" s="161"/>
    </row>
    <row r="68" spans="1:5">
      <c r="A68" s="112" t="s">
        <v>477</v>
      </c>
      <c r="B68" s="260">
        <v>104.85</v>
      </c>
      <c r="C68" s="120">
        <f>+ROUND(References!B55,2)</f>
        <v>1.92</v>
      </c>
      <c r="D68" s="160">
        <f t="shared" si="1"/>
        <v>106.77</v>
      </c>
      <c r="E68" s="159"/>
    </row>
    <row r="69" spans="1:5">
      <c r="A69" s="112" t="s">
        <v>481</v>
      </c>
      <c r="B69" s="260">
        <v>10.48</v>
      </c>
      <c r="C69" s="120">
        <f>+ROUND(D69-B69,2)</f>
        <v>0</v>
      </c>
      <c r="D69" s="160">
        <v>10.48</v>
      </c>
      <c r="E69" s="159"/>
    </row>
    <row r="70" spans="1:5">
      <c r="A70" s="112" t="s">
        <v>482</v>
      </c>
      <c r="B70" s="260">
        <v>33.24</v>
      </c>
      <c r="C70" s="120">
        <f>+ROUND(D70-B70,2)</f>
        <v>0</v>
      </c>
      <c r="D70" s="160">
        <v>33.24</v>
      </c>
      <c r="E70" s="159"/>
    </row>
    <row r="71" spans="1:5">
      <c r="A71" s="112" t="s">
        <v>478</v>
      </c>
      <c r="B71" s="260">
        <v>2.77</v>
      </c>
      <c r="C71" s="120">
        <f>+ROUND(D71-B71,2)</f>
        <v>0</v>
      </c>
      <c r="D71" s="160">
        <v>2.77</v>
      </c>
      <c r="E71" s="159"/>
    </row>
    <row r="72" spans="1:5">
      <c r="A72" s="112" t="s">
        <v>479</v>
      </c>
      <c r="B72" s="260">
        <v>11.64</v>
      </c>
      <c r="C72" s="120">
        <f>+ROUND(D72-B72,2)</f>
        <v>0</v>
      </c>
      <c r="D72" s="160">
        <v>11.64</v>
      </c>
      <c r="E72" s="159"/>
    </row>
    <row r="73" spans="1:5">
      <c r="A73" s="112" t="s">
        <v>480</v>
      </c>
      <c r="B73" s="260">
        <v>1.67</v>
      </c>
      <c r="C73" s="120">
        <f>+ROUND(D73-B73,2)</f>
        <v>0</v>
      </c>
      <c r="D73" s="160">
        <v>1.67</v>
      </c>
      <c r="E73" s="159"/>
    </row>
    <row r="74" spans="1:5">
      <c r="D74" s="160"/>
    </row>
    <row r="75" spans="1:5">
      <c r="A75" s="101" t="s">
        <v>128</v>
      </c>
      <c r="B75" s="124"/>
      <c r="C75" s="124"/>
      <c r="D75" s="161"/>
    </row>
    <row r="76" spans="1:5">
      <c r="A76" s="112" t="s">
        <v>129</v>
      </c>
      <c r="B76" s="260">
        <v>34.57</v>
      </c>
      <c r="C76" s="120">
        <f>+ROUND('Gray''s DF Calc'!L52,2)</f>
        <v>0.17</v>
      </c>
      <c r="D76" s="160">
        <f t="shared" si="1"/>
        <v>34.74</v>
      </c>
      <c r="E76" s="159"/>
    </row>
    <row r="77" spans="1:5">
      <c r="A77" s="112" t="s">
        <v>130</v>
      </c>
      <c r="B77" s="260">
        <v>48.8</v>
      </c>
      <c r="C77" s="120">
        <f>+ROUND('Gray''s DF Calc'!L59,2)</f>
        <v>0.24</v>
      </c>
      <c r="D77" s="160">
        <f t="shared" si="1"/>
        <v>49.04</v>
      </c>
      <c r="E77" s="159"/>
    </row>
    <row r="78" spans="1:5">
      <c r="A78" s="112" t="s">
        <v>131</v>
      </c>
      <c r="B78" s="260">
        <v>59.52</v>
      </c>
      <c r="C78" s="120">
        <f>+ROUND('Gray''s DF Calc'!L65,2)</f>
        <v>0.32</v>
      </c>
      <c r="D78" s="160">
        <f t="shared" si="1"/>
        <v>59.84</v>
      </c>
      <c r="E78" s="159"/>
    </row>
    <row r="79" spans="1:5">
      <c r="A79" s="112" t="s">
        <v>132</v>
      </c>
      <c r="B79" s="260">
        <v>80.45</v>
      </c>
      <c r="C79" s="120">
        <f>+ROUND('Gray''s DF Calc'!L71,2)</f>
        <v>0.46</v>
      </c>
      <c r="D79" s="160">
        <f t="shared" si="1"/>
        <v>80.91</v>
      </c>
      <c r="E79" s="159"/>
    </row>
    <row r="80" spans="1:5">
      <c r="A80" s="112" t="s">
        <v>133</v>
      </c>
      <c r="B80" s="260">
        <v>99.91</v>
      </c>
      <c r="C80" s="120">
        <f>+ROUND('Gray''s DF Calc'!L77,2)</f>
        <v>0.6</v>
      </c>
      <c r="D80" s="160">
        <f t="shared" si="1"/>
        <v>100.50999999999999</v>
      </c>
      <c r="E80" s="159"/>
    </row>
    <row r="81" spans="1:9">
      <c r="A81" s="112" t="s">
        <v>134</v>
      </c>
      <c r="B81" s="260">
        <v>153.25</v>
      </c>
      <c r="C81" s="120">
        <f>+ROUND('Gray''s DF Calc'!L83,2)</f>
        <v>0.82</v>
      </c>
      <c r="D81" s="160">
        <f t="shared" si="1"/>
        <v>154.07</v>
      </c>
      <c r="E81" s="159"/>
    </row>
    <row r="82" spans="1:9">
      <c r="A82" s="112" t="s">
        <v>135</v>
      </c>
      <c r="B82" s="260">
        <v>185.23</v>
      </c>
      <c r="C82" s="120">
        <f>+ROUND('Gray''s DF Calc'!L89,2)</f>
        <v>0.96</v>
      </c>
      <c r="D82" s="160">
        <f t="shared" si="1"/>
        <v>186.19</v>
      </c>
      <c r="E82" s="159"/>
    </row>
    <row r="83" spans="1:9">
      <c r="D83" s="160"/>
      <c r="E83" s="159"/>
    </row>
    <row r="84" spans="1:9">
      <c r="A84" s="112" t="s">
        <v>136</v>
      </c>
      <c r="B84" s="260">
        <v>20.22</v>
      </c>
      <c r="C84" s="120">
        <f>+ROUND('Gray''s DF Calc'!L53,2)</f>
        <v>0.17</v>
      </c>
      <c r="D84" s="160">
        <f t="shared" si="1"/>
        <v>20.39</v>
      </c>
      <c r="E84" s="159"/>
    </row>
    <row r="85" spans="1:9">
      <c r="A85" s="112" t="s">
        <v>137</v>
      </c>
      <c r="B85" s="260">
        <v>27.82</v>
      </c>
      <c r="C85" s="120">
        <f>+ROUND('Gray''s DF Calc'!L60,2)</f>
        <v>0.24</v>
      </c>
      <c r="D85" s="160">
        <f t="shared" si="1"/>
        <v>28.06</v>
      </c>
      <c r="E85" s="159"/>
    </row>
    <row r="86" spans="1:9">
      <c r="A86" s="112" t="s">
        <v>138</v>
      </c>
      <c r="B86" s="260">
        <v>37.159999999999997</v>
      </c>
      <c r="C86" s="120">
        <f>+ROUND('Gray''s DF Calc'!L66,2)</f>
        <v>0.32</v>
      </c>
      <c r="D86" s="160">
        <f t="shared" si="1"/>
        <v>37.479999999999997</v>
      </c>
      <c r="E86" s="159"/>
    </row>
    <row r="87" spans="1:9">
      <c r="A87" s="112" t="s">
        <v>139</v>
      </c>
      <c r="B87" s="260">
        <v>53.67</v>
      </c>
      <c r="C87" s="120">
        <f>+ROUND('Gray''s DF Calc'!L72,2)</f>
        <v>0.46</v>
      </c>
      <c r="D87" s="160">
        <f t="shared" si="1"/>
        <v>54.13</v>
      </c>
      <c r="E87" s="159"/>
    </row>
    <row r="88" spans="1:9">
      <c r="A88" s="112" t="s">
        <v>140</v>
      </c>
      <c r="B88" s="260">
        <v>67.16</v>
      </c>
      <c r="C88" s="120">
        <f>+ROUND('Gray''s DF Calc'!L78,2)</f>
        <v>0.6</v>
      </c>
      <c r="D88" s="160">
        <f t="shared" si="1"/>
        <v>67.759999999999991</v>
      </c>
      <c r="E88" s="159"/>
      <c r="F88" s="122"/>
      <c r="I88" s="122"/>
    </row>
    <row r="89" spans="1:9">
      <c r="A89" s="112" t="s">
        <v>141</v>
      </c>
      <c r="B89" s="260">
        <v>94.48</v>
      </c>
      <c r="C89" s="120">
        <f>+ROUND('Gray''s DF Calc'!L84,2)</f>
        <v>0.82</v>
      </c>
      <c r="D89" s="160">
        <f t="shared" si="1"/>
        <v>95.3</v>
      </c>
      <c r="E89" s="159"/>
      <c r="F89" s="122"/>
    </row>
    <row r="90" spans="1:9">
      <c r="A90" s="112" t="s">
        <v>142</v>
      </c>
      <c r="B90" s="260">
        <v>116</v>
      </c>
      <c r="C90" s="120">
        <f>+ROUND('Gray''s DF Calc'!L90,2)</f>
        <v>0.96</v>
      </c>
      <c r="D90" s="160">
        <f t="shared" si="1"/>
        <v>116.96</v>
      </c>
      <c r="E90" s="159"/>
    </row>
    <row r="91" spans="1:9">
      <c r="D91" s="160"/>
      <c r="E91" s="159"/>
    </row>
    <row r="92" spans="1:9">
      <c r="A92" s="112" t="s">
        <v>143</v>
      </c>
      <c r="B92" s="260">
        <v>30.4</v>
      </c>
      <c r="C92" s="120">
        <f>+ROUND('Gray''s DF Calc'!L114,2)</f>
        <v>0.17</v>
      </c>
      <c r="D92" s="160">
        <f t="shared" si="1"/>
        <v>30.57</v>
      </c>
      <c r="E92" s="159"/>
    </row>
    <row r="93" spans="1:9">
      <c r="A93" s="112" t="s">
        <v>144</v>
      </c>
      <c r="B93" s="260">
        <v>43.09</v>
      </c>
      <c r="C93" s="120">
        <f>+ROUND('Gray''s DF Calc'!L115,2)</f>
        <v>0.24</v>
      </c>
      <c r="D93" s="160">
        <f t="shared" si="1"/>
        <v>43.330000000000005</v>
      </c>
      <c r="E93" s="159"/>
    </row>
    <row r="94" spans="1:9">
      <c r="A94" s="112" t="s">
        <v>145</v>
      </c>
      <c r="B94" s="260">
        <v>55.45</v>
      </c>
      <c r="C94" s="120">
        <f>+ROUND('Gray''s DF Calc'!L116,2)</f>
        <v>0.32</v>
      </c>
      <c r="D94" s="160">
        <f t="shared" si="1"/>
        <v>55.77</v>
      </c>
      <c r="E94" s="159"/>
    </row>
    <row r="95" spans="1:9">
      <c r="A95" s="112" t="s">
        <v>146</v>
      </c>
      <c r="B95" s="260">
        <v>74.73</v>
      </c>
      <c r="C95" s="120">
        <f>+ROUND('Gray''s DF Calc'!L117,2)</f>
        <v>0.46</v>
      </c>
      <c r="D95" s="160">
        <f t="shared" si="1"/>
        <v>75.19</v>
      </c>
      <c r="E95" s="159"/>
    </row>
    <row r="96" spans="1:9">
      <c r="A96" s="112" t="s">
        <v>147</v>
      </c>
      <c r="B96" s="260">
        <v>98.38</v>
      </c>
      <c r="C96" s="120">
        <f>+ROUND('Gray''s DF Calc'!L118,2)</f>
        <v>0.6</v>
      </c>
      <c r="D96" s="160">
        <f t="shared" si="1"/>
        <v>98.97999999999999</v>
      </c>
      <c r="E96" s="159"/>
    </row>
    <row r="97" spans="1:7">
      <c r="A97" s="112" t="s">
        <v>148</v>
      </c>
      <c r="B97" s="260">
        <v>128.22</v>
      </c>
      <c r="C97" s="120">
        <f>+ROUND('Gray''s DF Calc'!L119,2)</f>
        <v>0.82</v>
      </c>
      <c r="D97" s="160">
        <f t="shared" si="1"/>
        <v>129.04</v>
      </c>
      <c r="E97" s="159"/>
    </row>
    <row r="98" spans="1:7">
      <c r="A98" s="112" t="s">
        <v>149</v>
      </c>
      <c r="B98" s="260">
        <v>168.18</v>
      </c>
      <c r="C98" s="120">
        <f>+ROUND('Gray''s DF Calc'!L147,2)</f>
        <v>0.96</v>
      </c>
      <c r="D98" s="160">
        <f t="shared" si="1"/>
        <v>169.14000000000001</v>
      </c>
      <c r="E98" s="159"/>
    </row>
    <row r="99" spans="1:7">
      <c r="D99" s="160"/>
      <c r="E99" s="159"/>
    </row>
    <row r="100" spans="1:7">
      <c r="A100" s="112" t="s">
        <v>150</v>
      </c>
      <c r="B100" s="260">
        <f>B92</f>
        <v>30.4</v>
      </c>
      <c r="C100" s="120">
        <f>+ROUND('Gray''s DF Calc'!L110,2)</f>
        <v>0.17</v>
      </c>
      <c r="D100" s="160">
        <f t="shared" si="1"/>
        <v>30.57</v>
      </c>
      <c r="E100" s="159"/>
    </row>
    <row r="101" spans="1:7">
      <c r="A101" s="112" t="s">
        <v>151</v>
      </c>
      <c r="B101" s="260">
        <f t="shared" ref="B101:B106" si="5">B93</f>
        <v>43.09</v>
      </c>
      <c r="C101" s="120">
        <f>+ROUND('Gray''s DF Calc'!L111,2)</f>
        <v>0.24</v>
      </c>
      <c r="D101" s="160">
        <f t="shared" ref="D101:D124" si="6">B101+C101</f>
        <v>43.330000000000005</v>
      </c>
      <c r="E101" s="159"/>
    </row>
    <row r="102" spans="1:7">
      <c r="A102" s="112" t="s">
        <v>152</v>
      </c>
      <c r="B102" s="260">
        <f t="shared" si="5"/>
        <v>55.45</v>
      </c>
      <c r="C102" s="120">
        <f>+ROUND('Gray''s DF Calc'!L112,2)</f>
        <v>0.32</v>
      </c>
      <c r="D102" s="160">
        <f t="shared" si="6"/>
        <v>55.77</v>
      </c>
      <c r="E102" s="159"/>
    </row>
    <row r="103" spans="1:7">
      <c r="A103" s="115" t="s">
        <v>153</v>
      </c>
      <c r="B103" s="116">
        <f t="shared" si="5"/>
        <v>74.73</v>
      </c>
      <c r="C103" s="116">
        <f>+ROUND('Gray''s DF Calc'!L145,2)</f>
        <v>0.46</v>
      </c>
      <c r="D103" s="162">
        <f t="shared" si="6"/>
        <v>75.19</v>
      </c>
      <c r="E103" s="159"/>
    </row>
    <row r="104" spans="1:7">
      <c r="A104" s="112" t="s">
        <v>154</v>
      </c>
      <c r="B104" s="260">
        <f t="shared" si="5"/>
        <v>98.38</v>
      </c>
      <c r="C104" s="120">
        <f>+ROUND('Gray''s DF Calc'!L118,2)</f>
        <v>0.6</v>
      </c>
      <c r="D104" s="160">
        <f t="shared" si="6"/>
        <v>98.97999999999999</v>
      </c>
      <c r="E104" s="159"/>
    </row>
    <row r="105" spans="1:7">
      <c r="A105" s="115" t="s">
        <v>155</v>
      </c>
      <c r="B105" s="116">
        <f t="shared" si="5"/>
        <v>128.22</v>
      </c>
      <c r="C105" s="116">
        <f>+ROUND('Gray''s DF Calc'!L146,2)</f>
        <v>0.82</v>
      </c>
      <c r="D105" s="162">
        <f t="shared" si="6"/>
        <v>129.04</v>
      </c>
      <c r="E105" s="159"/>
    </row>
    <row r="106" spans="1:7">
      <c r="A106" s="115" t="s">
        <v>156</v>
      </c>
      <c r="B106" s="116">
        <f t="shared" si="5"/>
        <v>168.18</v>
      </c>
      <c r="C106" s="116">
        <f>+ROUND('Gray''s DF Calc'!L147,2)</f>
        <v>0.96</v>
      </c>
      <c r="D106" s="162">
        <f t="shared" si="6"/>
        <v>169.14000000000001</v>
      </c>
      <c r="E106" s="159"/>
    </row>
    <row r="107" spans="1:7">
      <c r="D107" s="160"/>
    </row>
    <row r="108" spans="1:7">
      <c r="A108" s="101" t="s">
        <v>442</v>
      </c>
      <c r="B108" s="124"/>
      <c r="C108" s="124"/>
      <c r="D108" s="161"/>
    </row>
    <row r="109" spans="1:7">
      <c r="A109" s="112" t="s">
        <v>157</v>
      </c>
      <c r="B109" s="260">
        <v>3.35</v>
      </c>
      <c r="C109" s="120">
        <f>ROUND('Gray''s DF Calc'!$L$93/References!$B$11,2)</f>
        <v>0.03</v>
      </c>
      <c r="D109" s="160">
        <f t="shared" si="6"/>
        <v>3.38</v>
      </c>
      <c r="E109" s="159"/>
      <c r="F109" s="122"/>
    </row>
    <row r="110" spans="1:7">
      <c r="A110" s="112" t="s">
        <v>158</v>
      </c>
      <c r="B110" s="260">
        <v>3.13</v>
      </c>
      <c r="C110" s="120">
        <f>ROUND('Gray''s DF Calc'!$L$93/References!$B$11,2)</f>
        <v>0.03</v>
      </c>
      <c r="D110" s="160">
        <f t="shared" si="6"/>
        <v>3.1599999999999997</v>
      </c>
      <c r="E110" s="159"/>
    </row>
    <row r="111" spans="1:7">
      <c r="A111" s="112" t="s">
        <v>159</v>
      </c>
      <c r="B111" s="260">
        <v>3.35</v>
      </c>
      <c r="C111" s="120">
        <f>ROUND('Gray''s DF Calc'!$L$93/References!$B$11,2)</f>
        <v>0.03</v>
      </c>
      <c r="D111" s="160">
        <f t="shared" si="6"/>
        <v>3.38</v>
      </c>
      <c r="E111" s="159"/>
    </row>
    <row r="112" spans="1:7">
      <c r="A112" s="112" t="s">
        <v>160</v>
      </c>
      <c r="B112" s="260">
        <v>15.17</v>
      </c>
      <c r="C112" s="120">
        <f>+ROUND('Gray''s DF Calc'!L93,2)</f>
        <v>0.12</v>
      </c>
      <c r="D112" s="160">
        <f t="shared" si="6"/>
        <v>15.29</v>
      </c>
      <c r="E112" s="274"/>
      <c r="F112" s="122"/>
      <c r="G112" s="122"/>
    </row>
    <row r="113" spans="1:5">
      <c r="A113" s="112" t="s">
        <v>161</v>
      </c>
      <c r="B113" s="260">
        <v>12.8</v>
      </c>
      <c r="C113" s="120">
        <f>ROUND('Gray''s DF Calc'!$L$93/References!$B$11,2)</f>
        <v>0.03</v>
      </c>
      <c r="D113" s="160">
        <f t="shared" si="6"/>
        <v>12.83</v>
      </c>
      <c r="E113" s="159"/>
    </row>
    <row r="114" spans="1:5">
      <c r="A114" s="112" t="s">
        <v>162</v>
      </c>
      <c r="B114" s="260">
        <v>4.84</v>
      </c>
      <c r="C114" s="120">
        <f>ROUND('Gray''s DF Calc'!$L$93/References!$B$11,2)</f>
        <v>0.03</v>
      </c>
      <c r="D114" s="160">
        <f t="shared" si="6"/>
        <v>4.87</v>
      </c>
      <c r="E114" s="159"/>
    </row>
    <row r="115" spans="1:5">
      <c r="D115" s="160"/>
      <c r="E115" s="159"/>
    </row>
    <row r="116" spans="1:5">
      <c r="A116" s="112" t="s">
        <v>163</v>
      </c>
      <c r="B116" s="260">
        <v>6.79</v>
      </c>
      <c r="C116" s="120">
        <f>+ROUND('Gray''s DF Calc'!L100,2)</f>
        <v>0.05</v>
      </c>
      <c r="D116" s="160">
        <f t="shared" si="6"/>
        <v>6.84</v>
      </c>
      <c r="E116" s="159"/>
    </row>
    <row r="117" spans="1:5">
      <c r="A117" s="112" t="s">
        <v>164</v>
      </c>
      <c r="B117" s="260">
        <v>6.79</v>
      </c>
      <c r="C117" s="120">
        <f>+ROUND('Gray''s DF Calc'!L100,2)</f>
        <v>0.05</v>
      </c>
      <c r="D117" s="160">
        <f t="shared" si="6"/>
        <v>6.84</v>
      </c>
      <c r="E117" s="159"/>
    </row>
    <row r="118" spans="1:5">
      <c r="A118" s="112" t="s">
        <v>679</v>
      </c>
      <c r="B118" s="260">
        <v>11.7</v>
      </c>
      <c r="C118" s="120">
        <f>C117</f>
        <v>0.05</v>
      </c>
      <c r="D118" s="160">
        <f t="shared" si="6"/>
        <v>11.75</v>
      </c>
      <c r="E118" s="159"/>
    </row>
    <row r="119" spans="1:5">
      <c r="A119" s="112" t="s">
        <v>678</v>
      </c>
      <c r="B119" s="260">
        <v>6.7</v>
      </c>
      <c r="C119" s="120">
        <f>C118</f>
        <v>0.05</v>
      </c>
      <c r="D119" s="160">
        <f t="shared" si="6"/>
        <v>6.75</v>
      </c>
      <c r="E119" s="159"/>
    </row>
    <row r="120" spans="1:5">
      <c r="D120" s="160"/>
      <c r="E120" s="159"/>
    </row>
    <row r="121" spans="1:5">
      <c r="A121" s="112" t="s">
        <v>165</v>
      </c>
      <c r="B121" s="260">
        <v>9.7799999999999994</v>
      </c>
      <c r="C121" s="120">
        <f>+ROUND('Gray''s DF Calc'!L105,2)</f>
        <v>7.0000000000000007E-2</v>
      </c>
      <c r="D121" s="160">
        <f>B121+C121</f>
        <v>9.85</v>
      </c>
      <c r="E121" s="159"/>
    </row>
    <row r="122" spans="1:5">
      <c r="A122" s="112" t="s">
        <v>166</v>
      </c>
      <c r="B122" s="260">
        <v>9.7799999999999994</v>
      </c>
      <c r="C122" s="120">
        <f>+ROUND('Gray''s DF Calc'!L105,2)</f>
        <v>7.0000000000000007E-2</v>
      </c>
      <c r="D122" s="160">
        <f t="shared" si="6"/>
        <v>9.85</v>
      </c>
    </row>
    <row r="123" spans="1:5">
      <c r="A123" s="112" t="s">
        <v>679</v>
      </c>
      <c r="B123" s="260">
        <v>14.65</v>
      </c>
      <c r="C123" s="120">
        <f>C122</f>
        <v>7.0000000000000007E-2</v>
      </c>
      <c r="D123" s="160">
        <f t="shared" si="6"/>
        <v>14.72</v>
      </c>
    </row>
    <row r="124" spans="1:5">
      <c r="A124" s="112" t="s">
        <v>678</v>
      </c>
      <c r="B124" s="260">
        <v>9.65</v>
      </c>
      <c r="C124" s="120">
        <f>C123</f>
        <v>7.0000000000000007E-2</v>
      </c>
      <c r="D124" s="160">
        <f t="shared" si="6"/>
        <v>9.7200000000000006</v>
      </c>
    </row>
  </sheetData>
  <pageMargins left="0.7" right="0.7" top="0.75" bottom="0.75" header="0.3" footer="0.3"/>
  <pageSetup scale="69" fitToHeight="2" orientation="portrait" r:id="rId1"/>
  <headerFooter>
    <oddFooter>&amp;L&amp;F - &amp;A&amp;R&amp;P of &amp;N</oddFooter>
  </headerFooter>
  <rowBreaks count="2" manualBreakCount="2">
    <brk id="48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AZ240"/>
  <sheetViews>
    <sheetView topLeftCell="C212" zoomScale="85" zoomScaleNormal="85" zoomScaleSheetLayoutView="85" workbookViewId="0">
      <selection activeCell="E252" sqref="E252"/>
    </sheetView>
  </sheetViews>
  <sheetFormatPr defaultRowHeight="12.75" outlineLevelCol="1"/>
  <cols>
    <col min="1" max="1" width="49.28515625" style="130" hidden="1" customWidth="1"/>
    <col min="2" max="2" width="116.42578125" style="130" hidden="1" customWidth="1"/>
    <col min="3" max="3" width="22.7109375" style="130" customWidth="1"/>
    <col min="4" max="4" width="29.140625" style="130" bestFit="1" customWidth="1"/>
    <col min="5" max="6" width="15" style="130" customWidth="1"/>
    <col min="7" max="18" width="12.28515625" style="130" hidden="1" customWidth="1" outlineLevel="1"/>
    <col min="19" max="19" width="13.85546875" style="130" bestFit="1" customWidth="1" collapsed="1"/>
    <col min="20" max="20" width="9.140625" style="130"/>
    <col min="21" max="32" width="9.85546875" style="151" hidden="1" customWidth="1" outlineLevel="1"/>
    <col min="33" max="33" width="10.28515625" style="151" bestFit="1" customWidth="1" collapsed="1"/>
    <col min="34" max="34" width="10.28515625" style="151" customWidth="1"/>
    <col min="35" max="35" width="10.28515625" style="151" bestFit="1" customWidth="1"/>
    <col min="36" max="36" width="3.7109375" style="130" hidden="1" customWidth="1"/>
    <col min="37" max="37" width="0" style="130" hidden="1" customWidth="1"/>
    <col min="38" max="38" width="15.85546875" style="130" hidden="1" customWidth="1"/>
    <col min="39" max="40" width="0" style="130" hidden="1" customWidth="1"/>
    <col min="41" max="41" width="14.140625" style="130" hidden="1" customWidth="1"/>
    <col min="42" max="42" width="15.85546875" style="145" hidden="1" customWidth="1"/>
    <col min="43" max="43" width="12.7109375" style="130" hidden="1" customWidth="1"/>
    <col min="44" max="44" width="14.7109375" style="130" hidden="1" customWidth="1"/>
    <col min="45" max="45" width="13.7109375" style="130" hidden="1" customWidth="1"/>
    <col min="46" max="46" width="15.140625" style="130" hidden="1" customWidth="1"/>
    <col min="47" max="47" width="0" style="130" hidden="1" customWidth="1"/>
    <col min="48" max="48" width="18.42578125" style="130" hidden="1" customWidth="1"/>
    <col min="49" max="49" width="12.28515625" style="130" hidden="1" customWidth="1"/>
    <col min="50" max="50" width="0" style="130" hidden="1" customWidth="1"/>
    <col min="51" max="51" width="9.140625" style="130"/>
    <col min="52" max="52" width="20" style="244" customWidth="1"/>
    <col min="53" max="16384" width="9.140625" style="130"/>
  </cols>
  <sheetData>
    <row r="1" spans="1:52" ht="12" customHeight="1">
      <c r="A1" s="128" t="s">
        <v>483</v>
      </c>
      <c r="B1" s="128"/>
      <c r="C1" s="163" t="s">
        <v>484</v>
      </c>
      <c r="D1" s="132"/>
      <c r="E1" s="164"/>
      <c r="F1" s="164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44"/>
      <c r="AK1" s="165" t="s">
        <v>485</v>
      </c>
      <c r="AL1" s="165" t="s">
        <v>486</v>
      </c>
      <c r="AM1" s="165" t="s">
        <v>487</v>
      </c>
      <c r="AN1" s="165" t="s">
        <v>488</v>
      </c>
      <c r="AO1" s="144" t="s">
        <v>438</v>
      </c>
      <c r="AP1" s="268" t="s">
        <v>489</v>
      </c>
      <c r="AQ1" s="268"/>
      <c r="AR1" s="268"/>
      <c r="AS1" s="268"/>
      <c r="AT1" s="268"/>
      <c r="AU1" s="144"/>
      <c r="AV1" s="144"/>
      <c r="AW1" s="144"/>
      <c r="AX1" s="144"/>
      <c r="AY1" s="144"/>
    </row>
    <row r="2" spans="1:52" ht="36.75" customHeight="1">
      <c r="A2" s="128" t="s">
        <v>490</v>
      </c>
      <c r="B2" s="131"/>
      <c r="C2" s="163" t="s">
        <v>491</v>
      </c>
      <c r="D2" s="132"/>
      <c r="E2" s="270" t="s">
        <v>671</v>
      </c>
      <c r="F2" s="270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66" t="s">
        <v>492</v>
      </c>
      <c r="AK2" s="167">
        <v>1.2676859137949732E-2</v>
      </c>
      <c r="AL2" s="168">
        <v>1.8E-3</v>
      </c>
      <c r="AM2" s="167">
        <f>AK2+AL2</f>
        <v>1.4476859137949731E-2</v>
      </c>
      <c r="AN2" s="169">
        <v>42949.013609312584</v>
      </c>
      <c r="AO2" s="170">
        <f>AN2-(AL234+AL221+AL179+AL76)</f>
        <v>566.55324057013786</v>
      </c>
      <c r="AP2" s="171"/>
      <c r="AQ2" s="165" t="s">
        <v>485</v>
      </c>
      <c r="AR2" s="144" t="s">
        <v>493</v>
      </c>
      <c r="AS2" s="165" t="s">
        <v>487</v>
      </c>
      <c r="AT2" s="165" t="s">
        <v>488</v>
      </c>
      <c r="AU2" s="144"/>
      <c r="AV2" s="144"/>
      <c r="AW2" s="144"/>
      <c r="AX2" s="144"/>
      <c r="AY2" s="144"/>
    </row>
    <row r="3" spans="1:52" ht="12" customHeight="1">
      <c r="C3" s="172" t="s">
        <v>494</v>
      </c>
      <c r="D3" s="132"/>
      <c r="E3" s="164"/>
      <c r="F3" s="164"/>
      <c r="G3" s="132"/>
      <c r="H3" s="132"/>
      <c r="I3" s="132"/>
      <c r="J3" s="173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66" t="s">
        <v>495</v>
      </c>
      <c r="AK3" s="167">
        <v>0.12740112011594579</v>
      </c>
      <c r="AL3" s="168">
        <v>2.9999999999999997E-4</v>
      </c>
      <c r="AM3" s="167">
        <f>AK3+AL3</f>
        <v>0.12770112011594578</v>
      </c>
      <c r="AN3" s="169">
        <v>77623.273465474806</v>
      </c>
      <c r="AO3" s="169">
        <f>AN3-AL82</f>
        <v>54.078340044507058</v>
      </c>
      <c r="AP3" s="174" t="s">
        <v>492</v>
      </c>
      <c r="AQ3" s="168">
        <v>1.0804193966624727E-2</v>
      </c>
      <c r="AR3" s="175">
        <v>1.6999999999999999E-3</v>
      </c>
      <c r="AS3" s="168">
        <f>AR3+AQ3</f>
        <v>1.2504193966624727E-2</v>
      </c>
      <c r="AT3" s="176">
        <v>36604.451359807979</v>
      </c>
      <c r="AU3" s="144"/>
      <c r="AV3" s="144"/>
      <c r="AW3" s="144"/>
      <c r="AX3" s="144"/>
      <c r="AY3" s="144"/>
    </row>
    <row r="4" spans="1:52" ht="12" customHeight="1">
      <c r="C4" s="177" t="s">
        <v>496</v>
      </c>
      <c r="D4" s="132"/>
      <c r="E4" s="164"/>
      <c r="F4" s="164"/>
      <c r="G4" s="132"/>
      <c r="H4" s="132"/>
      <c r="I4" s="132"/>
      <c r="J4" s="173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44"/>
      <c r="AK4" s="144"/>
      <c r="AL4" s="144"/>
      <c r="AM4" s="144"/>
      <c r="AN4" s="144"/>
      <c r="AO4" s="144"/>
      <c r="AP4" s="174" t="s">
        <v>495</v>
      </c>
      <c r="AQ4" s="168">
        <v>0.14006619609418527</v>
      </c>
      <c r="AR4" s="175">
        <v>1E-3</v>
      </c>
      <c r="AS4" s="168">
        <f>AR4+AQ4</f>
        <v>0.14106619609418528</v>
      </c>
      <c r="AT4" s="176">
        <v>85339.882669736049</v>
      </c>
      <c r="AU4" s="144"/>
      <c r="AV4" s="144"/>
      <c r="AW4" s="144"/>
      <c r="AX4" s="144"/>
      <c r="AY4" s="144"/>
    </row>
    <row r="5" spans="1:52" ht="12" customHeight="1">
      <c r="C5" s="132"/>
      <c r="D5" s="133"/>
      <c r="E5" s="144"/>
      <c r="F5" s="144"/>
      <c r="G5" s="178">
        <v>42795</v>
      </c>
      <c r="H5" s="178">
        <v>42826</v>
      </c>
      <c r="I5" s="178">
        <v>42856</v>
      </c>
      <c r="J5" s="178">
        <v>42887</v>
      </c>
      <c r="K5" s="178">
        <v>42917</v>
      </c>
      <c r="L5" s="178">
        <v>42948</v>
      </c>
      <c r="M5" s="178">
        <v>42979</v>
      </c>
      <c r="N5" s="178">
        <v>43009</v>
      </c>
      <c r="O5" s="178">
        <v>43040</v>
      </c>
      <c r="P5" s="178">
        <v>43070</v>
      </c>
      <c r="Q5" s="178">
        <f t="shared" ref="Q5:R5" si="0">EDATE(P5,1)</f>
        <v>43101</v>
      </c>
      <c r="R5" s="178">
        <f t="shared" si="0"/>
        <v>43132</v>
      </c>
      <c r="S5" s="133" t="s">
        <v>14</v>
      </c>
      <c r="T5" s="132"/>
      <c r="U5" s="178">
        <f>+G5</f>
        <v>42795</v>
      </c>
      <c r="V5" s="178">
        <f t="shared" ref="V5:AF5" si="1">+H5</f>
        <v>42826</v>
      </c>
      <c r="W5" s="178">
        <f t="shared" si="1"/>
        <v>42856</v>
      </c>
      <c r="X5" s="178">
        <f t="shared" si="1"/>
        <v>42887</v>
      </c>
      <c r="Y5" s="178">
        <f t="shared" si="1"/>
        <v>42917</v>
      </c>
      <c r="Z5" s="178">
        <f t="shared" si="1"/>
        <v>42948</v>
      </c>
      <c r="AA5" s="178">
        <f t="shared" si="1"/>
        <v>42979</v>
      </c>
      <c r="AB5" s="178">
        <f t="shared" si="1"/>
        <v>43009</v>
      </c>
      <c r="AC5" s="178">
        <f t="shared" si="1"/>
        <v>43040</v>
      </c>
      <c r="AD5" s="178">
        <f t="shared" si="1"/>
        <v>43070</v>
      </c>
      <c r="AE5" s="178">
        <f t="shared" si="1"/>
        <v>43101</v>
      </c>
      <c r="AF5" s="178">
        <f t="shared" si="1"/>
        <v>43132</v>
      </c>
      <c r="AG5" s="178" t="s">
        <v>497</v>
      </c>
      <c r="AH5" s="178" t="s">
        <v>167</v>
      </c>
      <c r="AI5" s="178" t="s">
        <v>14</v>
      </c>
      <c r="AJ5" s="144"/>
      <c r="AK5" s="178" t="s">
        <v>498</v>
      </c>
      <c r="AL5" s="178" t="s">
        <v>499</v>
      </c>
      <c r="AM5" s="144"/>
      <c r="AN5" s="269" t="s">
        <v>500</v>
      </c>
      <c r="AO5" s="269"/>
      <c r="AP5" s="179" t="s">
        <v>498</v>
      </c>
      <c r="AQ5" s="165" t="s">
        <v>499</v>
      </c>
      <c r="AR5" s="165"/>
      <c r="AS5" s="165" t="s">
        <v>500</v>
      </c>
      <c r="AT5" s="165"/>
      <c r="AU5" s="144"/>
      <c r="AV5" s="144"/>
      <c r="AW5" s="144"/>
      <c r="AX5" s="144"/>
      <c r="AY5" s="144"/>
    </row>
    <row r="6" spans="1:52" ht="12" customHeight="1">
      <c r="C6" s="134" t="s">
        <v>168</v>
      </c>
      <c r="D6" s="133" t="s">
        <v>169</v>
      </c>
      <c r="E6" s="134" t="s">
        <v>501</v>
      </c>
      <c r="F6" s="134" t="s">
        <v>502</v>
      </c>
      <c r="G6" s="133" t="s">
        <v>170</v>
      </c>
      <c r="H6" s="133" t="s">
        <v>170</v>
      </c>
      <c r="I6" s="133" t="s">
        <v>170</v>
      </c>
      <c r="J6" s="133" t="s">
        <v>170</v>
      </c>
      <c r="K6" s="133" t="s">
        <v>170</v>
      </c>
      <c r="L6" s="133" t="s">
        <v>170</v>
      </c>
      <c r="M6" s="133" t="s">
        <v>170</v>
      </c>
      <c r="N6" s="133" t="s">
        <v>170</v>
      </c>
      <c r="O6" s="133" t="s">
        <v>170</v>
      </c>
      <c r="P6" s="133" t="s">
        <v>170</v>
      </c>
      <c r="Q6" s="133" t="s">
        <v>170</v>
      </c>
      <c r="R6" s="133" t="s">
        <v>170</v>
      </c>
      <c r="S6" s="133" t="s">
        <v>170</v>
      </c>
      <c r="T6" s="132"/>
      <c r="U6" s="180" t="s">
        <v>171</v>
      </c>
      <c r="V6" s="180" t="s">
        <v>171</v>
      </c>
      <c r="W6" s="180" t="s">
        <v>171</v>
      </c>
      <c r="X6" s="180" t="s">
        <v>171</v>
      </c>
      <c r="Y6" s="180" t="s">
        <v>171</v>
      </c>
      <c r="Z6" s="180" t="s">
        <v>171</v>
      </c>
      <c r="AA6" s="180" t="s">
        <v>171</v>
      </c>
      <c r="AB6" s="180" t="s">
        <v>171</v>
      </c>
      <c r="AC6" s="180" t="s">
        <v>171</v>
      </c>
      <c r="AD6" s="180" t="s">
        <v>171</v>
      </c>
      <c r="AE6" s="180" t="s">
        <v>171</v>
      </c>
      <c r="AF6" s="180" t="s">
        <v>171</v>
      </c>
      <c r="AG6" s="180" t="s">
        <v>503</v>
      </c>
      <c r="AH6" s="180" t="s">
        <v>172</v>
      </c>
      <c r="AI6" s="180" t="s">
        <v>503</v>
      </c>
      <c r="AJ6" s="144"/>
      <c r="AK6" s="180" t="s">
        <v>7</v>
      </c>
      <c r="AL6" s="180" t="s">
        <v>7</v>
      </c>
      <c r="AM6" s="144"/>
      <c r="AN6" s="163" t="s">
        <v>504</v>
      </c>
      <c r="AO6" s="163" t="s">
        <v>505</v>
      </c>
      <c r="AP6" s="179" t="s">
        <v>7</v>
      </c>
      <c r="AQ6" s="165" t="s">
        <v>7</v>
      </c>
      <c r="AR6" s="165"/>
      <c r="AS6" s="165" t="s">
        <v>504</v>
      </c>
      <c r="AT6" s="165" t="s">
        <v>505</v>
      </c>
      <c r="AU6" s="144"/>
      <c r="AV6" s="144"/>
      <c r="AW6" s="144"/>
      <c r="AX6" s="144"/>
      <c r="AY6" s="144"/>
    </row>
    <row r="7" spans="1:52" s="129" customFormat="1" ht="12" customHeight="1">
      <c r="C7" s="181"/>
      <c r="D7" s="132"/>
      <c r="E7" s="164"/>
      <c r="F7" s="164"/>
      <c r="G7" s="18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2"/>
      <c r="AK7" s="132"/>
      <c r="AL7" s="132"/>
      <c r="AM7" s="132"/>
      <c r="AN7" s="132"/>
      <c r="AO7" s="132"/>
      <c r="AP7" s="183"/>
      <c r="AQ7" s="132"/>
      <c r="AR7" s="132"/>
      <c r="AS7" s="132"/>
      <c r="AT7" s="132"/>
      <c r="AU7" s="132"/>
      <c r="AV7" s="184" t="s">
        <v>506</v>
      </c>
      <c r="AW7" s="185">
        <f>AQ76</f>
        <v>18166.619888229146</v>
      </c>
      <c r="AX7" s="186">
        <f>AS3</f>
        <v>1.2504193966624727E-2</v>
      </c>
      <c r="AY7" s="132"/>
      <c r="AZ7" s="245"/>
    </row>
    <row r="8" spans="1:52" s="129" customFormat="1" ht="15.75">
      <c r="C8" s="187" t="s">
        <v>173</v>
      </c>
      <c r="D8" s="188"/>
      <c r="E8" s="189"/>
      <c r="F8" s="189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1"/>
      <c r="T8" s="191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32"/>
      <c r="AK8" s="132"/>
      <c r="AL8" s="132"/>
      <c r="AM8" s="132"/>
      <c r="AN8" s="132"/>
      <c r="AO8" s="132"/>
      <c r="AP8" s="183"/>
      <c r="AQ8" s="132"/>
      <c r="AR8" s="132"/>
      <c r="AS8" s="132"/>
      <c r="AT8" s="132"/>
      <c r="AU8" s="132"/>
      <c r="AV8" s="184" t="s">
        <v>507</v>
      </c>
      <c r="AW8" s="185">
        <f>AQ82</f>
        <v>85671.975388310049</v>
      </c>
      <c r="AX8" s="186">
        <f>AS4</f>
        <v>0.14106619609418528</v>
      </c>
      <c r="AY8" s="132"/>
      <c r="AZ8" s="245"/>
    </row>
    <row r="9" spans="1:52" s="129" customFormat="1" ht="12" hidden="1" customHeight="1">
      <c r="C9" s="143"/>
      <c r="D9" s="143"/>
      <c r="E9" s="164"/>
      <c r="F9" s="164"/>
      <c r="G9" s="18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2"/>
      <c r="AK9" s="132"/>
      <c r="AL9" s="132"/>
      <c r="AM9" s="132"/>
      <c r="AN9" s="132"/>
      <c r="AO9" s="132"/>
      <c r="AP9" s="183"/>
      <c r="AQ9" s="132"/>
      <c r="AR9" s="132"/>
      <c r="AS9" s="132"/>
      <c r="AT9" s="132"/>
      <c r="AU9" s="132"/>
      <c r="AV9" s="184"/>
      <c r="AW9" s="132"/>
      <c r="AX9" s="132"/>
      <c r="AY9" s="132"/>
      <c r="AZ9" s="245"/>
    </row>
    <row r="10" spans="1:52" s="129" customFormat="1" ht="12" hidden="1" customHeight="1">
      <c r="A10" s="135" t="s">
        <v>508</v>
      </c>
      <c r="B10" s="135" t="s">
        <v>509</v>
      </c>
      <c r="C10" s="136" t="s">
        <v>174</v>
      </c>
      <c r="D10" s="136" t="s">
        <v>174</v>
      </c>
      <c r="E10" s="137"/>
      <c r="F10" s="137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9"/>
      <c r="T10" s="132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2"/>
      <c r="AK10" s="132"/>
      <c r="AL10" s="132"/>
      <c r="AM10" s="132"/>
      <c r="AN10" s="132"/>
      <c r="AO10" s="132"/>
      <c r="AP10" s="183"/>
      <c r="AQ10" s="132"/>
      <c r="AR10" s="132"/>
      <c r="AS10" s="132"/>
      <c r="AT10" s="132"/>
      <c r="AU10" s="132"/>
      <c r="AV10" s="184"/>
      <c r="AW10" s="132"/>
      <c r="AX10" s="132"/>
      <c r="AY10" s="132"/>
      <c r="AZ10" s="245"/>
    </row>
    <row r="11" spans="1:52" s="129" customFormat="1" ht="12" customHeight="1">
      <c r="A11" s="135"/>
      <c r="B11" s="135"/>
      <c r="C11" s="136" t="s">
        <v>174</v>
      </c>
      <c r="D11" s="136"/>
      <c r="E11" s="137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9"/>
      <c r="T11" s="132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2"/>
      <c r="AK11" s="132"/>
      <c r="AL11" s="132"/>
      <c r="AM11" s="132"/>
      <c r="AN11" s="132"/>
      <c r="AO11" s="132"/>
      <c r="AP11" s="183"/>
      <c r="AQ11" s="132"/>
      <c r="AR11" s="132"/>
      <c r="AS11" s="132"/>
      <c r="AT11" s="132"/>
      <c r="AU11" s="132"/>
      <c r="AV11" s="184" t="s">
        <v>510</v>
      </c>
      <c r="AW11" s="185">
        <f>AQ179</f>
        <v>12362.174040818569</v>
      </c>
      <c r="AX11" s="186">
        <f>AX7</f>
        <v>1.2504193966624727E-2</v>
      </c>
      <c r="AY11" s="132"/>
      <c r="AZ11" s="245"/>
    </row>
    <row r="12" spans="1:52" s="141" customFormat="1" ht="12" customHeight="1">
      <c r="A12" s="140" t="str">
        <f t="shared" ref="A12:A74" si="2">$A$1&amp;"Residential"&amp;C12</f>
        <v>Grays Harbor WUTCResidentialRL020.0G1W001</v>
      </c>
      <c r="B12" s="140">
        <f t="shared" ref="B12:B57" si="3">COUNTIF(C:C,C12)</f>
        <v>1</v>
      </c>
      <c r="C12" s="193" t="s">
        <v>175</v>
      </c>
      <c r="D12" s="193" t="s">
        <v>176</v>
      </c>
      <c r="E12" s="194">
        <v>11.12</v>
      </c>
      <c r="F12" s="194">
        <v>11.29</v>
      </c>
      <c r="G12" s="195">
        <v>1039.57</v>
      </c>
      <c r="H12" s="195">
        <v>1015.94</v>
      </c>
      <c r="I12" s="195">
        <v>1053.7750000000001</v>
      </c>
      <c r="J12" s="195">
        <v>1055.165</v>
      </c>
      <c r="K12" s="195">
        <v>1032.77</v>
      </c>
      <c r="L12" s="195">
        <v>1025.82</v>
      </c>
      <c r="M12" s="195">
        <v>984.12000000000012</v>
      </c>
      <c r="N12" s="195">
        <v>970.26</v>
      </c>
      <c r="O12" s="195">
        <v>958.94500000000005</v>
      </c>
      <c r="P12" s="195">
        <v>965.89499999999998</v>
      </c>
      <c r="Q12" s="195">
        <v>990.97</v>
      </c>
      <c r="R12" s="195">
        <v>989.15</v>
      </c>
      <c r="S12" s="196">
        <f t="shared" ref="S12:S37" si="4">+SUM(G12:R12)</f>
        <v>12082.380000000001</v>
      </c>
      <c r="T12" s="197"/>
      <c r="U12" s="195">
        <f t="shared" ref="U12:AD37" si="5">IFERROR(G12/$E12,0)</f>
        <v>93.486510791366911</v>
      </c>
      <c r="V12" s="195">
        <f t="shared" si="5"/>
        <v>91.361510791366925</v>
      </c>
      <c r="W12" s="195">
        <f t="shared" si="5"/>
        <v>94.763938848920873</v>
      </c>
      <c r="X12" s="195">
        <f t="shared" si="5"/>
        <v>94.888938848920873</v>
      </c>
      <c r="Y12" s="195">
        <f t="shared" si="5"/>
        <v>92.875</v>
      </c>
      <c r="Z12" s="195">
        <f t="shared" si="5"/>
        <v>92.25</v>
      </c>
      <c r="AA12" s="195">
        <f t="shared" si="5"/>
        <v>88.500000000000014</v>
      </c>
      <c r="AB12" s="195">
        <f t="shared" si="5"/>
        <v>87.253597122302168</v>
      </c>
      <c r="AC12" s="195">
        <f t="shared" si="5"/>
        <v>86.236061151079141</v>
      </c>
      <c r="AD12" s="195">
        <f t="shared" si="5"/>
        <v>86.861061151079141</v>
      </c>
      <c r="AE12" s="195">
        <f t="shared" ref="AE12:AF37" si="6">IFERROR(Q12/$F12,0)</f>
        <v>87.774136403897259</v>
      </c>
      <c r="AF12" s="195">
        <f t="shared" si="6"/>
        <v>87.612931798051378</v>
      </c>
      <c r="AG12" s="195">
        <f>AVERAGE(U12:AF12)</f>
        <v>90.32197390891541</v>
      </c>
      <c r="AH12" s="195">
        <f>+AI12/12</f>
        <v>90.32197390891541</v>
      </c>
      <c r="AI12" s="195">
        <f>+SUM(U12:AF12)</f>
        <v>1083.8636869069849</v>
      </c>
      <c r="AJ12" s="197"/>
      <c r="AK12" s="196">
        <f>F12*$AM$2</f>
        <v>0.16344373966745246</v>
      </c>
      <c r="AL12" s="198">
        <f>AK12*AI12</f>
        <v>177.15073427783042</v>
      </c>
      <c r="AM12" s="197"/>
      <c r="AN12" s="196">
        <f>F12+AK12</f>
        <v>11.453443739667451</v>
      </c>
      <c r="AO12" s="198">
        <f>AI12*AN12</f>
        <v>12413.971759457689</v>
      </c>
      <c r="AP12" s="199">
        <f>ROUND(F12*$AS$3,2)</f>
        <v>0.14000000000000001</v>
      </c>
      <c r="AQ12" s="200">
        <f>AP12*AI12</f>
        <v>151.74091616697788</v>
      </c>
      <c r="AR12" s="197"/>
      <c r="AS12" s="201">
        <f>AP12+F12</f>
        <v>11.43</v>
      </c>
      <c r="AT12" s="202">
        <f>AS12*AI12</f>
        <v>12388.561941346838</v>
      </c>
      <c r="AU12" s="197"/>
      <c r="AV12" s="203" t="s">
        <v>437</v>
      </c>
      <c r="AW12" s="204">
        <f>AQ221</f>
        <v>6333.2411832473754</v>
      </c>
      <c r="AX12" s="205">
        <f>AX11</f>
        <v>1.2504193966624727E-2</v>
      </c>
      <c r="AY12" s="197"/>
      <c r="AZ12" s="246"/>
    </row>
    <row r="13" spans="1:52" s="141" customFormat="1" ht="12" customHeight="1">
      <c r="A13" s="140" t="str">
        <f t="shared" si="2"/>
        <v>Grays Harbor WUTCResidentialRL020.0G1W001NOREC</v>
      </c>
      <c r="B13" s="140">
        <f t="shared" si="3"/>
        <v>1</v>
      </c>
      <c r="C13" s="193" t="s">
        <v>177</v>
      </c>
      <c r="D13" s="193" t="s">
        <v>178</v>
      </c>
      <c r="E13" s="194">
        <v>13.12</v>
      </c>
      <c r="F13" s="194">
        <v>13.29</v>
      </c>
      <c r="G13" s="195">
        <v>170.56</v>
      </c>
      <c r="H13" s="195">
        <v>170.56</v>
      </c>
      <c r="I13" s="195">
        <v>170.56</v>
      </c>
      <c r="J13" s="195">
        <v>180.76499999999999</v>
      </c>
      <c r="K13" s="195">
        <v>180.76499999999999</v>
      </c>
      <c r="L13" s="195">
        <v>183.68</v>
      </c>
      <c r="M13" s="195">
        <v>180.76500000000001</v>
      </c>
      <c r="N13" s="195">
        <v>154.52500000000001</v>
      </c>
      <c r="O13" s="195">
        <v>157.44</v>
      </c>
      <c r="P13" s="195">
        <v>157.44</v>
      </c>
      <c r="Q13" s="195">
        <v>159.47999999999999</v>
      </c>
      <c r="R13" s="195">
        <v>159.47999999999999</v>
      </c>
      <c r="S13" s="196">
        <f t="shared" si="4"/>
        <v>2026.0200000000002</v>
      </c>
      <c r="T13" s="197"/>
      <c r="U13" s="195">
        <f t="shared" si="5"/>
        <v>13.000000000000002</v>
      </c>
      <c r="V13" s="195">
        <f t="shared" si="5"/>
        <v>13.000000000000002</v>
      </c>
      <c r="W13" s="195">
        <f t="shared" si="5"/>
        <v>13.000000000000002</v>
      </c>
      <c r="X13" s="195">
        <f t="shared" si="5"/>
        <v>13.777820121951219</v>
      </c>
      <c r="Y13" s="195">
        <f t="shared" si="5"/>
        <v>13.777820121951219</v>
      </c>
      <c r="Z13" s="195">
        <f t="shared" si="5"/>
        <v>14.000000000000002</v>
      </c>
      <c r="AA13" s="195">
        <f t="shared" si="5"/>
        <v>13.777820121951221</v>
      </c>
      <c r="AB13" s="195">
        <f t="shared" si="5"/>
        <v>11.777820121951221</v>
      </c>
      <c r="AC13" s="195">
        <f t="shared" si="5"/>
        <v>12</v>
      </c>
      <c r="AD13" s="195">
        <f t="shared" si="5"/>
        <v>12</v>
      </c>
      <c r="AE13" s="195">
        <f t="shared" si="6"/>
        <v>12</v>
      </c>
      <c r="AF13" s="195">
        <f t="shared" si="6"/>
        <v>12</v>
      </c>
      <c r="AG13" s="195">
        <f t="shared" ref="AG13:AG36" si="7">AVERAGE(U13:AF13)</f>
        <v>12.842606707317074</v>
      </c>
      <c r="AH13" s="195">
        <f t="shared" ref="AH13:AH57" si="8">+AI13/12</f>
        <v>12.842606707317074</v>
      </c>
      <c r="AI13" s="195">
        <f t="shared" ref="AI13:AI74" si="9">+SUM(U13:AF13)</f>
        <v>154.11128048780489</v>
      </c>
      <c r="AJ13" s="197"/>
      <c r="AK13" s="196">
        <f>AK12</f>
        <v>0.16344373966745246</v>
      </c>
      <c r="AL13" s="198">
        <f t="shared" ref="AL13:AL74" si="10">AK13*AI13</f>
        <v>25.18852400786653</v>
      </c>
      <c r="AM13" s="197"/>
      <c r="AN13" s="196">
        <f t="shared" ref="AN13:AN74" si="11">F13+AK13</f>
        <v>13.453443739667451</v>
      </c>
      <c r="AO13" s="198">
        <f t="shared" ref="AO13:AO74" si="12">AI13*AN13</f>
        <v>2073.3274416907934</v>
      </c>
      <c r="AP13" s="199">
        <f>AP12</f>
        <v>0.14000000000000001</v>
      </c>
      <c r="AQ13" s="200">
        <f t="shared" ref="AQ13:AQ74" si="13">AP13*AI13</f>
        <v>21.575579268292685</v>
      </c>
      <c r="AR13" s="197"/>
      <c r="AS13" s="201">
        <f t="shared" ref="AS13:AS74" si="14">AP13+F13</f>
        <v>13.43</v>
      </c>
      <c r="AT13" s="202">
        <f t="shared" ref="AT13:AT74" si="15">AS13*AI13</f>
        <v>2069.7144969512196</v>
      </c>
      <c r="AU13" s="197"/>
      <c r="AV13" s="197"/>
      <c r="AW13" s="206">
        <f>SUM(AW7:AW12)</f>
        <v>122534.01050060515</v>
      </c>
      <c r="AX13" s="207">
        <v>3.0578473596643948E-2</v>
      </c>
      <c r="AY13" s="208">
        <f>1*AI13</f>
        <v>154.11128048780489</v>
      </c>
      <c r="AZ13" s="246"/>
    </row>
    <row r="14" spans="1:52" s="141" customFormat="1" ht="12" customHeight="1">
      <c r="A14" s="140" t="str">
        <f t="shared" si="2"/>
        <v>Grays Harbor WUTCResidentialSL020.0G1W001NOREC</v>
      </c>
      <c r="B14" s="140">
        <f t="shared" si="3"/>
        <v>1</v>
      </c>
      <c r="C14" s="193" t="s">
        <v>179</v>
      </c>
      <c r="D14" s="193" t="s">
        <v>178</v>
      </c>
      <c r="E14" s="194">
        <v>13.12</v>
      </c>
      <c r="F14" s="194">
        <v>13.29</v>
      </c>
      <c r="G14" s="195">
        <v>13.12</v>
      </c>
      <c r="H14" s="195">
        <v>13.12</v>
      </c>
      <c r="I14" s="195">
        <v>13.12</v>
      </c>
      <c r="J14" s="195">
        <v>13.12</v>
      </c>
      <c r="K14" s="195">
        <v>13.12</v>
      </c>
      <c r="L14" s="195">
        <v>13.12</v>
      </c>
      <c r="M14" s="195">
        <v>13.12</v>
      </c>
      <c r="N14" s="195">
        <v>13.12</v>
      </c>
      <c r="O14" s="195">
        <v>13.12</v>
      </c>
      <c r="P14" s="195">
        <v>13.12</v>
      </c>
      <c r="Q14" s="195">
        <v>13.12</v>
      </c>
      <c r="R14" s="195">
        <v>13.375</v>
      </c>
      <c r="S14" s="196">
        <f t="shared" si="4"/>
        <v>157.69500000000002</v>
      </c>
      <c r="T14" s="197"/>
      <c r="U14" s="195">
        <f t="shared" si="5"/>
        <v>1</v>
      </c>
      <c r="V14" s="195">
        <f t="shared" si="5"/>
        <v>1</v>
      </c>
      <c r="W14" s="195">
        <f t="shared" si="5"/>
        <v>1</v>
      </c>
      <c r="X14" s="195">
        <f t="shared" si="5"/>
        <v>1</v>
      </c>
      <c r="Y14" s="195">
        <f t="shared" si="5"/>
        <v>1</v>
      </c>
      <c r="Z14" s="195">
        <f t="shared" si="5"/>
        <v>1</v>
      </c>
      <c r="AA14" s="195">
        <f t="shared" si="5"/>
        <v>1</v>
      </c>
      <c r="AB14" s="195">
        <f t="shared" si="5"/>
        <v>1</v>
      </c>
      <c r="AC14" s="195">
        <f t="shared" si="5"/>
        <v>1</v>
      </c>
      <c r="AD14" s="195">
        <f t="shared" si="5"/>
        <v>1</v>
      </c>
      <c r="AE14" s="195">
        <f t="shared" si="6"/>
        <v>0.98720842738901426</v>
      </c>
      <c r="AF14" s="195">
        <f t="shared" si="6"/>
        <v>1.0063957863054929</v>
      </c>
      <c r="AG14" s="195">
        <f>AVERAGE(U14:AF14)</f>
        <v>0.99946701780787561</v>
      </c>
      <c r="AH14" s="195">
        <f t="shared" si="8"/>
        <v>0.99946701780787561</v>
      </c>
      <c r="AI14" s="195">
        <f t="shared" si="9"/>
        <v>11.993604213694507</v>
      </c>
      <c r="AJ14" s="197"/>
      <c r="AK14" s="196">
        <f>AK15</f>
        <v>0.16344373966745246</v>
      </c>
      <c r="AL14" s="198">
        <f t="shared" si="10"/>
        <v>1.9602795247775457</v>
      </c>
      <c r="AM14" s="197"/>
      <c r="AN14" s="196">
        <f t="shared" si="11"/>
        <v>13.453443739667451</v>
      </c>
      <c r="AO14" s="198">
        <f t="shared" si="12"/>
        <v>161.35527952477753</v>
      </c>
      <c r="AP14" s="199">
        <f>ROUND(F14*$AS$3,2)</f>
        <v>0.17</v>
      </c>
      <c r="AQ14" s="200">
        <f t="shared" si="13"/>
        <v>2.0389127163280665</v>
      </c>
      <c r="AR14" s="197"/>
      <c r="AS14" s="201">
        <f t="shared" si="14"/>
        <v>13.459999999999999</v>
      </c>
      <c r="AT14" s="202">
        <f t="shared" si="15"/>
        <v>161.43391271632805</v>
      </c>
      <c r="AU14" s="197"/>
      <c r="AV14" s="197"/>
      <c r="AW14" s="197"/>
      <c r="AX14" s="197"/>
      <c r="AY14" s="208">
        <f>1*AI14</f>
        <v>11.993604213694507</v>
      </c>
      <c r="AZ14" s="246"/>
    </row>
    <row r="15" spans="1:52" s="141" customFormat="1" ht="12" customHeight="1">
      <c r="A15" s="140" t="str">
        <f t="shared" si="2"/>
        <v>Grays Harbor WUTCResidentialSL020.0G1W001WREC</v>
      </c>
      <c r="B15" s="140">
        <f t="shared" si="3"/>
        <v>1</v>
      </c>
      <c r="C15" s="193" t="s">
        <v>511</v>
      </c>
      <c r="D15" s="193" t="s">
        <v>512</v>
      </c>
      <c r="E15" s="194">
        <v>11.12</v>
      </c>
      <c r="F15" s="194">
        <v>11.29</v>
      </c>
      <c r="G15" s="195">
        <v>0</v>
      </c>
      <c r="H15" s="195">
        <v>22.24</v>
      </c>
      <c r="I15" s="195">
        <v>21.004999999999999</v>
      </c>
      <c r="J15" s="195">
        <v>19.615000000000002</v>
      </c>
      <c r="K15" s="195">
        <v>20.85</v>
      </c>
      <c r="L15" s="195">
        <v>22.24</v>
      </c>
      <c r="M15" s="195">
        <v>22.24</v>
      </c>
      <c r="N15" s="195">
        <v>27.18</v>
      </c>
      <c r="O15" s="195">
        <v>38.299999999999997</v>
      </c>
      <c r="P15" s="195">
        <v>33.36</v>
      </c>
      <c r="Q15" s="195">
        <v>22.24</v>
      </c>
      <c r="R15" s="195">
        <v>22.75</v>
      </c>
      <c r="S15" s="196">
        <f t="shared" si="4"/>
        <v>272.02000000000004</v>
      </c>
      <c r="T15" s="197"/>
      <c r="U15" s="195">
        <f t="shared" si="5"/>
        <v>0</v>
      </c>
      <c r="V15" s="195">
        <f t="shared" si="5"/>
        <v>2</v>
      </c>
      <c r="W15" s="195">
        <f t="shared" si="5"/>
        <v>1.8889388489208634</v>
      </c>
      <c r="X15" s="195">
        <f t="shared" si="5"/>
        <v>1.7639388489208636</v>
      </c>
      <c r="Y15" s="195">
        <f t="shared" si="5"/>
        <v>1.8750000000000002</v>
      </c>
      <c r="Z15" s="195">
        <f t="shared" si="5"/>
        <v>2</v>
      </c>
      <c r="AA15" s="195">
        <f t="shared" si="5"/>
        <v>2</v>
      </c>
      <c r="AB15" s="195">
        <f t="shared" si="5"/>
        <v>2.4442446043165469</v>
      </c>
      <c r="AC15" s="195">
        <f t="shared" si="5"/>
        <v>3.4442446043165469</v>
      </c>
      <c r="AD15" s="195">
        <f t="shared" si="5"/>
        <v>3</v>
      </c>
      <c r="AE15" s="195">
        <f t="shared" si="6"/>
        <v>1.9698848538529672</v>
      </c>
      <c r="AF15" s="195">
        <f t="shared" si="6"/>
        <v>2.0150575730735167</v>
      </c>
      <c r="AG15" s="195"/>
      <c r="AH15" s="195">
        <f t="shared" si="8"/>
        <v>2.0334424444501087</v>
      </c>
      <c r="AI15" s="195">
        <f t="shared" si="9"/>
        <v>24.401309333401304</v>
      </c>
      <c r="AJ15" s="197"/>
      <c r="AK15" s="196">
        <f t="shared" ref="AK15:AK74" si="16">F15*$AM$2</f>
        <v>0.16344373966745246</v>
      </c>
      <c r="AL15" s="198">
        <f t="shared" si="10"/>
        <v>3.9882412502334206</v>
      </c>
      <c r="AM15" s="197"/>
      <c r="AN15" s="196">
        <f t="shared" si="11"/>
        <v>11.453443739667451</v>
      </c>
      <c r="AO15" s="198">
        <f t="shared" si="12"/>
        <v>279.4790236243341</v>
      </c>
      <c r="AP15" s="199">
        <f>AP12</f>
        <v>0.14000000000000001</v>
      </c>
      <c r="AQ15" s="200">
        <f t="shared" si="13"/>
        <v>3.4161833066761829</v>
      </c>
      <c r="AR15" s="197"/>
      <c r="AS15" s="201">
        <f t="shared" si="14"/>
        <v>11.43</v>
      </c>
      <c r="AT15" s="202">
        <f t="shared" si="15"/>
        <v>278.90696568077692</v>
      </c>
      <c r="AU15" s="197"/>
      <c r="AV15" s="197"/>
      <c r="AW15" s="197"/>
      <c r="AX15" s="197"/>
      <c r="AY15" s="208"/>
      <c r="AZ15" s="246"/>
    </row>
    <row r="16" spans="1:52" s="141" customFormat="1" ht="12" customHeight="1">
      <c r="A16" s="140" t="str">
        <f t="shared" si="2"/>
        <v>Grays Harbor WUTCResidentialRL032.0G1M001</v>
      </c>
      <c r="B16" s="140">
        <f t="shared" si="3"/>
        <v>1</v>
      </c>
      <c r="C16" s="193" t="s">
        <v>180</v>
      </c>
      <c r="D16" s="193" t="s">
        <v>181</v>
      </c>
      <c r="E16" s="194">
        <v>6.31</v>
      </c>
      <c r="F16" s="194">
        <v>6.38</v>
      </c>
      <c r="G16" s="195">
        <v>6.31</v>
      </c>
      <c r="H16" s="195">
        <v>6.31</v>
      </c>
      <c r="I16" s="195">
        <v>6.31</v>
      </c>
      <c r="J16" s="195">
        <v>6.31</v>
      </c>
      <c r="K16" s="195">
        <v>9.4649999999999999</v>
      </c>
      <c r="L16" s="195">
        <v>15.774999999999999</v>
      </c>
      <c r="M16" s="195">
        <v>12.62</v>
      </c>
      <c r="N16" s="195">
        <v>0</v>
      </c>
      <c r="O16" s="195">
        <v>0</v>
      </c>
      <c r="P16" s="195">
        <v>0</v>
      </c>
      <c r="Q16" s="195">
        <v>0</v>
      </c>
      <c r="R16" s="195">
        <v>0</v>
      </c>
      <c r="S16" s="196">
        <f t="shared" si="4"/>
        <v>63.099999999999994</v>
      </c>
      <c r="T16" s="197"/>
      <c r="U16" s="195">
        <f t="shared" si="5"/>
        <v>1</v>
      </c>
      <c r="V16" s="195">
        <f t="shared" si="5"/>
        <v>1</v>
      </c>
      <c r="W16" s="195">
        <f t="shared" si="5"/>
        <v>1</v>
      </c>
      <c r="X16" s="195">
        <f t="shared" si="5"/>
        <v>1</v>
      </c>
      <c r="Y16" s="195">
        <f t="shared" si="5"/>
        <v>1.5</v>
      </c>
      <c r="Z16" s="195">
        <f t="shared" si="5"/>
        <v>2.5</v>
      </c>
      <c r="AA16" s="195">
        <f t="shared" si="5"/>
        <v>2</v>
      </c>
      <c r="AB16" s="195">
        <f t="shared" si="5"/>
        <v>0</v>
      </c>
      <c r="AC16" s="195">
        <f t="shared" si="5"/>
        <v>0</v>
      </c>
      <c r="AD16" s="195">
        <f t="shared" si="5"/>
        <v>0</v>
      </c>
      <c r="AE16" s="195">
        <f t="shared" si="6"/>
        <v>0</v>
      </c>
      <c r="AF16" s="195">
        <f t="shared" si="6"/>
        <v>0</v>
      </c>
      <c r="AG16" s="195">
        <f t="shared" si="7"/>
        <v>0.83333333333333337</v>
      </c>
      <c r="AH16" s="195">
        <f t="shared" si="8"/>
        <v>0.83333333333333337</v>
      </c>
      <c r="AI16" s="195">
        <f t="shared" si="9"/>
        <v>10</v>
      </c>
      <c r="AJ16" s="197"/>
      <c r="AK16" s="196">
        <f t="shared" si="16"/>
        <v>9.2362361300119281E-2</v>
      </c>
      <c r="AL16" s="198">
        <f t="shared" si="10"/>
        <v>0.92362361300119278</v>
      </c>
      <c r="AM16" s="197"/>
      <c r="AN16" s="196">
        <f t="shared" si="11"/>
        <v>6.4723623613001191</v>
      </c>
      <c r="AO16" s="198">
        <f t="shared" si="12"/>
        <v>64.723623613001195</v>
      </c>
      <c r="AP16" s="199">
        <f>ROUND(F16*$AS$3,2)</f>
        <v>0.08</v>
      </c>
      <c r="AQ16" s="200">
        <f t="shared" si="13"/>
        <v>0.8</v>
      </c>
      <c r="AR16" s="197"/>
      <c r="AS16" s="201">
        <f t="shared" si="14"/>
        <v>6.46</v>
      </c>
      <c r="AT16" s="202">
        <f t="shared" si="15"/>
        <v>64.599999999999994</v>
      </c>
      <c r="AU16" s="197"/>
      <c r="AV16" s="197"/>
      <c r="AW16" s="197"/>
      <c r="AX16" s="197"/>
      <c r="AY16" s="208"/>
      <c r="AZ16" s="246"/>
    </row>
    <row r="17" spans="1:52" s="141" customFormat="1" ht="12" customHeight="1">
      <c r="A17" s="140" t="str">
        <f t="shared" si="2"/>
        <v>Grays Harbor WUTCResidentialRL032.0G1M001NOREC</v>
      </c>
      <c r="B17" s="140">
        <f t="shared" si="3"/>
        <v>1</v>
      </c>
      <c r="C17" s="193" t="s">
        <v>183</v>
      </c>
      <c r="D17" s="193" t="s">
        <v>184</v>
      </c>
      <c r="E17" s="194">
        <v>8.31</v>
      </c>
      <c r="F17" s="194">
        <v>8.3800000000000008</v>
      </c>
      <c r="G17" s="195">
        <v>91.41</v>
      </c>
      <c r="H17" s="195">
        <v>91.41</v>
      </c>
      <c r="I17" s="195">
        <v>91.41</v>
      </c>
      <c r="J17" s="195">
        <v>78.944999999999993</v>
      </c>
      <c r="K17" s="195">
        <v>78.944999999999993</v>
      </c>
      <c r="L17" s="195">
        <v>83.1</v>
      </c>
      <c r="M17" s="195">
        <v>83.1</v>
      </c>
      <c r="N17" s="195">
        <v>83.1</v>
      </c>
      <c r="O17" s="195">
        <v>78.944999999999993</v>
      </c>
      <c r="P17" s="195">
        <v>70.634999999999991</v>
      </c>
      <c r="Q17" s="195">
        <v>66.83</v>
      </c>
      <c r="R17" s="195">
        <v>67.144999999999996</v>
      </c>
      <c r="S17" s="196">
        <f t="shared" si="4"/>
        <v>964.97500000000002</v>
      </c>
      <c r="T17" s="197"/>
      <c r="U17" s="195">
        <f t="shared" si="5"/>
        <v>10.999999999999998</v>
      </c>
      <c r="V17" s="195">
        <f t="shared" si="5"/>
        <v>10.999999999999998</v>
      </c>
      <c r="W17" s="195">
        <f t="shared" si="5"/>
        <v>10.999999999999998</v>
      </c>
      <c r="X17" s="195">
        <f t="shared" si="5"/>
        <v>9.4999999999999982</v>
      </c>
      <c r="Y17" s="195">
        <f t="shared" si="5"/>
        <v>9.4999999999999982</v>
      </c>
      <c r="Z17" s="195">
        <f t="shared" si="5"/>
        <v>9.9999999999999982</v>
      </c>
      <c r="AA17" s="195">
        <f t="shared" si="5"/>
        <v>9.9999999999999982</v>
      </c>
      <c r="AB17" s="195">
        <f t="shared" si="5"/>
        <v>9.9999999999999982</v>
      </c>
      <c r="AC17" s="195">
        <f t="shared" si="5"/>
        <v>9.4999999999999982</v>
      </c>
      <c r="AD17" s="195">
        <f t="shared" si="5"/>
        <v>8.4999999999999982</v>
      </c>
      <c r="AE17" s="195">
        <f t="shared" si="6"/>
        <v>7.9749403341288776</v>
      </c>
      <c r="AF17" s="195">
        <f t="shared" si="6"/>
        <v>8.0125298329355594</v>
      </c>
      <c r="AG17" s="195">
        <f t="shared" si="7"/>
        <v>9.6656225139220346</v>
      </c>
      <c r="AH17" s="195">
        <f t="shared" si="8"/>
        <v>9.6656225139220346</v>
      </c>
      <c r="AI17" s="195">
        <f t="shared" si="9"/>
        <v>115.98747016706442</v>
      </c>
      <c r="AJ17" s="197"/>
      <c r="AK17" s="196">
        <f>AK16</f>
        <v>9.2362361300119281E-2</v>
      </c>
      <c r="AL17" s="198">
        <f t="shared" si="10"/>
        <v>10.712876625857209</v>
      </c>
      <c r="AM17" s="197"/>
      <c r="AN17" s="196">
        <f t="shared" si="11"/>
        <v>8.4723623613001209</v>
      </c>
      <c r="AO17" s="198">
        <f t="shared" si="12"/>
        <v>982.68787662585714</v>
      </c>
      <c r="AP17" s="199">
        <f>AP16</f>
        <v>0.08</v>
      </c>
      <c r="AQ17" s="200">
        <f t="shared" si="13"/>
        <v>9.2789976133651528</v>
      </c>
      <c r="AR17" s="197"/>
      <c r="AS17" s="201">
        <f t="shared" si="14"/>
        <v>8.4600000000000009</v>
      </c>
      <c r="AT17" s="202">
        <f t="shared" si="15"/>
        <v>981.25399761336507</v>
      </c>
      <c r="AU17" s="197"/>
      <c r="AV17" s="197"/>
      <c r="AW17" s="197"/>
      <c r="AX17" s="197"/>
      <c r="AY17" s="208">
        <f>1*AI17</f>
        <v>115.98747016706442</v>
      </c>
      <c r="AZ17" s="246"/>
    </row>
    <row r="18" spans="1:52" s="141" customFormat="1" ht="12" customHeight="1">
      <c r="A18" s="140" t="str">
        <f t="shared" si="2"/>
        <v>Grays Harbor WUTCResidentialRL032.0G1M001WREC</v>
      </c>
      <c r="B18" s="140">
        <f t="shared" si="3"/>
        <v>1</v>
      </c>
      <c r="C18" s="193" t="s">
        <v>185</v>
      </c>
      <c r="D18" s="193" t="s">
        <v>186</v>
      </c>
      <c r="E18" s="194">
        <v>6.31</v>
      </c>
      <c r="F18" s="194">
        <v>6.38</v>
      </c>
      <c r="G18" s="195">
        <v>406.995</v>
      </c>
      <c r="H18" s="195">
        <v>403.84</v>
      </c>
      <c r="I18" s="195">
        <v>397.53000000000003</v>
      </c>
      <c r="J18" s="195">
        <v>413.30500000000006</v>
      </c>
      <c r="K18" s="195">
        <v>391.22</v>
      </c>
      <c r="L18" s="195">
        <v>384.90999999999997</v>
      </c>
      <c r="M18" s="195">
        <v>391.22</v>
      </c>
      <c r="N18" s="195">
        <v>413.30499999999995</v>
      </c>
      <c r="O18" s="195">
        <v>406.995</v>
      </c>
      <c r="P18" s="195">
        <v>406.99499999999995</v>
      </c>
      <c r="Q18" s="195">
        <v>422.83500000000004</v>
      </c>
      <c r="R18" s="195">
        <v>396.12</v>
      </c>
      <c r="S18" s="196">
        <f t="shared" si="4"/>
        <v>4835.2699999999995</v>
      </c>
      <c r="T18" s="197"/>
      <c r="U18" s="195">
        <f t="shared" si="5"/>
        <v>64.5</v>
      </c>
      <c r="V18" s="195">
        <f t="shared" si="5"/>
        <v>64</v>
      </c>
      <c r="W18" s="195">
        <f t="shared" si="5"/>
        <v>63.000000000000007</v>
      </c>
      <c r="X18" s="195">
        <f t="shared" si="5"/>
        <v>65.500000000000014</v>
      </c>
      <c r="Y18" s="195">
        <f t="shared" si="5"/>
        <v>62.000000000000007</v>
      </c>
      <c r="Z18" s="195">
        <f t="shared" si="5"/>
        <v>61</v>
      </c>
      <c r="AA18" s="195">
        <f t="shared" si="5"/>
        <v>62.000000000000007</v>
      </c>
      <c r="AB18" s="195">
        <f t="shared" si="5"/>
        <v>65.5</v>
      </c>
      <c r="AC18" s="195">
        <f t="shared" si="5"/>
        <v>64.5</v>
      </c>
      <c r="AD18" s="195">
        <f t="shared" si="5"/>
        <v>64.5</v>
      </c>
      <c r="AE18" s="195">
        <f t="shared" si="6"/>
        <v>66.27507836990597</v>
      </c>
      <c r="AF18" s="195">
        <f t="shared" si="6"/>
        <v>62.087774294670851</v>
      </c>
      <c r="AG18" s="195">
        <f t="shared" si="7"/>
        <v>63.738571055381406</v>
      </c>
      <c r="AH18" s="195">
        <f t="shared" si="8"/>
        <v>63.738571055381406</v>
      </c>
      <c r="AI18" s="195">
        <f t="shared" si="9"/>
        <v>764.86285266457685</v>
      </c>
      <c r="AJ18" s="197"/>
      <c r="AK18" s="196">
        <f t="shared" si="16"/>
        <v>9.2362361300119281E-2</v>
      </c>
      <c r="AL18" s="198">
        <f t="shared" si="10"/>
        <v>70.644539142845545</v>
      </c>
      <c r="AM18" s="197"/>
      <c r="AN18" s="196">
        <f t="shared" si="11"/>
        <v>6.4723623613001191</v>
      </c>
      <c r="AO18" s="198">
        <f t="shared" si="12"/>
        <v>4950.4695391428459</v>
      </c>
      <c r="AP18" s="199">
        <f>ROUND(F18*$AS$3,2)</f>
        <v>0.08</v>
      </c>
      <c r="AQ18" s="200">
        <f t="shared" si="13"/>
        <v>61.189028213166146</v>
      </c>
      <c r="AR18" s="197"/>
      <c r="AS18" s="201">
        <f t="shared" si="14"/>
        <v>6.46</v>
      </c>
      <c r="AT18" s="202">
        <f t="shared" si="15"/>
        <v>4941.0140282131661</v>
      </c>
      <c r="AU18" s="197"/>
      <c r="AV18" s="197"/>
      <c r="AW18" s="197"/>
      <c r="AX18" s="197"/>
      <c r="AY18" s="208"/>
      <c r="AZ18" s="246"/>
    </row>
    <row r="19" spans="1:52" s="141" customFormat="1" ht="12" customHeight="1">
      <c r="A19" s="140" t="str">
        <f t="shared" si="2"/>
        <v>Grays Harbor WUTCResidentialRL032.0G1W001NOREC</v>
      </c>
      <c r="B19" s="140">
        <f t="shared" si="3"/>
        <v>1</v>
      </c>
      <c r="C19" s="193" t="s">
        <v>187</v>
      </c>
      <c r="D19" s="193" t="s">
        <v>188</v>
      </c>
      <c r="E19" s="194">
        <v>17.940000000000001</v>
      </c>
      <c r="F19" s="194">
        <v>18.239999999999998</v>
      </c>
      <c r="G19" s="195">
        <v>4228.8599999999997</v>
      </c>
      <c r="H19" s="195">
        <v>4141.3049999999994</v>
      </c>
      <c r="I19" s="195">
        <v>4182.2650000000003</v>
      </c>
      <c r="J19" s="195">
        <v>4229.0550000000003</v>
      </c>
      <c r="K19" s="195">
        <v>4112.45</v>
      </c>
      <c r="L19" s="195">
        <v>4122.2199999999993</v>
      </c>
      <c r="M19" s="195">
        <v>4054.94</v>
      </c>
      <c r="N19" s="195">
        <v>4026.0349999999999</v>
      </c>
      <c r="O19" s="195">
        <v>3841.645</v>
      </c>
      <c r="P19" s="195">
        <v>3880.5250000000001</v>
      </c>
      <c r="Q19" s="195">
        <v>3804.5450000000001</v>
      </c>
      <c r="R19" s="195">
        <v>3802.03</v>
      </c>
      <c r="S19" s="196">
        <f t="shared" si="4"/>
        <v>48425.874999999993</v>
      </c>
      <c r="T19" s="197"/>
      <c r="U19" s="195">
        <f t="shared" si="5"/>
        <v>235.72240802675583</v>
      </c>
      <c r="V19" s="195">
        <f t="shared" si="5"/>
        <v>230.84197324414711</v>
      </c>
      <c r="W19" s="195">
        <f t="shared" si="5"/>
        <v>233.12513935340021</v>
      </c>
      <c r="X19" s="195">
        <f t="shared" si="5"/>
        <v>235.73327759197323</v>
      </c>
      <c r="Y19" s="195">
        <f t="shared" si="5"/>
        <v>229.23355629877366</v>
      </c>
      <c r="Z19" s="195">
        <f t="shared" si="5"/>
        <v>229.77814938684497</v>
      </c>
      <c r="AA19" s="195">
        <f t="shared" si="5"/>
        <v>226.02787068004457</v>
      </c>
      <c r="AB19" s="195">
        <f t="shared" si="5"/>
        <v>224.41666666666663</v>
      </c>
      <c r="AC19" s="195">
        <f t="shared" si="5"/>
        <v>214.1385172798216</v>
      </c>
      <c r="AD19" s="195">
        <f t="shared" si="5"/>
        <v>216.30574136008917</v>
      </c>
      <c r="AE19" s="195">
        <f t="shared" si="6"/>
        <v>208.5825109649123</v>
      </c>
      <c r="AF19" s="195">
        <f t="shared" si="6"/>
        <v>208.44462719298249</v>
      </c>
      <c r="AG19" s="195">
        <f t="shared" si="7"/>
        <v>224.36253650386763</v>
      </c>
      <c r="AH19" s="195">
        <f t="shared" si="8"/>
        <v>224.36253650386763</v>
      </c>
      <c r="AI19" s="195">
        <f t="shared" si="9"/>
        <v>2692.3504380464115</v>
      </c>
      <c r="AJ19" s="197"/>
      <c r="AK19" s="196">
        <f>AK20</f>
        <v>0.23510419240030361</v>
      </c>
      <c r="AL19" s="198">
        <f t="shared" si="10"/>
        <v>632.98287539550518</v>
      </c>
      <c r="AM19" s="197"/>
      <c r="AN19" s="196">
        <f t="shared" si="11"/>
        <v>18.475104192400302</v>
      </c>
      <c r="AO19" s="198">
        <f t="shared" si="12"/>
        <v>49741.454865362044</v>
      </c>
      <c r="AP19" s="199">
        <f>AP20</f>
        <v>0.2</v>
      </c>
      <c r="AQ19" s="200">
        <f t="shared" si="13"/>
        <v>538.47008760928236</v>
      </c>
      <c r="AR19" s="197"/>
      <c r="AS19" s="201">
        <f t="shared" si="14"/>
        <v>18.439999999999998</v>
      </c>
      <c r="AT19" s="202">
        <f t="shared" si="15"/>
        <v>49646.942077575819</v>
      </c>
      <c r="AU19" s="197"/>
      <c r="AV19" s="197"/>
      <c r="AW19" s="197"/>
      <c r="AX19" s="197"/>
      <c r="AY19" s="208">
        <f>1*AI19</f>
        <v>2692.3504380464115</v>
      </c>
      <c r="AZ19" s="246"/>
    </row>
    <row r="20" spans="1:52" s="141" customFormat="1" ht="12" customHeight="1">
      <c r="A20" s="140" t="str">
        <f t="shared" si="2"/>
        <v>Grays Harbor WUTCResidentialRL032.0G1W001WREC</v>
      </c>
      <c r="B20" s="140">
        <f t="shared" si="3"/>
        <v>1</v>
      </c>
      <c r="C20" s="193" t="s">
        <v>189</v>
      </c>
      <c r="D20" s="193" t="s">
        <v>190</v>
      </c>
      <c r="E20" s="194">
        <v>15.94</v>
      </c>
      <c r="F20" s="194">
        <v>16.239999999999998</v>
      </c>
      <c r="G20" s="195">
        <v>6624.83</v>
      </c>
      <c r="H20" s="195">
        <v>6644.33</v>
      </c>
      <c r="I20" s="195">
        <v>6720.5250000000005</v>
      </c>
      <c r="J20" s="195">
        <v>6598.28</v>
      </c>
      <c r="K20" s="195">
        <v>6772.9549999999999</v>
      </c>
      <c r="L20" s="195">
        <v>6678.2</v>
      </c>
      <c r="M20" s="195">
        <v>6663.5850000000009</v>
      </c>
      <c r="N20" s="195">
        <v>6598.9300000000012</v>
      </c>
      <c r="O20" s="195">
        <v>6499.76</v>
      </c>
      <c r="P20" s="195">
        <v>6469.87</v>
      </c>
      <c r="Q20" s="195">
        <v>6390.41</v>
      </c>
      <c r="R20" s="195">
        <v>6415.8149999999996</v>
      </c>
      <c r="S20" s="196">
        <f t="shared" si="4"/>
        <v>79077.490000000005</v>
      </c>
      <c r="T20" s="197"/>
      <c r="U20" s="195">
        <f t="shared" si="5"/>
        <v>415.61041405269765</v>
      </c>
      <c r="V20" s="195">
        <f t="shared" si="5"/>
        <v>416.83375156838144</v>
      </c>
      <c r="W20" s="195">
        <f t="shared" si="5"/>
        <v>421.61386449184448</v>
      </c>
      <c r="X20" s="195">
        <f t="shared" si="5"/>
        <v>413.9447929736512</v>
      </c>
      <c r="Y20" s="195">
        <f t="shared" si="5"/>
        <v>424.90307402760351</v>
      </c>
      <c r="Z20" s="195">
        <f t="shared" si="5"/>
        <v>418.95859473023842</v>
      </c>
      <c r="AA20" s="195">
        <f t="shared" si="5"/>
        <v>418.04171894604775</v>
      </c>
      <c r="AB20" s="195">
        <f t="shared" si="5"/>
        <v>413.98557089084073</v>
      </c>
      <c r="AC20" s="195">
        <f t="shared" si="5"/>
        <v>407.76411543287333</v>
      </c>
      <c r="AD20" s="195">
        <f t="shared" si="5"/>
        <v>405.88895859473024</v>
      </c>
      <c r="AE20" s="195">
        <f t="shared" si="6"/>
        <v>393.49815270935966</v>
      </c>
      <c r="AF20" s="195">
        <f t="shared" si="6"/>
        <v>395.0625</v>
      </c>
      <c r="AG20" s="195">
        <f t="shared" si="7"/>
        <v>412.17545903485569</v>
      </c>
      <c r="AH20" s="195">
        <f t="shared" si="8"/>
        <v>412.17545903485569</v>
      </c>
      <c r="AI20" s="195">
        <f t="shared" si="9"/>
        <v>4946.1055084182681</v>
      </c>
      <c r="AJ20" s="197"/>
      <c r="AK20" s="196">
        <f t="shared" si="16"/>
        <v>0.23510419240030361</v>
      </c>
      <c r="AL20" s="198">
        <f t="shared" si="10"/>
        <v>1162.8501410833701</v>
      </c>
      <c r="AM20" s="197"/>
      <c r="AN20" s="196">
        <f t="shared" si="11"/>
        <v>16.475104192400302</v>
      </c>
      <c r="AO20" s="198">
        <f t="shared" si="12"/>
        <v>81487.603597796042</v>
      </c>
      <c r="AP20" s="199">
        <f>ROUND(F20*$AS$3,2)</f>
        <v>0.2</v>
      </c>
      <c r="AQ20" s="200">
        <f t="shared" si="13"/>
        <v>989.22110168365361</v>
      </c>
      <c r="AR20" s="197"/>
      <c r="AS20" s="201">
        <f t="shared" si="14"/>
        <v>16.439999999999998</v>
      </c>
      <c r="AT20" s="202">
        <f t="shared" si="15"/>
        <v>81313.974558396323</v>
      </c>
      <c r="AU20" s="197"/>
      <c r="AV20" s="197"/>
      <c r="AW20" s="197"/>
      <c r="AX20" s="197"/>
      <c r="AY20" s="208"/>
      <c r="AZ20" s="246"/>
    </row>
    <row r="21" spans="1:52" s="141" customFormat="1" ht="12" customHeight="1">
      <c r="A21" s="140" t="str">
        <f t="shared" si="2"/>
        <v>Grays Harbor WUTCResidentialRL032.0G1W002NOREC</v>
      </c>
      <c r="B21" s="140">
        <f t="shared" si="3"/>
        <v>1</v>
      </c>
      <c r="C21" s="193" t="s">
        <v>191</v>
      </c>
      <c r="D21" s="193" t="s">
        <v>192</v>
      </c>
      <c r="E21" s="194">
        <v>26.54</v>
      </c>
      <c r="F21" s="194">
        <v>26.98</v>
      </c>
      <c r="G21" s="195">
        <v>504.26</v>
      </c>
      <c r="H21" s="195">
        <v>497.625</v>
      </c>
      <c r="I21" s="195">
        <v>471.08500000000004</v>
      </c>
      <c r="J21" s="195">
        <v>477.72</v>
      </c>
      <c r="K21" s="195">
        <v>477.72</v>
      </c>
      <c r="L21" s="195">
        <v>462.97500000000002</v>
      </c>
      <c r="M21" s="195">
        <v>489.51499999999999</v>
      </c>
      <c r="N21" s="195">
        <v>477.71999999999997</v>
      </c>
      <c r="O21" s="195">
        <v>477.71999999999997</v>
      </c>
      <c r="P21" s="195">
        <v>477.71999999999997</v>
      </c>
      <c r="Q21" s="195">
        <v>484.76</v>
      </c>
      <c r="R21" s="195">
        <v>486.08</v>
      </c>
      <c r="S21" s="196">
        <f t="shared" si="4"/>
        <v>5784.9</v>
      </c>
      <c r="T21" s="197"/>
      <c r="U21" s="195">
        <f t="shared" si="5"/>
        <v>19</v>
      </c>
      <c r="V21" s="195">
        <f t="shared" si="5"/>
        <v>18.75</v>
      </c>
      <c r="W21" s="195">
        <f t="shared" si="5"/>
        <v>17.750000000000004</v>
      </c>
      <c r="X21" s="195">
        <f t="shared" si="5"/>
        <v>18</v>
      </c>
      <c r="Y21" s="195">
        <f t="shared" si="5"/>
        <v>18</v>
      </c>
      <c r="Z21" s="195">
        <f t="shared" si="5"/>
        <v>17.444423511680483</v>
      </c>
      <c r="AA21" s="195">
        <f t="shared" si="5"/>
        <v>18.444423511680483</v>
      </c>
      <c r="AB21" s="195">
        <f t="shared" si="5"/>
        <v>18</v>
      </c>
      <c r="AC21" s="195">
        <f t="shared" si="5"/>
        <v>18</v>
      </c>
      <c r="AD21" s="195">
        <f t="shared" si="5"/>
        <v>18</v>
      </c>
      <c r="AE21" s="195">
        <f t="shared" si="6"/>
        <v>17.967383246849518</v>
      </c>
      <c r="AF21" s="195">
        <f t="shared" si="6"/>
        <v>18.016308376575239</v>
      </c>
      <c r="AG21" s="195">
        <f t="shared" si="7"/>
        <v>18.114378220565477</v>
      </c>
      <c r="AH21" s="195">
        <f t="shared" si="8"/>
        <v>18.114378220565477</v>
      </c>
      <c r="AI21" s="195">
        <f t="shared" si="9"/>
        <v>217.37253864678573</v>
      </c>
      <c r="AJ21" s="197"/>
      <c r="AK21" s="196">
        <f>AK22</f>
        <v>0.3616319412659843</v>
      </c>
      <c r="AL21" s="198">
        <f t="shared" si="10"/>
        <v>78.608853128752315</v>
      </c>
      <c r="AM21" s="197"/>
      <c r="AN21" s="196">
        <f t="shared" si="11"/>
        <v>27.341631941265984</v>
      </c>
      <c r="AO21" s="198">
        <f t="shared" si="12"/>
        <v>5943.3199458190311</v>
      </c>
      <c r="AP21" s="199">
        <f>AP22</f>
        <v>0.31</v>
      </c>
      <c r="AQ21" s="200">
        <f t="shared" si="13"/>
        <v>67.385486980503572</v>
      </c>
      <c r="AR21" s="197"/>
      <c r="AS21" s="201">
        <f t="shared" si="14"/>
        <v>27.29</v>
      </c>
      <c r="AT21" s="202">
        <f t="shared" si="15"/>
        <v>5932.0965796707824</v>
      </c>
      <c r="AU21" s="197"/>
      <c r="AV21" s="197"/>
      <c r="AW21" s="197"/>
      <c r="AX21" s="197"/>
      <c r="AY21" s="208">
        <f>1*AI21</f>
        <v>217.37253864678573</v>
      </c>
      <c r="AZ21" s="246"/>
    </row>
    <row r="22" spans="1:52" s="141" customFormat="1" ht="12" customHeight="1">
      <c r="A22" s="140" t="str">
        <f t="shared" si="2"/>
        <v>Grays Harbor WUTCResidentialRL032.0G1W002WREC</v>
      </c>
      <c r="B22" s="140">
        <f t="shared" si="3"/>
        <v>1</v>
      </c>
      <c r="C22" s="193" t="s">
        <v>193</v>
      </c>
      <c r="D22" s="193" t="s">
        <v>194</v>
      </c>
      <c r="E22" s="194">
        <v>24.54</v>
      </c>
      <c r="F22" s="194">
        <v>24.98</v>
      </c>
      <c r="G22" s="195">
        <v>343.56</v>
      </c>
      <c r="H22" s="195">
        <v>368.1</v>
      </c>
      <c r="I22" s="195">
        <v>368.1</v>
      </c>
      <c r="J22" s="195">
        <v>368.1</v>
      </c>
      <c r="K22" s="195">
        <v>368.1</v>
      </c>
      <c r="L22" s="195">
        <v>368.1</v>
      </c>
      <c r="M22" s="195">
        <v>368.1</v>
      </c>
      <c r="N22" s="195">
        <v>368.1</v>
      </c>
      <c r="O22" s="195">
        <v>368.1</v>
      </c>
      <c r="P22" s="195">
        <v>368.1</v>
      </c>
      <c r="Q22" s="195">
        <v>371.62</v>
      </c>
      <c r="R22" s="195">
        <v>376.24</v>
      </c>
      <c r="S22" s="196">
        <f t="shared" si="4"/>
        <v>4404.32</v>
      </c>
      <c r="T22" s="197"/>
      <c r="U22" s="195">
        <f t="shared" si="5"/>
        <v>14</v>
      </c>
      <c r="V22" s="195">
        <f t="shared" si="5"/>
        <v>15.000000000000002</v>
      </c>
      <c r="W22" s="195">
        <f t="shared" si="5"/>
        <v>15.000000000000002</v>
      </c>
      <c r="X22" s="195">
        <f t="shared" si="5"/>
        <v>15.000000000000002</v>
      </c>
      <c r="Y22" s="195">
        <f t="shared" si="5"/>
        <v>15.000000000000002</v>
      </c>
      <c r="Z22" s="195">
        <f t="shared" si="5"/>
        <v>15.000000000000002</v>
      </c>
      <c r="AA22" s="195">
        <f t="shared" si="5"/>
        <v>15.000000000000002</v>
      </c>
      <c r="AB22" s="195">
        <f t="shared" si="5"/>
        <v>15.000000000000002</v>
      </c>
      <c r="AC22" s="195">
        <f t="shared" si="5"/>
        <v>15.000000000000002</v>
      </c>
      <c r="AD22" s="195">
        <f t="shared" si="5"/>
        <v>15.000000000000002</v>
      </c>
      <c r="AE22" s="195">
        <f t="shared" si="6"/>
        <v>14.876701361088871</v>
      </c>
      <c r="AF22" s="195">
        <f t="shared" si="6"/>
        <v>15.061649319455565</v>
      </c>
      <c r="AG22" s="195">
        <f t="shared" si="7"/>
        <v>14.911529223378702</v>
      </c>
      <c r="AH22" s="195">
        <f t="shared" si="8"/>
        <v>14.911529223378702</v>
      </c>
      <c r="AI22" s="195">
        <f t="shared" si="9"/>
        <v>178.93835068054443</v>
      </c>
      <c r="AJ22" s="197"/>
      <c r="AK22" s="196">
        <f t="shared" si="16"/>
        <v>0.3616319412659843</v>
      </c>
      <c r="AL22" s="198">
        <f t="shared" si="10"/>
        <v>64.70982312353874</v>
      </c>
      <c r="AM22" s="197"/>
      <c r="AN22" s="196">
        <f t="shared" si="11"/>
        <v>25.341631941265984</v>
      </c>
      <c r="AO22" s="198">
        <f t="shared" si="12"/>
        <v>4534.5898231235387</v>
      </c>
      <c r="AP22" s="199">
        <f>ROUND(F22*$AS$3,2)</f>
        <v>0.31</v>
      </c>
      <c r="AQ22" s="200">
        <f t="shared" si="13"/>
        <v>55.470888710968772</v>
      </c>
      <c r="AR22" s="197"/>
      <c r="AS22" s="201">
        <f t="shared" si="14"/>
        <v>25.29</v>
      </c>
      <c r="AT22" s="202">
        <f t="shared" si="15"/>
        <v>4525.3508887109683</v>
      </c>
      <c r="AU22" s="197"/>
      <c r="AV22" s="197"/>
      <c r="AW22" s="197"/>
      <c r="AX22" s="197"/>
      <c r="AY22" s="208"/>
      <c r="AZ22" s="246"/>
    </row>
    <row r="23" spans="1:52" s="141" customFormat="1" ht="12" customHeight="1">
      <c r="A23" s="140" t="str">
        <f t="shared" si="2"/>
        <v>Grays Harbor WUTCResidentialRL032.0G1W003NOREC</v>
      </c>
      <c r="B23" s="140">
        <f t="shared" si="3"/>
        <v>1</v>
      </c>
      <c r="C23" s="193" t="s">
        <v>195</v>
      </c>
      <c r="D23" s="193" t="s">
        <v>196</v>
      </c>
      <c r="E23" s="194">
        <v>35.24</v>
      </c>
      <c r="F23" s="194">
        <v>35.909999999999997</v>
      </c>
      <c r="G23" s="195">
        <v>70.48</v>
      </c>
      <c r="H23" s="195">
        <v>70.48</v>
      </c>
      <c r="I23" s="195">
        <v>70.48</v>
      </c>
      <c r="J23" s="195">
        <v>70.48</v>
      </c>
      <c r="K23" s="195">
        <v>70.48</v>
      </c>
      <c r="L23" s="195">
        <v>70.48</v>
      </c>
      <c r="M23" s="195">
        <v>70.48</v>
      </c>
      <c r="N23" s="195">
        <v>70.48</v>
      </c>
      <c r="O23" s="195">
        <v>70.48</v>
      </c>
      <c r="P23" s="195">
        <v>70.48</v>
      </c>
      <c r="Q23" s="195">
        <v>71.819999999999993</v>
      </c>
      <c r="R23" s="195">
        <v>71.819999999999993</v>
      </c>
      <c r="S23" s="196">
        <f t="shared" si="4"/>
        <v>848.44</v>
      </c>
      <c r="T23" s="197"/>
      <c r="U23" s="195">
        <f t="shared" si="5"/>
        <v>2</v>
      </c>
      <c r="V23" s="195">
        <f t="shared" si="5"/>
        <v>2</v>
      </c>
      <c r="W23" s="195">
        <f t="shared" si="5"/>
        <v>2</v>
      </c>
      <c r="X23" s="195">
        <f t="shared" si="5"/>
        <v>2</v>
      </c>
      <c r="Y23" s="195">
        <f t="shared" si="5"/>
        <v>2</v>
      </c>
      <c r="Z23" s="195">
        <f t="shared" si="5"/>
        <v>2</v>
      </c>
      <c r="AA23" s="195">
        <f t="shared" si="5"/>
        <v>2</v>
      </c>
      <c r="AB23" s="195">
        <f t="shared" si="5"/>
        <v>2</v>
      </c>
      <c r="AC23" s="195">
        <f t="shared" si="5"/>
        <v>2</v>
      </c>
      <c r="AD23" s="195">
        <f t="shared" si="5"/>
        <v>2</v>
      </c>
      <c r="AE23" s="195">
        <f t="shared" si="6"/>
        <v>2</v>
      </c>
      <c r="AF23" s="195">
        <f t="shared" si="6"/>
        <v>2</v>
      </c>
      <c r="AG23" s="195">
        <f t="shared" si="7"/>
        <v>2</v>
      </c>
      <c r="AH23" s="195">
        <f t="shared" si="8"/>
        <v>2</v>
      </c>
      <c r="AI23" s="195">
        <f t="shared" si="9"/>
        <v>24</v>
      </c>
      <c r="AJ23" s="197"/>
      <c r="AK23" s="196">
        <f>AK24</f>
        <v>0.49091029336787534</v>
      </c>
      <c r="AL23" s="198">
        <f t="shared" si="10"/>
        <v>11.781847040829009</v>
      </c>
      <c r="AM23" s="197"/>
      <c r="AN23" s="196">
        <f t="shared" si="11"/>
        <v>36.400910293367872</v>
      </c>
      <c r="AO23" s="198">
        <f t="shared" si="12"/>
        <v>873.62184704082892</v>
      </c>
      <c r="AP23" s="199">
        <f>AP24</f>
        <v>0.42</v>
      </c>
      <c r="AQ23" s="200">
        <f t="shared" si="13"/>
        <v>10.08</v>
      </c>
      <c r="AR23" s="197"/>
      <c r="AS23" s="201">
        <f t="shared" si="14"/>
        <v>36.33</v>
      </c>
      <c r="AT23" s="202">
        <f t="shared" si="15"/>
        <v>871.92</v>
      </c>
      <c r="AU23" s="197"/>
      <c r="AV23" s="197"/>
      <c r="AW23" s="197"/>
      <c r="AX23" s="197"/>
      <c r="AY23" s="208">
        <f>1*AI23</f>
        <v>24</v>
      </c>
      <c r="AZ23" s="246"/>
    </row>
    <row r="24" spans="1:52" s="141" customFormat="1" ht="12" customHeight="1">
      <c r="A24" s="140" t="str">
        <f t="shared" si="2"/>
        <v>Grays Harbor WUTCResidentialRL032.0G1W003WREC</v>
      </c>
      <c r="B24" s="140">
        <f t="shared" si="3"/>
        <v>1</v>
      </c>
      <c r="C24" s="193" t="s">
        <v>197</v>
      </c>
      <c r="D24" s="193" t="s">
        <v>198</v>
      </c>
      <c r="E24" s="194">
        <v>33.24</v>
      </c>
      <c r="F24" s="194">
        <v>33.909999999999997</v>
      </c>
      <c r="G24" s="195">
        <v>132.96</v>
      </c>
      <c r="H24" s="195">
        <v>120.495</v>
      </c>
      <c r="I24" s="195">
        <v>87.25500000000001</v>
      </c>
      <c r="J24" s="195">
        <v>99.72</v>
      </c>
      <c r="K24" s="195">
        <v>99.72</v>
      </c>
      <c r="L24" s="195">
        <v>99.72</v>
      </c>
      <c r="M24" s="195">
        <v>66.48</v>
      </c>
      <c r="N24" s="195">
        <v>66.48</v>
      </c>
      <c r="O24" s="195">
        <v>66.48</v>
      </c>
      <c r="P24" s="195">
        <v>66.48</v>
      </c>
      <c r="Q24" s="195">
        <v>67.150000000000006</v>
      </c>
      <c r="R24" s="195">
        <v>68.155000000000001</v>
      </c>
      <c r="S24" s="196">
        <f t="shared" si="4"/>
        <v>1041.0950000000003</v>
      </c>
      <c r="T24" s="197"/>
      <c r="U24" s="195">
        <f t="shared" si="5"/>
        <v>4</v>
      </c>
      <c r="V24" s="195">
        <f t="shared" si="5"/>
        <v>3.625</v>
      </c>
      <c r="W24" s="195">
        <f t="shared" si="5"/>
        <v>2.625</v>
      </c>
      <c r="X24" s="195">
        <f t="shared" si="5"/>
        <v>3</v>
      </c>
      <c r="Y24" s="195">
        <f t="shared" si="5"/>
        <v>3</v>
      </c>
      <c r="Z24" s="195">
        <f t="shared" si="5"/>
        <v>3</v>
      </c>
      <c r="AA24" s="195">
        <f t="shared" si="5"/>
        <v>2</v>
      </c>
      <c r="AB24" s="195">
        <f t="shared" si="5"/>
        <v>2</v>
      </c>
      <c r="AC24" s="195">
        <f t="shared" si="5"/>
        <v>2</v>
      </c>
      <c r="AD24" s="195">
        <f t="shared" si="5"/>
        <v>2</v>
      </c>
      <c r="AE24" s="195">
        <f t="shared" si="6"/>
        <v>1.9802418165732827</v>
      </c>
      <c r="AF24" s="195">
        <f t="shared" si="6"/>
        <v>2.0098790917133593</v>
      </c>
      <c r="AG24" s="195">
        <f t="shared" si="7"/>
        <v>2.6033434090238869</v>
      </c>
      <c r="AH24" s="195">
        <f t="shared" si="8"/>
        <v>2.6033434090238869</v>
      </c>
      <c r="AI24" s="195">
        <f t="shared" si="9"/>
        <v>31.240120908286642</v>
      </c>
      <c r="AJ24" s="197"/>
      <c r="AK24" s="196">
        <f t="shared" si="16"/>
        <v>0.49091029336787534</v>
      </c>
      <c r="AL24" s="198">
        <f t="shared" si="10"/>
        <v>15.336096919934892</v>
      </c>
      <c r="AM24" s="197"/>
      <c r="AN24" s="196">
        <f t="shared" si="11"/>
        <v>34.400910293367872</v>
      </c>
      <c r="AO24" s="198">
        <f t="shared" si="12"/>
        <v>1074.6885969199348</v>
      </c>
      <c r="AP24" s="199">
        <f t="shared" ref="AP24:AP25" si="17">ROUND(F24*$AS$3,2)</f>
        <v>0.42</v>
      </c>
      <c r="AQ24" s="200">
        <f t="shared" si="13"/>
        <v>13.120850781480389</v>
      </c>
      <c r="AR24" s="197"/>
      <c r="AS24" s="201">
        <f t="shared" si="14"/>
        <v>34.33</v>
      </c>
      <c r="AT24" s="202">
        <f t="shared" si="15"/>
        <v>1072.4733507814803</v>
      </c>
      <c r="AU24" s="197"/>
      <c r="AV24" s="197"/>
      <c r="AW24" s="197"/>
      <c r="AX24" s="197"/>
      <c r="AY24" s="208"/>
      <c r="AZ24" s="246"/>
    </row>
    <row r="25" spans="1:52" s="141" customFormat="1" ht="12" customHeight="1">
      <c r="A25" s="140" t="str">
        <f t="shared" si="2"/>
        <v>Grays Harbor WUTCResidentialRL032.0G1W004NOREC</v>
      </c>
      <c r="B25" s="140">
        <f t="shared" si="3"/>
        <v>1</v>
      </c>
      <c r="C25" s="193" t="s">
        <v>199</v>
      </c>
      <c r="D25" s="193" t="s">
        <v>200</v>
      </c>
      <c r="E25" s="194">
        <v>43.7</v>
      </c>
      <c r="F25" s="194">
        <v>44.54</v>
      </c>
      <c r="G25" s="195">
        <v>43.7</v>
      </c>
      <c r="H25" s="195">
        <v>43.7</v>
      </c>
      <c r="I25" s="195">
        <v>43.7</v>
      </c>
      <c r="J25" s="195">
        <v>43.7</v>
      </c>
      <c r="K25" s="195">
        <v>43.7</v>
      </c>
      <c r="L25" s="195">
        <v>43.7</v>
      </c>
      <c r="M25" s="195">
        <v>43.7</v>
      </c>
      <c r="N25" s="195">
        <v>43.7</v>
      </c>
      <c r="O25" s="195">
        <v>43.7</v>
      </c>
      <c r="P25" s="195">
        <v>43.7</v>
      </c>
      <c r="Q25" s="195">
        <v>43.7</v>
      </c>
      <c r="R25" s="195">
        <v>44.96</v>
      </c>
      <c r="S25" s="196">
        <f t="shared" si="4"/>
        <v>525.66</v>
      </c>
      <c r="T25" s="197"/>
      <c r="U25" s="195">
        <f t="shared" si="5"/>
        <v>1</v>
      </c>
      <c r="V25" s="195">
        <f t="shared" si="5"/>
        <v>1</v>
      </c>
      <c r="W25" s="195">
        <f t="shared" si="5"/>
        <v>1</v>
      </c>
      <c r="X25" s="195">
        <f t="shared" si="5"/>
        <v>1</v>
      </c>
      <c r="Y25" s="195">
        <f t="shared" si="5"/>
        <v>1</v>
      </c>
      <c r="Z25" s="195">
        <f t="shared" si="5"/>
        <v>1</v>
      </c>
      <c r="AA25" s="195">
        <f t="shared" si="5"/>
        <v>1</v>
      </c>
      <c r="AB25" s="195">
        <f t="shared" si="5"/>
        <v>1</v>
      </c>
      <c r="AC25" s="195">
        <f t="shared" si="5"/>
        <v>1</v>
      </c>
      <c r="AD25" s="195">
        <f t="shared" si="5"/>
        <v>1</v>
      </c>
      <c r="AE25" s="195">
        <f t="shared" si="6"/>
        <v>0.98114054782218241</v>
      </c>
      <c r="AF25" s="195">
        <f t="shared" si="6"/>
        <v>1.0094297260889089</v>
      </c>
      <c r="AG25" s="195">
        <f t="shared" si="7"/>
        <v>0.99921418949259089</v>
      </c>
      <c r="AH25" s="195">
        <f t="shared" si="8"/>
        <v>0.99921418949259089</v>
      </c>
      <c r="AI25" s="195">
        <f t="shared" si="9"/>
        <v>11.990570273911091</v>
      </c>
      <c r="AJ25" s="197"/>
      <c r="AK25" s="196">
        <f t="shared" si="16"/>
        <v>0.64479930600428104</v>
      </c>
      <c r="AL25" s="198">
        <f t="shared" si="10"/>
        <v>7.7315113912134334</v>
      </c>
      <c r="AM25" s="197"/>
      <c r="AN25" s="196">
        <f t="shared" si="11"/>
        <v>45.18479930600428</v>
      </c>
      <c r="AO25" s="198">
        <f t="shared" si="12"/>
        <v>541.79151139121336</v>
      </c>
      <c r="AP25" s="199">
        <f t="shared" si="17"/>
        <v>0.56000000000000005</v>
      </c>
      <c r="AQ25" s="200">
        <f t="shared" si="13"/>
        <v>6.7147193533902119</v>
      </c>
      <c r="AR25" s="197"/>
      <c r="AS25" s="201">
        <f t="shared" si="14"/>
        <v>45.1</v>
      </c>
      <c r="AT25" s="202">
        <f t="shared" si="15"/>
        <v>540.7747193533902</v>
      </c>
      <c r="AU25" s="197"/>
      <c r="AV25" s="197"/>
      <c r="AW25" s="197"/>
      <c r="AX25" s="197"/>
      <c r="AY25" s="208">
        <f>1*AI25</f>
        <v>11.990570273911091</v>
      </c>
      <c r="AZ25" s="246"/>
    </row>
    <row r="26" spans="1:52" s="141" customFormat="1" ht="12" customHeight="1">
      <c r="A26" s="140" t="str">
        <f t="shared" si="2"/>
        <v>Grays Harbor WUTCResidentialRL032.0GEO001NOREC</v>
      </c>
      <c r="B26" s="140">
        <f t="shared" si="3"/>
        <v>1</v>
      </c>
      <c r="C26" s="193" t="s">
        <v>201</v>
      </c>
      <c r="D26" s="193" t="s">
        <v>202</v>
      </c>
      <c r="E26" s="194">
        <v>13.46</v>
      </c>
      <c r="F26" s="194">
        <v>13.61</v>
      </c>
      <c r="G26" s="195">
        <v>434.76</v>
      </c>
      <c r="H26" s="195">
        <v>441.49</v>
      </c>
      <c r="I26" s="195">
        <v>403.79999999999995</v>
      </c>
      <c r="J26" s="195">
        <v>403.79999999999995</v>
      </c>
      <c r="K26" s="195">
        <v>390.34000000000003</v>
      </c>
      <c r="L26" s="195">
        <v>403.8</v>
      </c>
      <c r="M26" s="195">
        <v>403.8</v>
      </c>
      <c r="N26" s="195">
        <v>386.97500000000002</v>
      </c>
      <c r="O26" s="195">
        <v>366.78500000000003</v>
      </c>
      <c r="P26" s="195">
        <v>370.15</v>
      </c>
      <c r="Q26" s="195">
        <v>366.41999999999996</v>
      </c>
      <c r="R26" s="195">
        <v>367.995</v>
      </c>
      <c r="S26" s="196">
        <f t="shared" si="4"/>
        <v>4740.1149999999998</v>
      </c>
      <c r="T26" s="197"/>
      <c r="U26" s="195">
        <f t="shared" si="5"/>
        <v>32.300148588410103</v>
      </c>
      <c r="V26" s="195">
        <f t="shared" si="5"/>
        <v>32.800148588410103</v>
      </c>
      <c r="W26" s="195">
        <f t="shared" si="5"/>
        <v>29.999999999999996</v>
      </c>
      <c r="X26" s="195">
        <f t="shared" si="5"/>
        <v>29.999999999999996</v>
      </c>
      <c r="Y26" s="195">
        <f t="shared" si="5"/>
        <v>29</v>
      </c>
      <c r="Z26" s="195">
        <f t="shared" si="5"/>
        <v>30</v>
      </c>
      <c r="AA26" s="195">
        <f t="shared" si="5"/>
        <v>30</v>
      </c>
      <c r="AB26" s="195">
        <f t="shared" si="5"/>
        <v>28.75</v>
      </c>
      <c r="AC26" s="195">
        <f t="shared" si="5"/>
        <v>27.25</v>
      </c>
      <c r="AD26" s="195">
        <f t="shared" si="5"/>
        <v>27.499999999999996</v>
      </c>
      <c r="AE26" s="195">
        <f t="shared" si="6"/>
        <v>26.922850844966934</v>
      </c>
      <c r="AF26" s="195">
        <f t="shared" si="6"/>
        <v>27.038574577516535</v>
      </c>
      <c r="AG26" s="195">
        <f t="shared" si="7"/>
        <v>29.296810216608645</v>
      </c>
      <c r="AH26" s="195">
        <f t="shared" si="8"/>
        <v>29.296810216608645</v>
      </c>
      <c r="AI26" s="195">
        <f t="shared" si="9"/>
        <v>351.56172259930372</v>
      </c>
      <c r="AJ26" s="197"/>
      <c r="AK26" s="196">
        <f>AK27</f>
        <v>0.16807633459159638</v>
      </c>
      <c r="AL26" s="198">
        <f t="shared" si="10"/>
        <v>59.08920571719856</v>
      </c>
      <c r="AM26" s="197"/>
      <c r="AN26" s="196">
        <f t="shared" si="11"/>
        <v>13.778076334591596</v>
      </c>
      <c r="AO26" s="198">
        <f t="shared" si="12"/>
        <v>4843.8442502937223</v>
      </c>
      <c r="AP26" s="199">
        <f>AP27</f>
        <v>0.15</v>
      </c>
      <c r="AQ26" s="200">
        <f t="shared" si="13"/>
        <v>52.734258389895558</v>
      </c>
      <c r="AR26" s="197"/>
      <c r="AS26" s="201">
        <f t="shared" si="14"/>
        <v>13.76</v>
      </c>
      <c r="AT26" s="202">
        <f t="shared" si="15"/>
        <v>4837.489302966419</v>
      </c>
      <c r="AU26" s="197"/>
      <c r="AV26" s="197"/>
      <c r="AW26" s="197"/>
      <c r="AX26" s="197"/>
      <c r="AY26" s="208">
        <f>1*AI26</f>
        <v>351.56172259930372</v>
      </c>
      <c r="AZ26" s="246"/>
    </row>
    <row r="27" spans="1:52" s="141" customFormat="1" ht="12" customHeight="1">
      <c r="A27" s="140" t="str">
        <f t="shared" si="2"/>
        <v>Grays Harbor WUTCResidentialRL032.0GEO001WREC</v>
      </c>
      <c r="B27" s="140">
        <f t="shared" si="3"/>
        <v>1</v>
      </c>
      <c r="C27" s="193" t="s">
        <v>203</v>
      </c>
      <c r="D27" s="193" t="s">
        <v>204</v>
      </c>
      <c r="E27" s="194">
        <v>11.46</v>
      </c>
      <c r="F27" s="194">
        <v>11.61</v>
      </c>
      <c r="G27" s="195">
        <v>1421.04</v>
      </c>
      <c r="H27" s="195">
        <v>1425.05</v>
      </c>
      <c r="I27" s="195">
        <v>1458.2800000000002</v>
      </c>
      <c r="J27" s="195">
        <v>1446.82</v>
      </c>
      <c r="K27" s="195">
        <v>1410.09</v>
      </c>
      <c r="L27" s="195">
        <v>1415.2449999999999</v>
      </c>
      <c r="M27" s="195">
        <v>1344.2550000000001</v>
      </c>
      <c r="N27" s="195">
        <v>1339.1</v>
      </c>
      <c r="O27" s="195">
        <v>1284.0899999999999</v>
      </c>
      <c r="P27" s="195">
        <v>1253.1500000000001</v>
      </c>
      <c r="Q27" s="195">
        <v>1215.585</v>
      </c>
      <c r="R27" s="195">
        <v>1203.8150000000001</v>
      </c>
      <c r="S27" s="196">
        <f t="shared" si="4"/>
        <v>16216.520000000002</v>
      </c>
      <c r="T27" s="197"/>
      <c r="U27" s="195">
        <f t="shared" si="5"/>
        <v>123.99999999999999</v>
      </c>
      <c r="V27" s="195">
        <f t="shared" si="5"/>
        <v>124.34991273996508</v>
      </c>
      <c r="W27" s="195">
        <f t="shared" si="5"/>
        <v>127.24956369982549</v>
      </c>
      <c r="X27" s="195">
        <f t="shared" si="5"/>
        <v>126.24956369982546</v>
      </c>
      <c r="Y27" s="195">
        <f t="shared" si="5"/>
        <v>123.04450261780103</v>
      </c>
      <c r="Z27" s="195">
        <f t="shared" si="5"/>
        <v>123.49432809773123</v>
      </c>
      <c r="AA27" s="195">
        <f t="shared" si="5"/>
        <v>117.29973821989529</v>
      </c>
      <c r="AB27" s="195">
        <f t="shared" si="5"/>
        <v>116.84991273996508</v>
      </c>
      <c r="AC27" s="195">
        <f t="shared" si="5"/>
        <v>112.04973821989527</v>
      </c>
      <c r="AD27" s="195">
        <f t="shared" si="5"/>
        <v>109.34991273996509</v>
      </c>
      <c r="AE27" s="195">
        <f t="shared" si="6"/>
        <v>104.70155038759691</v>
      </c>
      <c r="AF27" s="195">
        <f t="shared" si="6"/>
        <v>103.68776916451336</v>
      </c>
      <c r="AG27" s="195">
        <f t="shared" si="7"/>
        <v>117.6938743605816</v>
      </c>
      <c r="AH27" s="195">
        <f t="shared" si="8"/>
        <v>117.6938743605816</v>
      </c>
      <c r="AI27" s="195">
        <f t="shared" si="9"/>
        <v>1412.3264923269792</v>
      </c>
      <c r="AJ27" s="197"/>
      <c r="AK27" s="196">
        <f t="shared" si="16"/>
        <v>0.16807633459159638</v>
      </c>
      <c r="AL27" s="198">
        <f t="shared" si="10"/>
        <v>237.37866007692503</v>
      </c>
      <c r="AM27" s="197"/>
      <c r="AN27" s="196">
        <f t="shared" si="11"/>
        <v>11.778076334591596</v>
      </c>
      <c r="AO27" s="198">
        <f t="shared" si="12"/>
        <v>16634.489235993151</v>
      </c>
      <c r="AP27" s="199">
        <f t="shared" ref="AP27:AP28" si="18">ROUND(F27*$AS$3,2)</f>
        <v>0.15</v>
      </c>
      <c r="AQ27" s="200">
        <f t="shared" si="13"/>
        <v>211.84897384904687</v>
      </c>
      <c r="AR27" s="197"/>
      <c r="AS27" s="201">
        <f t="shared" si="14"/>
        <v>11.76</v>
      </c>
      <c r="AT27" s="202">
        <f t="shared" si="15"/>
        <v>16608.959549765274</v>
      </c>
      <c r="AU27" s="197"/>
      <c r="AV27" s="197"/>
      <c r="AW27" s="197"/>
      <c r="AX27" s="197"/>
      <c r="AY27" s="208"/>
      <c r="AZ27" s="246"/>
    </row>
    <row r="28" spans="1:52" s="141" customFormat="1" ht="12" customHeight="1">
      <c r="A28" s="140" t="str">
        <f t="shared" si="2"/>
        <v>Grays Harbor WUTCResidentialSL032.0G1M001</v>
      </c>
      <c r="B28" s="140">
        <f t="shared" si="3"/>
        <v>1</v>
      </c>
      <c r="C28" s="193" t="s">
        <v>182</v>
      </c>
      <c r="D28" s="193" t="s">
        <v>181</v>
      </c>
      <c r="E28" s="194">
        <v>6.31</v>
      </c>
      <c r="F28" s="194">
        <v>6.38</v>
      </c>
      <c r="G28" s="195">
        <v>0</v>
      </c>
      <c r="H28" s="195">
        <v>0</v>
      </c>
      <c r="I28" s="195">
        <v>6.31</v>
      </c>
      <c r="J28" s="195">
        <v>6.31</v>
      </c>
      <c r="K28" s="195">
        <v>6.31</v>
      </c>
      <c r="L28" s="195">
        <v>6.31</v>
      </c>
      <c r="M28" s="195">
        <v>0</v>
      </c>
      <c r="N28" s="195">
        <v>0</v>
      </c>
      <c r="O28" s="195">
        <v>0</v>
      </c>
      <c r="P28" s="195">
        <v>0</v>
      </c>
      <c r="Q28" s="195">
        <v>0</v>
      </c>
      <c r="R28" s="195">
        <v>0</v>
      </c>
      <c r="S28" s="196">
        <f t="shared" si="4"/>
        <v>25.24</v>
      </c>
      <c r="T28" s="197"/>
      <c r="U28" s="195">
        <f t="shared" si="5"/>
        <v>0</v>
      </c>
      <c r="V28" s="195">
        <f t="shared" si="5"/>
        <v>0</v>
      </c>
      <c r="W28" s="195">
        <f t="shared" si="5"/>
        <v>1</v>
      </c>
      <c r="X28" s="195">
        <f t="shared" si="5"/>
        <v>1</v>
      </c>
      <c r="Y28" s="195">
        <f t="shared" si="5"/>
        <v>1</v>
      </c>
      <c r="Z28" s="195">
        <f t="shared" si="5"/>
        <v>1</v>
      </c>
      <c r="AA28" s="195">
        <f t="shared" si="5"/>
        <v>0</v>
      </c>
      <c r="AB28" s="195">
        <f t="shared" si="5"/>
        <v>0</v>
      </c>
      <c r="AC28" s="195">
        <f t="shared" si="5"/>
        <v>0</v>
      </c>
      <c r="AD28" s="195">
        <f t="shared" si="5"/>
        <v>0</v>
      </c>
      <c r="AE28" s="195">
        <f t="shared" si="6"/>
        <v>0</v>
      </c>
      <c r="AF28" s="195">
        <f t="shared" si="6"/>
        <v>0</v>
      </c>
      <c r="AG28" s="195">
        <f t="shared" si="7"/>
        <v>0.33333333333333331</v>
      </c>
      <c r="AH28" s="195">
        <f t="shared" si="8"/>
        <v>0.33333333333333331</v>
      </c>
      <c r="AI28" s="195">
        <f t="shared" si="9"/>
        <v>4</v>
      </c>
      <c r="AJ28" s="197"/>
      <c r="AK28" s="196">
        <f t="shared" si="16"/>
        <v>9.2362361300119281E-2</v>
      </c>
      <c r="AL28" s="198">
        <f t="shared" si="10"/>
        <v>0.36944944520047712</v>
      </c>
      <c r="AM28" s="197"/>
      <c r="AN28" s="196">
        <f t="shared" si="11"/>
        <v>6.4723623613001191</v>
      </c>
      <c r="AO28" s="198">
        <f t="shared" si="12"/>
        <v>25.889449445200476</v>
      </c>
      <c r="AP28" s="199">
        <f t="shared" si="18"/>
        <v>0.08</v>
      </c>
      <c r="AQ28" s="200">
        <f t="shared" si="13"/>
        <v>0.32</v>
      </c>
      <c r="AR28" s="197"/>
      <c r="AS28" s="201">
        <f t="shared" si="14"/>
        <v>6.46</v>
      </c>
      <c r="AT28" s="202">
        <f t="shared" si="15"/>
        <v>25.84</v>
      </c>
      <c r="AU28" s="197"/>
      <c r="AV28" s="197"/>
      <c r="AW28" s="197"/>
      <c r="AX28" s="197"/>
      <c r="AY28" s="208"/>
      <c r="AZ28" s="246"/>
    </row>
    <row r="29" spans="1:52" s="141" customFormat="1" ht="12" customHeight="1">
      <c r="A29" s="140" t="str">
        <f t="shared" si="2"/>
        <v>Grays Harbor WUTCResidentialSL065.0G1M001</v>
      </c>
      <c r="B29" s="140">
        <f t="shared" si="3"/>
        <v>1</v>
      </c>
      <c r="C29" s="193" t="s">
        <v>205</v>
      </c>
      <c r="D29" s="193" t="s">
        <v>206</v>
      </c>
      <c r="E29" s="194">
        <v>9.48</v>
      </c>
      <c r="F29" s="194">
        <v>9.57</v>
      </c>
      <c r="G29" s="195">
        <v>118.5</v>
      </c>
      <c r="H29" s="195">
        <v>127.97999999999999</v>
      </c>
      <c r="I29" s="195">
        <v>123.24000000000001</v>
      </c>
      <c r="J29" s="195">
        <v>127.98</v>
      </c>
      <c r="K29" s="195">
        <v>127.98</v>
      </c>
      <c r="L29" s="195">
        <v>123.24000000000001</v>
      </c>
      <c r="M29" s="195">
        <v>47.4</v>
      </c>
      <c r="N29" s="195">
        <v>9.48</v>
      </c>
      <c r="O29" s="195">
        <v>4.74</v>
      </c>
      <c r="P29" s="195">
        <v>4.74</v>
      </c>
      <c r="Q29" s="195">
        <v>28.71</v>
      </c>
      <c r="R29" s="195">
        <v>9.57</v>
      </c>
      <c r="S29" s="196">
        <f t="shared" si="4"/>
        <v>853.56000000000017</v>
      </c>
      <c r="T29" s="197"/>
      <c r="U29" s="195">
        <f t="shared" si="5"/>
        <v>12.5</v>
      </c>
      <c r="V29" s="195">
        <f t="shared" si="5"/>
        <v>13.499999999999998</v>
      </c>
      <c r="W29" s="195">
        <f t="shared" si="5"/>
        <v>13</v>
      </c>
      <c r="X29" s="195">
        <f t="shared" si="5"/>
        <v>13.5</v>
      </c>
      <c r="Y29" s="195">
        <f t="shared" si="5"/>
        <v>13.5</v>
      </c>
      <c r="Z29" s="195">
        <f t="shared" si="5"/>
        <v>13</v>
      </c>
      <c r="AA29" s="195">
        <f t="shared" si="5"/>
        <v>5</v>
      </c>
      <c r="AB29" s="195">
        <f t="shared" si="5"/>
        <v>1</v>
      </c>
      <c r="AC29" s="195">
        <f t="shared" si="5"/>
        <v>0.5</v>
      </c>
      <c r="AD29" s="195">
        <f t="shared" si="5"/>
        <v>0.5</v>
      </c>
      <c r="AE29" s="195">
        <f t="shared" si="6"/>
        <v>3</v>
      </c>
      <c r="AF29" s="195">
        <f t="shared" si="6"/>
        <v>1</v>
      </c>
      <c r="AG29" s="195">
        <f t="shared" si="7"/>
        <v>7.5</v>
      </c>
      <c r="AH29" s="195">
        <f t="shared" si="8"/>
        <v>7.5</v>
      </c>
      <c r="AI29" s="195">
        <f t="shared" si="9"/>
        <v>90</v>
      </c>
      <c r="AJ29" s="197"/>
      <c r="AK29" s="196">
        <f t="shared" si="16"/>
        <v>0.13854354195017893</v>
      </c>
      <c r="AL29" s="198">
        <f t="shared" si="10"/>
        <v>12.468918775516103</v>
      </c>
      <c r="AM29" s="197"/>
      <c r="AN29" s="196">
        <f t="shared" si="11"/>
        <v>9.7085435419501795</v>
      </c>
      <c r="AO29" s="198">
        <f t="shared" si="12"/>
        <v>873.76891877551611</v>
      </c>
      <c r="AP29" s="199">
        <f>AP30</f>
        <v>0.14000000000000001</v>
      </c>
      <c r="AQ29" s="200">
        <f t="shared" si="13"/>
        <v>12.600000000000001</v>
      </c>
      <c r="AR29" s="197"/>
      <c r="AS29" s="201">
        <f t="shared" si="14"/>
        <v>9.7100000000000009</v>
      </c>
      <c r="AT29" s="202">
        <f t="shared" si="15"/>
        <v>873.90000000000009</v>
      </c>
      <c r="AU29" s="197"/>
      <c r="AV29" s="197"/>
      <c r="AW29" s="197"/>
      <c r="AX29" s="197"/>
      <c r="AY29" s="208"/>
      <c r="AZ29" s="246"/>
    </row>
    <row r="30" spans="1:52" s="141" customFormat="1" ht="12" customHeight="1">
      <c r="A30" s="140" t="str">
        <f t="shared" si="2"/>
        <v>Grays Harbor WUTCResidentialSL065.0G1M001NOREC</v>
      </c>
      <c r="B30" s="140">
        <f t="shared" si="3"/>
        <v>1</v>
      </c>
      <c r="C30" s="193" t="s">
        <v>207</v>
      </c>
      <c r="D30" s="193" t="s">
        <v>208</v>
      </c>
      <c r="E30" s="194">
        <v>11.48</v>
      </c>
      <c r="F30" s="194">
        <v>11.57</v>
      </c>
      <c r="G30" s="195">
        <v>734.72</v>
      </c>
      <c r="H30" s="195">
        <v>734.72</v>
      </c>
      <c r="I30" s="195">
        <v>717.5</v>
      </c>
      <c r="J30" s="195">
        <v>645.12</v>
      </c>
      <c r="K30" s="195">
        <v>671.58</v>
      </c>
      <c r="L30" s="195">
        <v>683.06</v>
      </c>
      <c r="M30" s="195">
        <v>660.09999999999991</v>
      </c>
      <c r="N30" s="195">
        <v>665.83999999999992</v>
      </c>
      <c r="O30" s="195">
        <v>654.36</v>
      </c>
      <c r="P30" s="195">
        <v>660.1</v>
      </c>
      <c r="Q30" s="195">
        <v>657.42000000000007</v>
      </c>
      <c r="R30" s="195">
        <v>672.005</v>
      </c>
      <c r="S30" s="196">
        <f t="shared" si="4"/>
        <v>8156.5249999999996</v>
      </c>
      <c r="T30" s="197"/>
      <c r="U30" s="195">
        <f t="shared" si="5"/>
        <v>64</v>
      </c>
      <c r="V30" s="195">
        <f t="shared" si="5"/>
        <v>64</v>
      </c>
      <c r="W30" s="195">
        <f t="shared" si="5"/>
        <v>62.5</v>
      </c>
      <c r="X30" s="195">
        <f t="shared" si="5"/>
        <v>56.195121951219512</v>
      </c>
      <c r="Y30" s="195">
        <f t="shared" si="5"/>
        <v>58.5</v>
      </c>
      <c r="Z30" s="195">
        <f t="shared" si="5"/>
        <v>59.499999999999993</v>
      </c>
      <c r="AA30" s="195">
        <f t="shared" si="5"/>
        <v>57.499999999999993</v>
      </c>
      <c r="AB30" s="195">
        <f t="shared" si="5"/>
        <v>57.999999999999993</v>
      </c>
      <c r="AC30" s="195">
        <f t="shared" si="5"/>
        <v>57</v>
      </c>
      <c r="AD30" s="195">
        <f t="shared" si="5"/>
        <v>57.5</v>
      </c>
      <c r="AE30" s="195">
        <f t="shared" si="6"/>
        <v>56.821089023336221</v>
      </c>
      <c r="AF30" s="195">
        <f t="shared" si="6"/>
        <v>58.081676750216076</v>
      </c>
      <c r="AG30" s="195">
        <f t="shared" si="7"/>
        <v>59.13315731039765</v>
      </c>
      <c r="AH30" s="195">
        <f t="shared" si="8"/>
        <v>59.13315731039765</v>
      </c>
      <c r="AI30" s="195">
        <f t="shared" si="9"/>
        <v>709.59788772477179</v>
      </c>
      <c r="AJ30" s="197"/>
      <c r="AK30" s="196">
        <f>AK29</f>
        <v>0.13854354195017893</v>
      </c>
      <c r="AL30" s="198">
        <f t="shared" si="10"/>
        <v>98.310204725755284</v>
      </c>
      <c r="AM30" s="197"/>
      <c r="AN30" s="196">
        <f t="shared" si="11"/>
        <v>11.70854354195018</v>
      </c>
      <c r="AO30" s="198">
        <f t="shared" si="12"/>
        <v>8308.3577657013648</v>
      </c>
      <c r="AP30" s="199">
        <f t="shared" ref="AP30:AP32" si="19">ROUND(F30*$AS$3,2)</f>
        <v>0.14000000000000001</v>
      </c>
      <c r="AQ30" s="200">
        <f t="shared" si="13"/>
        <v>99.343704281468064</v>
      </c>
      <c r="AR30" s="197"/>
      <c r="AS30" s="201">
        <f t="shared" si="14"/>
        <v>11.71</v>
      </c>
      <c r="AT30" s="202">
        <f t="shared" si="15"/>
        <v>8309.391265257078</v>
      </c>
      <c r="AU30" s="197"/>
      <c r="AV30" s="197"/>
      <c r="AW30" s="197"/>
      <c r="AX30" s="197"/>
      <c r="AY30" s="208">
        <f>1*AI30</f>
        <v>709.59788772477179</v>
      </c>
      <c r="AZ30" s="246"/>
    </row>
    <row r="31" spans="1:52" s="141" customFormat="1" ht="12" customHeight="1">
      <c r="A31" s="140" t="str">
        <f t="shared" si="2"/>
        <v>Grays Harbor WUTCResidentialSL065.0G1M001WREC</v>
      </c>
      <c r="B31" s="140">
        <f t="shared" si="3"/>
        <v>1</v>
      </c>
      <c r="C31" s="193" t="s">
        <v>209</v>
      </c>
      <c r="D31" s="193" t="s">
        <v>210</v>
      </c>
      <c r="E31" s="194">
        <v>9.48</v>
      </c>
      <c r="F31" s="194">
        <v>9.57</v>
      </c>
      <c r="G31" s="195">
        <v>5270.8799999999992</v>
      </c>
      <c r="H31" s="195">
        <v>5195.04</v>
      </c>
      <c r="I31" s="195">
        <v>5289.84</v>
      </c>
      <c r="J31" s="195">
        <v>5410.22</v>
      </c>
      <c r="K31" s="195">
        <v>5294.58</v>
      </c>
      <c r="L31" s="195">
        <v>5323.02</v>
      </c>
      <c r="M31" s="195">
        <v>5398.86</v>
      </c>
      <c r="N31" s="195">
        <v>5446.26</v>
      </c>
      <c r="O31" s="195">
        <v>5455.7400000000007</v>
      </c>
      <c r="P31" s="195">
        <v>5446.26</v>
      </c>
      <c r="Q31" s="195">
        <v>5340.3</v>
      </c>
      <c r="R31" s="195">
        <v>5411.49</v>
      </c>
      <c r="S31" s="196">
        <f t="shared" si="4"/>
        <v>64282.49</v>
      </c>
      <c r="T31" s="197"/>
      <c r="U31" s="195">
        <f t="shared" si="5"/>
        <v>555.99999999999989</v>
      </c>
      <c r="V31" s="195">
        <f t="shared" si="5"/>
        <v>548</v>
      </c>
      <c r="W31" s="195">
        <f t="shared" si="5"/>
        <v>558</v>
      </c>
      <c r="X31" s="195">
        <f t="shared" si="5"/>
        <v>570.69831223628694</v>
      </c>
      <c r="Y31" s="195">
        <f t="shared" si="5"/>
        <v>558.5</v>
      </c>
      <c r="Z31" s="195">
        <f t="shared" si="5"/>
        <v>561.5</v>
      </c>
      <c r="AA31" s="195">
        <f t="shared" si="5"/>
        <v>569.49999999999989</v>
      </c>
      <c r="AB31" s="195">
        <f t="shared" si="5"/>
        <v>574.5</v>
      </c>
      <c r="AC31" s="195">
        <f t="shared" si="5"/>
        <v>575.5</v>
      </c>
      <c r="AD31" s="195">
        <f t="shared" si="5"/>
        <v>574.5</v>
      </c>
      <c r="AE31" s="195">
        <f t="shared" si="6"/>
        <v>558.02507836990594</v>
      </c>
      <c r="AF31" s="195">
        <f t="shared" si="6"/>
        <v>565.46394984326014</v>
      </c>
      <c r="AG31" s="195">
        <f t="shared" si="7"/>
        <v>564.18227837078769</v>
      </c>
      <c r="AH31" s="195">
        <f t="shared" si="8"/>
        <v>564.18227837078769</v>
      </c>
      <c r="AI31" s="195">
        <f t="shared" si="9"/>
        <v>6770.1873404494527</v>
      </c>
      <c r="AJ31" s="197"/>
      <c r="AK31" s="196">
        <f t="shared" si="16"/>
        <v>0.13854354195017893</v>
      </c>
      <c r="AL31" s="198">
        <f t="shared" si="10"/>
        <v>937.96573381212909</v>
      </c>
      <c r="AM31" s="197"/>
      <c r="AN31" s="196">
        <f t="shared" si="11"/>
        <v>9.7085435419501795</v>
      </c>
      <c r="AO31" s="198">
        <f t="shared" si="12"/>
        <v>65728.658581913391</v>
      </c>
      <c r="AP31" s="199">
        <f t="shared" si="19"/>
        <v>0.12</v>
      </c>
      <c r="AQ31" s="200">
        <f t="shared" si="13"/>
        <v>812.4224808539343</v>
      </c>
      <c r="AR31" s="197"/>
      <c r="AS31" s="201">
        <f t="shared" si="14"/>
        <v>9.69</v>
      </c>
      <c r="AT31" s="202">
        <f t="shared" si="15"/>
        <v>65603.115328955188</v>
      </c>
      <c r="AU31" s="197"/>
      <c r="AV31" s="197"/>
      <c r="AW31" s="197"/>
      <c r="AX31" s="197"/>
      <c r="AY31" s="208"/>
      <c r="AZ31" s="246"/>
    </row>
    <row r="32" spans="1:52" s="141" customFormat="1" ht="12" customHeight="1">
      <c r="A32" s="140" t="str">
        <f t="shared" si="2"/>
        <v>Grays Harbor WUTCResidentialSL065.0G1W001</v>
      </c>
      <c r="B32" s="140">
        <f t="shared" si="3"/>
        <v>1</v>
      </c>
      <c r="C32" s="193" t="s">
        <v>211</v>
      </c>
      <c r="D32" s="193" t="s">
        <v>212</v>
      </c>
      <c r="E32" s="194">
        <v>25.16</v>
      </c>
      <c r="F32" s="194">
        <v>25.57</v>
      </c>
      <c r="G32" s="195">
        <v>493.4199999999999</v>
      </c>
      <c r="H32" s="195">
        <v>625.85500000000002</v>
      </c>
      <c r="I32" s="195">
        <v>398.49</v>
      </c>
      <c r="J32" s="195">
        <v>697.49</v>
      </c>
      <c r="K32" s="195">
        <v>705.18000000000006</v>
      </c>
      <c r="L32" s="195">
        <v>699.59500000000003</v>
      </c>
      <c r="M32" s="195">
        <v>243.21500000000003</v>
      </c>
      <c r="N32" s="195">
        <v>12.58</v>
      </c>
      <c r="O32" s="195">
        <v>25.16</v>
      </c>
      <c r="P32" s="195">
        <v>25.16</v>
      </c>
      <c r="Q32" s="195">
        <v>25.57</v>
      </c>
      <c r="R32" s="195">
        <v>33.5</v>
      </c>
      <c r="S32" s="196">
        <f t="shared" si="4"/>
        <v>3985.2150000000006</v>
      </c>
      <c r="T32" s="197"/>
      <c r="U32" s="195">
        <f t="shared" si="5"/>
        <v>19.611287758346577</v>
      </c>
      <c r="V32" s="195">
        <f t="shared" si="5"/>
        <v>24.875</v>
      </c>
      <c r="W32" s="195">
        <f t="shared" si="5"/>
        <v>15.838235294117647</v>
      </c>
      <c r="X32" s="195">
        <f t="shared" si="5"/>
        <v>27.722178060413356</v>
      </c>
      <c r="Y32" s="195">
        <f t="shared" si="5"/>
        <v>28.027821939586648</v>
      </c>
      <c r="Z32" s="195">
        <f t="shared" si="5"/>
        <v>27.805842607313195</v>
      </c>
      <c r="AA32" s="195">
        <f t="shared" si="5"/>
        <v>9.6667329093799701</v>
      </c>
      <c r="AB32" s="195">
        <f t="shared" si="5"/>
        <v>0.5</v>
      </c>
      <c r="AC32" s="195">
        <f t="shared" si="5"/>
        <v>1</v>
      </c>
      <c r="AD32" s="195">
        <f t="shared" si="5"/>
        <v>1</v>
      </c>
      <c r="AE32" s="195">
        <f t="shared" si="6"/>
        <v>1</v>
      </c>
      <c r="AF32" s="195">
        <f t="shared" si="6"/>
        <v>1.3101290574892452</v>
      </c>
      <c r="AG32" s="195">
        <f t="shared" si="7"/>
        <v>13.196435635553883</v>
      </c>
      <c r="AH32" s="195">
        <f t="shared" si="8"/>
        <v>13.196435635553883</v>
      </c>
      <c r="AI32" s="195">
        <f t="shared" si="9"/>
        <v>158.35722762664659</v>
      </c>
      <c r="AJ32" s="197"/>
      <c r="AK32" s="196">
        <f t="shared" si="16"/>
        <v>0.37017328815737466</v>
      </c>
      <c r="AL32" s="198">
        <f t="shared" si="10"/>
        <v>58.619615654041617</v>
      </c>
      <c r="AM32" s="197"/>
      <c r="AN32" s="196">
        <f t="shared" si="11"/>
        <v>25.940173288157375</v>
      </c>
      <c r="AO32" s="198">
        <f t="shared" si="12"/>
        <v>4107.8139260673952</v>
      </c>
      <c r="AP32" s="199">
        <f t="shared" si="19"/>
        <v>0.32</v>
      </c>
      <c r="AQ32" s="200">
        <f t="shared" si="13"/>
        <v>50.674312840526909</v>
      </c>
      <c r="AR32" s="197"/>
      <c r="AS32" s="201">
        <f t="shared" si="14"/>
        <v>25.89</v>
      </c>
      <c r="AT32" s="202">
        <f t="shared" si="15"/>
        <v>4099.8686232538803</v>
      </c>
      <c r="AU32" s="197"/>
      <c r="AV32" s="197"/>
      <c r="AW32" s="197"/>
      <c r="AX32" s="197"/>
      <c r="AY32" s="208"/>
      <c r="AZ32" s="246"/>
    </row>
    <row r="33" spans="1:52" s="141" customFormat="1" ht="12" customHeight="1">
      <c r="A33" s="140" t="str">
        <f t="shared" si="2"/>
        <v>Grays Harbor WUTCResidentialSL065.0G1W001NOREC</v>
      </c>
      <c r="B33" s="140">
        <f t="shared" si="3"/>
        <v>1</v>
      </c>
      <c r="C33" s="193" t="s">
        <v>213</v>
      </c>
      <c r="D33" s="193" t="s">
        <v>214</v>
      </c>
      <c r="E33" s="194">
        <v>27.16</v>
      </c>
      <c r="F33" s="194">
        <v>27.57</v>
      </c>
      <c r="G33" s="195">
        <v>4293.1550000000007</v>
      </c>
      <c r="H33" s="195">
        <v>4325.6100000000006</v>
      </c>
      <c r="I33" s="195">
        <v>4282.9850000000006</v>
      </c>
      <c r="J33" s="195">
        <v>4307.5050000000001</v>
      </c>
      <c r="K33" s="195">
        <v>4305.6149999999998</v>
      </c>
      <c r="L33" s="195">
        <v>4309.3850000000002</v>
      </c>
      <c r="M33" s="195">
        <v>4224.51</v>
      </c>
      <c r="N33" s="195">
        <v>4166.8500000000004</v>
      </c>
      <c r="O33" s="195">
        <v>4065</v>
      </c>
      <c r="P33" s="195">
        <v>4088.335</v>
      </c>
      <c r="Q33" s="195">
        <v>4160.5349999999999</v>
      </c>
      <c r="R33" s="195">
        <v>4223.0450000000001</v>
      </c>
      <c r="S33" s="196">
        <f t="shared" si="4"/>
        <v>50752.53</v>
      </c>
      <c r="T33" s="197"/>
      <c r="U33" s="195">
        <f t="shared" si="5"/>
        <v>158.06903534609722</v>
      </c>
      <c r="V33" s="195">
        <f t="shared" si="5"/>
        <v>159.26399116347571</v>
      </c>
      <c r="W33" s="195">
        <f t="shared" si="5"/>
        <v>157.694587628866</v>
      </c>
      <c r="X33" s="195">
        <f t="shared" si="5"/>
        <v>158.59738586156112</v>
      </c>
      <c r="Y33" s="195">
        <f t="shared" si="5"/>
        <v>158.52779823269512</v>
      </c>
      <c r="Z33" s="195">
        <f t="shared" si="5"/>
        <v>158.66660530191459</v>
      </c>
      <c r="AA33" s="195">
        <f t="shared" si="5"/>
        <v>155.54160530191459</v>
      </c>
      <c r="AB33" s="195">
        <f t="shared" si="5"/>
        <v>153.41863033873344</v>
      </c>
      <c r="AC33" s="195">
        <f t="shared" si="5"/>
        <v>149.66863033873344</v>
      </c>
      <c r="AD33" s="195">
        <f t="shared" si="5"/>
        <v>150.52779823269515</v>
      </c>
      <c r="AE33" s="195">
        <f t="shared" si="6"/>
        <v>150.90805223068551</v>
      </c>
      <c r="AF33" s="195">
        <f t="shared" si="6"/>
        <v>153.1753717809213</v>
      </c>
      <c r="AG33" s="195">
        <f t="shared" si="7"/>
        <v>155.33829097985776</v>
      </c>
      <c r="AH33" s="195">
        <f t="shared" si="8"/>
        <v>155.33829097985776</v>
      </c>
      <c r="AI33" s="195">
        <f t="shared" si="9"/>
        <v>1864.0594917582932</v>
      </c>
      <c r="AJ33" s="197"/>
      <c r="AK33" s="196">
        <f>AK32</f>
        <v>0.37017328815737466</v>
      </c>
      <c r="AL33" s="198">
        <f t="shared" si="10"/>
        <v>690.02503138513202</v>
      </c>
      <c r="AM33" s="197"/>
      <c r="AN33" s="196">
        <f t="shared" si="11"/>
        <v>27.940173288157375</v>
      </c>
      <c r="AO33" s="198">
        <f t="shared" si="12"/>
        <v>52082.145219161277</v>
      </c>
      <c r="AP33" s="199">
        <f>AP34</f>
        <v>0.32</v>
      </c>
      <c r="AQ33" s="200">
        <f t="shared" si="13"/>
        <v>596.49903736265389</v>
      </c>
      <c r="AR33" s="197"/>
      <c r="AS33" s="201">
        <f t="shared" si="14"/>
        <v>27.89</v>
      </c>
      <c r="AT33" s="202">
        <f t="shared" si="15"/>
        <v>51988.619225138798</v>
      </c>
      <c r="AU33" s="197"/>
      <c r="AV33" s="197"/>
      <c r="AW33" s="197"/>
      <c r="AX33" s="197"/>
      <c r="AY33" s="208">
        <f>1*AI33</f>
        <v>1864.0594917582932</v>
      </c>
      <c r="AZ33" s="246"/>
    </row>
    <row r="34" spans="1:52" s="141" customFormat="1" ht="12" customHeight="1">
      <c r="A34" s="140" t="str">
        <f t="shared" si="2"/>
        <v>Grays Harbor WUTCResidentialSL065.0G1W001WREC</v>
      </c>
      <c r="B34" s="140">
        <f t="shared" si="3"/>
        <v>1</v>
      </c>
      <c r="C34" s="193" t="s">
        <v>215</v>
      </c>
      <c r="D34" s="193" t="s">
        <v>216</v>
      </c>
      <c r="E34" s="194">
        <v>25.16</v>
      </c>
      <c r="F34" s="194">
        <v>25.57</v>
      </c>
      <c r="G34" s="195">
        <v>27773.855000000003</v>
      </c>
      <c r="H34" s="195">
        <v>27862.945</v>
      </c>
      <c r="I34" s="195">
        <v>28212.425000000003</v>
      </c>
      <c r="J34" s="195">
        <v>28183.075000000001</v>
      </c>
      <c r="K34" s="195">
        <v>28637.329999999998</v>
      </c>
      <c r="L34" s="195">
        <v>28953.944999999996</v>
      </c>
      <c r="M34" s="195">
        <v>29491.040000000001</v>
      </c>
      <c r="N34" s="195">
        <v>29919.465</v>
      </c>
      <c r="O34" s="195">
        <v>29881.375</v>
      </c>
      <c r="P34" s="195">
        <v>29699.999999999996</v>
      </c>
      <c r="Q34" s="195">
        <v>29794.480000000003</v>
      </c>
      <c r="R34" s="195">
        <v>30039.505000000005</v>
      </c>
      <c r="S34" s="196">
        <f t="shared" si="4"/>
        <v>348449.44</v>
      </c>
      <c r="T34" s="197"/>
      <c r="U34" s="195">
        <f t="shared" si="5"/>
        <v>1103.8893084260733</v>
      </c>
      <c r="V34" s="195">
        <f t="shared" si="5"/>
        <v>1107.4302464228936</v>
      </c>
      <c r="W34" s="195">
        <f t="shared" si="5"/>
        <v>1121.3205484896662</v>
      </c>
      <c r="X34" s="195">
        <f t="shared" si="5"/>
        <v>1120.154014308426</v>
      </c>
      <c r="Y34" s="195">
        <f t="shared" si="5"/>
        <v>1138.2086645468999</v>
      </c>
      <c r="Z34" s="195">
        <f t="shared" si="5"/>
        <v>1150.7927265500794</v>
      </c>
      <c r="AA34" s="195">
        <f t="shared" si="5"/>
        <v>1172.139904610493</v>
      </c>
      <c r="AB34" s="195">
        <f t="shared" si="5"/>
        <v>1189.1679252782194</v>
      </c>
      <c r="AC34" s="195">
        <f t="shared" si="5"/>
        <v>1187.654014308426</v>
      </c>
      <c r="AD34" s="195">
        <f t="shared" si="5"/>
        <v>1180.4451510333861</v>
      </c>
      <c r="AE34" s="195">
        <f t="shared" si="6"/>
        <v>1165.2123582323036</v>
      </c>
      <c r="AF34" s="195">
        <f t="shared" si="6"/>
        <v>1174.7948768087604</v>
      </c>
      <c r="AG34" s="195">
        <f t="shared" si="7"/>
        <v>1150.934144917969</v>
      </c>
      <c r="AH34" s="195">
        <f t="shared" si="8"/>
        <v>1150.934144917969</v>
      </c>
      <c r="AI34" s="195">
        <f t="shared" si="9"/>
        <v>13811.209739015627</v>
      </c>
      <c r="AJ34" s="197"/>
      <c r="AK34" s="196">
        <f t="shared" si="16"/>
        <v>0.37017328815737466</v>
      </c>
      <c r="AL34" s="198">
        <f t="shared" si="10"/>
        <v>5112.5409225225712</v>
      </c>
      <c r="AM34" s="197"/>
      <c r="AN34" s="196">
        <f t="shared" si="11"/>
        <v>25.940173288157375</v>
      </c>
      <c r="AO34" s="198">
        <f t="shared" si="12"/>
        <v>358265.17394915217</v>
      </c>
      <c r="AP34" s="199">
        <f t="shared" ref="AP34:AP37" si="20">ROUND(F34*$AS$3,2)</f>
        <v>0.32</v>
      </c>
      <c r="AQ34" s="200">
        <f t="shared" si="13"/>
        <v>4419.5871164850005</v>
      </c>
      <c r="AR34" s="197"/>
      <c r="AS34" s="201">
        <f t="shared" si="14"/>
        <v>25.89</v>
      </c>
      <c r="AT34" s="202">
        <f t="shared" si="15"/>
        <v>357572.22014311457</v>
      </c>
      <c r="AU34" s="197"/>
      <c r="AV34" s="197"/>
      <c r="AW34" s="197"/>
      <c r="AX34" s="197"/>
      <c r="AY34" s="208"/>
      <c r="AZ34" s="246"/>
    </row>
    <row r="35" spans="1:52" s="141" customFormat="1" ht="12" customHeight="1">
      <c r="A35" s="140" t="str">
        <f t="shared" si="2"/>
        <v>Grays Harbor WUTCResidentialSL065.0G1W002WREC</v>
      </c>
      <c r="B35" s="140">
        <f t="shared" si="3"/>
        <v>1</v>
      </c>
      <c r="C35" s="193" t="s">
        <v>217</v>
      </c>
      <c r="D35" s="193" t="s">
        <v>218</v>
      </c>
      <c r="E35" s="194">
        <v>50.32</v>
      </c>
      <c r="F35" s="194">
        <v>51.14</v>
      </c>
      <c r="G35" s="195">
        <v>50.32</v>
      </c>
      <c r="H35" s="195">
        <v>50.32</v>
      </c>
      <c r="I35" s="195">
        <v>50.32</v>
      </c>
      <c r="J35" s="195">
        <v>50.32</v>
      </c>
      <c r="K35" s="195">
        <v>50.32</v>
      </c>
      <c r="L35" s="195">
        <v>50.32</v>
      </c>
      <c r="M35" s="195">
        <v>50.32</v>
      </c>
      <c r="N35" s="195">
        <v>50.32</v>
      </c>
      <c r="O35" s="195">
        <v>50.32</v>
      </c>
      <c r="P35" s="195">
        <v>50.32</v>
      </c>
      <c r="Q35" s="195">
        <v>50.32</v>
      </c>
      <c r="R35" s="195">
        <v>51.55</v>
      </c>
      <c r="S35" s="196">
        <f t="shared" si="4"/>
        <v>605.06999999999994</v>
      </c>
      <c r="T35" s="197"/>
      <c r="U35" s="195">
        <f t="shared" si="5"/>
        <v>1</v>
      </c>
      <c r="V35" s="195">
        <f t="shared" si="5"/>
        <v>1</v>
      </c>
      <c r="W35" s="195">
        <f t="shared" si="5"/>
        <v>1</v>
      </c>
      <c r="X35" s="195">
        <f t="shared" si="5"/>
        <v>1</v>
      </c>
      <c r="Y35" s="195">
        <f t="shared" si="5"/>
        <v>1</v>
      </c>
      <c r="Z35" s="195">
        <f t="shared" si="5"/>
        <v>1</v>
      </c>
      <c r="AA35" s="195">
        <f t="shared" si="5"/>
        <v>1</v>
      </c>
      <c r="AB35" s="195">
        <f t="shared" si="5"/>
        <v>1</v>
      </c>
      <c r="AC35" s="195">
        <f t="shared" si="5"/>
        <v>1</v>
      </c>
      <c r="AD35" s="195">
        <f t="shared" si="5"/>
        <v>1</v>
      </c>
      <c r="AE35" s="195">
        <f t="shared" si="6"/>
        <v>0.98396558466953465</v>
      </c>
      <c r="AF35" s="195">
        <f t="shared" si="6"/>
        <v>1.0080172076652327</v>
      </c>
      <c r="AG35" s="195">
        <f t="shared" si="7"/>
        <v>0.99933189936123068</v>
      </c>
      <c r="AH35" s="195">
        <f t="shared" si="8"/>
        <v>0.99933189936123068</v>
      </c>
      <c r="AI35" s="195">
        <f t="shared" si="9"/>
        <v>11.991982792334769</v>
      </c>
      <c r="AJ35" s="197"/>
      <c r="AK35" s="196">
        <f t="shared" si="16"/>
        <v>0.74034657631474932</v>
      </c>
      <c r="AL35" s="198">
        <f t="shared" si="10"/>
        <v>8.8782234035304342</v>
      </c>
      <c r="AM35" s="197"/>
      <c r="AN35" s="196">
        <f t="shared" si="11"/>
        <v>51.88034657631475</v>
      </c>
      <c r="AO35" s="198">
        <f t="shared" si="12"/>
        <v>622.14822340353055</v>
      </c>
      <c r="AP35" s="199">
        <f t="shared" si="20"/>
        <v>0.64</v>
      </c>
      <c r="AQ35" s="200">
        <f t="shared" si="13"/>
        <v>7.6748689870942517</v>
      </c>
      <c r="AR35" s="197"/>
      <c r="AS35" s="201">
        <f t="shared" si="14"/>
        <v>51.78</v>
      </c>
      <c r="AT35" s="202">
        <f t="shared" si="15"/>
        <v>620.94486898709431</v>
      </c>
      <c r="AU35" s="197"/>
      <c r="AV35" s="197"/>
      <c r="AW35" s="197"/>
      <c r="AX35" s="197"/>
      <c r="AY35" s="208"/>
      <c r="AZ35" s="246"/>
    </row>
    <row r="36" spans="1:52" s="141" customFormat="1" ht="12" customHeight="1">
      <c r="A36" s="140" t="str">
        <f t="shared" si="2"/>
        <v>Grays Harbor WUTCResidentialSL065.0GEO001</v>
      </c>
      <c r="B36" s="140">
        <f t="shared" si="3"/>
        <v>1</v>
      </c>
      <c r="C36" s="193" t="s">
        <v>219</v>
      </c>
      <c r="D36" s="193" t="s">
        <v>220</v>
      </c>
      <c r="E36" s="194">
        <v>16.29</v>
      </c>
      <c r="F36" s="194">
        <v>16.489999999999998</v>
      </c>
      <c r="G36" s="195">
        <v>450.42500000000001</v>
      </c>
      <c r="H36" s="195">
        <v>397.47500000000002</v>
      </c>
      <c r="I36" s="195">
        <v>457.75000000000006</v>
      </c>
      <c r="J36" s="195">
        <v>431.69000000000005</v>
      </c>
      <c r="K36" s="195">
        <v>393.12</v>
      </c>
      <c r="L36" s="195">
        <v>478.92499999999995</v>
      </c>
      <c r="M36" s="195">
        <v>154.76</v>
      </c>
      <c r="N36" s="195">
        <v>4.0749999999999993</v>
      </c>
      <c r="O36" s="195">
        <v>17.86</v>
      </c>
      <c r="P36" s="195">
        <v>-3.26</v>
      </c>
      <c r="Q36" s="195">
        <v>12.37</v>
      </c>
      <c r="R36" s="195">
        <v>12.37</v>
      </c>
      <c r="S36" s="196">
        <f t="shared" si="4"/>
        <v>2807.56</v>
      </c>
      <c r="T36" s="197"/>
      <c r="U36" s="195">
        <f t="shared" si="5"/>
        <v>27.650399017802336</v>
      </c>
      <c r="V36" s="195">
        <f t="shared" si="5"/>
        <v>24.399938612645798</v>
      </c>
      <c r="W36" s="195">
        <f t="shared" si="5"/>
        <v>28.100061387354209</v>
      </c>
      <c r="X36" s="195">
        <f t="shared" si="5"/>
        <v>26.500306936771029</v>
      </c>
      <c r="Y36" s="195">
        <f t="shared" si="5"/>
        <v>24.132596685082873</v>
      </c>
      <c r="Z36" s="195">
        <f t="shared" si="5"/>
        <v>29.399938612645794</v>
      </c>
      <c r="AA36" s="195">
        <f t="shared" si="5"/>
        <v>9.5003069367710253</v>
      </c>
      <c r="AB36" s="195">
        <f t="shared" si="5"/>
        <v>0.25015346838551256</v>
      </c>
      <c r="AC36" s="195">
        <f t="shared" si="5"/>
        <v>1.0963781461019031</v>
      </c>
      <c r="AD36" s="195">
        <f t="shared" si="5"/>
        <v>-0.20012277470841006</v>
      </c>
      <c r="AE36" s="195">
        <f t="shared" si="6"/>
        <v>0.7501516070345664</v>
      </c>
      <c r="AF36" s="195">
        <f t="shared" si="6"/>
        <v>0.7501516070345664</v>
      </c>
      <c r="AG36" s="195">
        <f t="shared" si="7"/>
        <v>14.360855020243433</v>
      </c>
      <c r="AH36" s="195">
        <f t="shared" si="8"/>
        <v>14.360855020243433</v>
      </c>
      <c r="AI36" s="195">
        <f t="shared" si="9"/>
        <v>172.33026024292118</v>
      </c>
      <c r="AJ36" s="197"/>
      <c r="AK36" s="196">
        <f t="shared" si="16"/>
        <v>0.23872340718479104</v>
      </c>
      <c r="AL36" s="198">
        <f t="shared" si="10"/>
        <v>41.13926688623188</v>
      </c>
      <c r="AM36" s="197"/>
      <c r="AN36" s="196">
        <f t="shared" si="11"/>
        <v>16.728723407184791</v>
      </c>
      <c r="AO36" s="198">
        <f t="shared" si="12"/>
        <v>2882.8652582920022</v>
      </c>
      <c r="AP36" s="199">
        <f t="shared" si="20"/>
        <v>0.21</v>
      </c>
      <c r="AQ36" s="200">
        <f t="shared" si="13"/>
        <v>36.189354651013446</v>
      </c>
      <c r="AR36" s="197"/>
      <c r="AS36" s="201">
        <f t="shared" si="14"/>
        <v>16.7</v>
      </c>
      <c r="AT36" s="202">
        <f t="shared" si="15"/>
        <v>2877.9153460567836</v>
      </c>
      <c r="AU36" s="197"/>
      <c r="AV36" s="197"/>
      <c r="AW36" s="197"/>
      <c r="AX36" s="197"/>
      <c r="AY36" s="208"/>
      <c r="AZ36" s="246"/>
    </row>
    <row r="37" spans="1:52" s="141" customFormat="1">
      <c r="A37" s="140" t="str">
        <f t="shared" si="2"/>
        <v>Grays Harbor WUTCResidentialSL065.0G1M002WREC</v>
      </c>
      <c r="B37" s="140">
        <f t="shared" si="3"/>
        <v>1</v>
      </c>
      <c r="C37" s="193" t="s">
        <v>513</v>
      </c>
      <c r="D37" s="193" t="s">
        <v>514</v>
      </c>
      <c r="E37" s="194">
        <v>18.96</v>
      </c>
      <c r="F37" s="194">
        <v>19.14</v>
      </c>
      <c r="G37" s="195">
        <v>18.96</v>
      </c>
      <c r="H37" s="195">
        <v>18.96</v>
      </c>
      <c r="I37" s="195">
        <v>37.92</v>
      </c>
      <c r="J37" s="195">
        <v>37.92</v>
      </c>
      <c r="K37" s="195">
        <v>28.44</v>
      </c>
      <c r="L37" s="195">
        <v>28.44</v>
      </c>
      <c r="M37" s="195">
        <v>18.96</v>
      </c>
      <c r="N37" s="195">
        <v>18.96</v>
      </c>
      <c r="O37" s="195">
        <v>18.96</v>
      </c>
      <c r="P37" s="195">
        <v>18.96</v>
      </c>
      <c r="Q37" s="195">
        <v>19.14</v>
      </c>
      <c r="R37" s="195">
        <v>19.14</v>
      </c>
      <c r="S37" s="196">
        <f t="shared" si="4"/>
        <v>284.76000000000005</v>
      </c>
      <c r="T37" s="197"/>
      <c r="U37" s="195">
        <f t="shared" si="5"/>
        <v>1</v>
      </c>
      <c r="V37" s="195">
        <f t="shared" si="5"/>
        <v>1</v>
      </c>
      <c r="W37" s="195">
        <f t="shared" si="5"/>
        <v>2</v>
      </c>
      <c r="X37" s="195">
        <f t="shared" si="5"/>
        <v>2</v>
      </c>
      <c r="Y37" s="195">
        <f t="shared" si="5"/>
        <v>1.5</v>
      </c>
      <c r="Z37" s="195">
        <f t="shared" ref="Z37:AD56" si="21">IFERROR(L37/$E37,0)</f>
        <v>1.5</v>
      </c>
      <c r="AA37" s="195">
        <f t="shared" si="21"/>
        <v>1</v>
      </c>
      <c r="AB37" s="195">
        <f t="shared" si="21"/>
        <v>1</v>
      </c>
      <c r="AC37" s="195">
        <f t="shared" si="21"/>
        <v>1</v>
      </c>
      <c r="AD37" s="195">
        <f t="shared" si="21"/>
        <v>1</v>
      </c>
      <c r="AE37" s="195">
        <f t="shared" si="6"/>
        <v>1</v>
      </c>
      <c r="AF37" s="195">
        <f t="shared" si="6"/>
        <v>1</v>
      </c>
      <c r="AG37" s="195"/>
      <c r="AH37" s="195">
        <f t="shared" si="8"/>
        <v>1.25</v>
      </c>
      <c r="AI37" s="195">
        <f t="shared" si="9"/>
        <v>15</v>
      </c>
      <c r="AJ37" s="197"/>
      <c r="AK37" s="196">
        <f t="shared" si="16"/>
        <v>0.27708708390035786</v>
      </c>
      <c r="AL37" s="198">
        <f t="shared" si="10"/>
        <v>4.1563062585053681</v>
      </c>
      <c r="AM37" s="197"/>
      <c r="AN37" s="196">
        <f t="shared" si="11"/>
        <v>19.417087083900359</v>
      </c>
      <c r="AO37" s="198">
        <f t="shared" si="12"/>
        <v>291.25630625850539</v>
      </c>
      <c r="AP37" s="199">
        <f t="shared" si="20"/>
        <v>0.24</v>
      </c>
      <c r="AQ37" s="200">
        <f t="shared" si="13"/>
        <v>3.5999999999999996</v>
      </c>
      <c r="AR37" s="197"/>
      <c r="AS37" s="201">
        <f t="shared" si="14"/>
        <v>19.38</v>
      </c>
      <c r="AT37" s="202">
        <f t="shared" si="15"/>
        <v>290.7</v>
      </c>
      <c r="AU37" s="197"/>
      <c r="AV37" s="197"/>
      <c r="AW37" s="197"/>
      <c r="AX37" s="197"/>
      <c r="AY37" s="208"/>
      <c r="AZ37" s="246"/>
    </row>
    <row r="38" spans="1:52" s="141" customFormat="1" ht="12" customHeight="1">
      <c r="A38" s="140" t="str">
        <f t="shared" si="2"/>
        <v>Grays Harbor WUTCResidentialSL065.0GEO001NOREC</v>
      </c>
      <c r="B38" s="140">
        <f t="shared" si="3"/>
        <v>1</v>
      </c>
      <c r="C38" s="193" t="s">
        <v>221</v>
      </c>
      <c r="D38" s="193" t="s">
        <v>222</v>
      </c>
      <c r="E38" s="194">
        <v>18.29</v>
      </c>
      <c r="F38" s="194">
        <v>18.489999999999998</v>
      </c>
      <c r="G38" s="195">
        <v>4481.05</v>
      </c>
      <c r="H38" s="195">
        <v>4494.7650000000003</v>
      </c>
      <c r="I38" s="195">
        <v>4449.9549999999999</v>
      </c>
      <c r="J38" s="195">
        <v>4399.66</v>
      </c>
      <c r="K38" s="195">
        <v>4325.5899999999992</v>
      </c>
      <c r="L38" s="195">
        <v>4311.8599999999997</v>
      </c>
      <c r="M38" s="195">
        <v>4331.0599999999995</v>
      </c>
      <c r="N38" s="195">
        <v>4360.335</v>
      </c>
      <c r="O38" s="195">
        <v>4377.7149999999992</v>
      </c>
      <c r="P38" s="195">
        <v>4391.4399999999996</v>
      </c>
      <c r="Q38" s="195">
        <v>4444.1499999999996</v>
      </c>
      <c r="R38" s="195">
        <v>4397.51</v>
      </c>
      <c r="S38" s="196">
        <f t="shared" ref="S38:S56" si="22">+SUM(G38:R38)</f>
        <v>52765.090000000004</v>
      </c>
      <c r="T38" s="197"/>
      <c r="U38" s="195">
        <f t="shared" ref="U38:Y56" si="23">IFERROR(G38/$E38,0)</f>
        <v>245.00000000000003</v>
      </c>
      <c r="V38" s="195">
        <f t="shared" si="23"/>
        <v>245.74986331328597</v>
      </c>
      <c r="W38" s="195">
        <f t="shared" si="23"/>
        <v>243.29989065062875</v>
      </c>
      <c r="X38" s="195">
        <f t="shared" si="23"/>
        <v>240.55002733734281</v>
      </c>
      <c r="Y38" s="195">
        <f t="shared" si="23"/>
        <v>236.50027337342806</v>
      </c>
      <c r="Z38" s="195">
        <f t="shared" si="21"/>
        <v>235.74958993985783</v>
      </c>
      <c r="AA38" s="195">
        <f t="shared" si="21"/>
        <v>236.79934390377252</v>
      </c>
      <c r="AB38" s="195">
        <f t="shared" si="21"/>
        <v>238.39994532531441</v>
      </c>
      <c r="AC38" s="195">
        <f t="shared" si="21"/>
        <v>239.35019136139965</v>
      </c>
      <c r="AD38" s="195">
        <f t="shared" si="21"/>
        <v>240.10060142154182</v>
      </c>
      <c r="AE38" s="195">
        <f t="shared" ref="AE38:AF59" si="24">IFERROR(Q38/$F38,0)</f>
        <v>240.35424553812871</v>
      </c>
      <c r="AF38" s="195">
        <f t="shared" si="24"/>
        <v>237.83180097349921</v>
      </c>
      <c r="AG38" s="195">
        <f t="shared" ref="AG38:AG48" si="25">AVERAGE(U38:AF38)</f>
        <v>239.97381442818335</v>
      </c>
      <c r="AH38" s="195">
        <f t="shared" si="8"/>
        <v>239.97381442818335</v>
      </c>
      <c r="AI38" s="195">
        <f t="shared" si="9"/>
        <v>2879.6857731382001</v>
      </c>
      <c r="AJ38" s="197"/>
      <c r="AK38" s="196">
        <f>AK39</f>
        <v>0.23872340718479104</v>
      </c>
      <c r="AL38" s="198">
        <f t="shared" si="10"/>
        <v>687.44839938512041</v>
      </c>
      <c r="AM38" s="197"/>
      <c r="AN38" s="196">
        <f t="shared" si="11"/>
        <v>18.728723407184791</v>
      </c>
      <c r="AO38" s="198">
        <f t="shared" si="12"/>
        <v>53932.838344710442</v>
      </c>
      <c r="AP38" s="199">
        <f>AP39</f>
        <v>0.21</v>
      </c>
      <c r="AQ38" s="200">
        <f t="shared" si="13"/>
        <v>604.73401235902202</v>
      </c>
      <c r="AR38" s="197"/>
      <c r="AS38" s="201">
        <f t="shared" si="14"/>
        <v>18.7</v>
      </c>
      <c r="AT38" s="202">
        <f t="shared" si="15"/>
        <v>53850.123957684344</v>
      </c>
      <c r="AU38" s="197"/>
      <c r="AV38" s="197"/>
      <c r="AW38" s="197"/>
      <c r="AX38" s="197"/>
      <c r="AY38" s="208">
        <f>1*AI38</f>
        <v>2879.6857731382001</v>
      </c>
      <c r="AZ38" s="246"/>
    </row>
    <row r="39" spans="1:52" s="141" customFormat="1" ht="12" customHeight="1">
      <c r="A39" s="140" t="str">
        <f t="shared" si="2"/>
        <v>Grays Harbor WUTCResidentialSL065.0GEO001WREC</v>
      </c>
      <c r="B39" s="140">
        <f t="shared" si="3"/>
        <v>1</v>
      </c>
      <c r="C39" s="193" t="s">
        <v>223</v>
      </c>
      <c r="D39" s="193" t="s">
        <v>224</v>
      </c>
      <c r="E39" s="194">
        <v>16.29</v>
      </c>
      <c r="F39" s="194">
        <v>16.489999999999998</v>
      </c>
      <c r="G39" s="195">
        <v>38772.915000000001</v>
      </c>
      <c r="H39" s="195">
        <v>39054.86</v>
      </c>
      <c r="I39" s="195">
        <v>39274.019999999997</v>
      </c>
      <c r="J39" s="195">
        <v>39807.225000000006</v>
      </c>
      <c r="K39" s="195">
        <v>40085.80999999999</v>
      </c>
      <c r="L39" s="195">
        <v>40300.51</v>
      </c>
      <c r="M39" s="195">
        <v>40677.424999999996</v>
      </c>
      <c r="N39" s="195">
        <v>40969.82</v>
      </c>
      <c r="O39" s="195">
        <v>40778.79</v>
      </c>
      <c r="P39" s="195">
        <v>40738.53</v>
      </c>
      <c r="Q39" s="195">
        <v>41251.215000000004</v>
      </c>
      <c r="R39" s="195">
        <v>41563.26</v>
      </c>
      <c r="S39" s="196">
        <f t="shared" si="22"/>
        <v>483274.38000000006</v>
      </c>
      <c r="T39" s="197"/>
      <c r="U39" s="195">
        <f t="shared" si="23"/>
        <v>2380.166666666667</v>
      </c>
      <c r="V39" s="195">
        <f t="shared" si="23"/>
        <v>2397.4745242480049</v>
      </c>
      <c r="W39" s="195">
        <f t="shared" si="23"/>
        <v>2410.9281767955799</v>
      </c>
      <c r="X39" s="195">
        <f t="shared" si="23"/>
        <v>2443.6602209944758</v>
      </c>
      <c r="Y39" s="195">
        <f t="shared" si="23"/>
        <v>2460.7618170656842</v>
      </c>
      <c r="Z39" s="195">
        <f t="shared" si="21"/>
        <v>2473.9416820135057</v>
      </c>
      <c r="AA39" s="195">
        <f t="shared" si="21"/>
        <v>2497.0794966236954</v>
      </c>
      <c r="AB39" s="195">
        <f t="shared" si="21"/>
        <v>2515.0288520564764</v>
      </c>
      <c r="AC39" s="195">
        <f t="shared" si="21"/>
        <v>2503.3020257826888</v>
      </c>
      <c r="AD39" s="195">
        <f t="shared" si="21"/>
        <v>2500.8305709023944</v>
      </c>
      <c r="AE39" s="195">
        <f t="shared" si="24"/>
        <v>2501.5897513644636</v>
      </c>
      <c r="AF39" s="195">
        <f t="shared" si="24"/>
        <v>2520.5130382049729</v>
      </c>
      <c r="AG39" s="195">
        <f t="shared" si="25"/>
        <v>2467.106401893217</v>
      </c>
      <c r="AH39" s="195">
        <f t="shared" si="8"/>
        <v>2467.106401893217</v>
      </c>
      <c r="AI39" s="195">
        <f t="shared" si="9"/>
        <v>29605.276822718606</v>
      </c>
      <c r="AJ39" s="197"/>
      <c r="AK39" s="196">
        <f t="shared" si="16"/>
        <v>0.23872340718479104</v>
      </c>
      <c r="AL39" s="198">
        <f t="shared" si="10"/>
        <v>7067.4725537683107</v>
      </c>
      <c r="AM39" s="197"/>
      <c r="AN39" s="196">
        <f t="shared" si="11"/>
        <v>16.728723407184791</v>
      </c>
      <c r="AO39" s="198">
        <f t="shared" si="12"/>
        <v>495258.48736039811</v>
      </c>
      <c r="AP39" s="199">
        <f t="shared" ref="AP39:AP40" si="26">ROUND(F39*$AS$3,2)</f>
        <v>0.21</v>
      </c>
      <c r="AQ39" s="200">
        <f t="shared" si="13"/>
        <v>6217.1081327709071</v>
      </c>
      <c r="AR39" s="197"/>
      <c r="AS39" s="201">
        <f t="shared" si="14"/>
        <v>16.7</v>
      </c>
      <c r="AT39" s="202">
        <f t="shared" si="15"/>
        <v>494408.12293940072</v>
      </c>
      <c r="AU39" s="197"/>
      <c r="AV39" s="197"/>
      <c r="AW39" s="197"/>
      <c r="AX39" s="197"/>
      <c r="AY39" s="208"/>
      <c r="AZ39" s="246"/>
    </row>
    <row r="40" spans="1:52" s="141" customFormat="1" ht="12" customHeight="1">
      <c r="A40" s="140" t="str">
        <f t="shared" si="2"/>
        <v>Grays Harbor WUTCResidentialSL095.0G1M001</v>
      </c>
      <c r="B40" s="140">
        <f t="shared" si="3"/>
        <v>1</v>
      </c>
      <c r="C40" s="193" t="s">
        <v>225</v>
      </c>
      <c r="D40" s="193" t="s">
        <v>226</v>
      </c>
      <c r="E40" s="194">
        <v>12.66</v>
      </c>
      <c r="F40" s="194">
        <v>12.8</v>
      </c>
      <c r="G40" s="195">
        <v>50.64</v>
      </c>
      <c r="H40" s="195">
        <v>50.64</v>
      </c>
      <c r="I40" s="195">
        <v>63.3</v>
      </c>
      <c r="J40" s="195">
        <v>63.3</v>
      </c>
      <c r="K40" s="195">
        <v>63.3</v>
      </c>
      <c r="L40" s="195">
        <v>63.3</v>
      </c>
      <c r="M40" s="195">
        <v>12.66</v>
      </c>
      <c r="N40" s="195">
        <v>0</v>
      </c>
      <c r="O40" s="195">
        <v>0</v>
      </c>
      <c r="P40" s="195">
        <v>0</v>
      </c>
      <c r="Q40" s="195">
        <v>0</v>
      </c>
      <c r="R40" s="195">
        <v>0</v>
      </c>
      <c r="S40" s="196">
        <f t="shared" si="22"/>
        <v>367.14000000000004</v>
      </c>
      <c r="T40" s="197"/>
      <c r="U40" s="195">
        <f t="shared" si="23"/>
        <v>4</v>
      </c>
      <c r="V40" s="195">
        <f t="shared" si="23"/>
        <v>4</v>
      </c>
      <c r="W40" s="195">
        <f t="shared" si="23"/>
        <v>5</v>
      </c>
      <c r="X40" s="195">
        <f t="shared" si="23"/>
        <v>5</v>
      </c>
      <c r="Y40" s="195">
        <f t="shared" si="23"/>
        <v>5</v>
      </c>
      <c r="Z40" s="195">
        <f t="shared" si="21"/>
        <v>5</v>
      </c>
      <c r="AA40" s="195">
        <f t="shared" si="21"/>
        <v>1</v>
      </c>
      <c r="AB40" s="195">
        <f t="shared" si="21"/>
        <v>0</v>
      </c>
      <c r="AC40" s="195">
        <f t="shared" si="21"/>
        <v>0</v>
      </c>
      <c r="AD40" s="195">
        <f t="shared" si="21"/>
        <v>0</v>
      </c>
      <c r="AE40" s="195">
        <f t="shared" si="24"/>
        <v>0</v>
      </c>
      <c r="AF40" s="195">
        <f t="shared" si="24"/>
        <v>0</v>
      </c>
      <c r="AG40" s="195">
        <f t="shared" si="25"/>
        <v>2.4166666666666665</v>
      </c>
      <c r="AH40" s="195">
        <f t="shared" si="8"/>
        <v>2.4166666666666665</v>
      </c>
      <c r="AI40" s="195">
        <f t="shared" si="9"/>
        <v>29</v>
      </c>
      <c r="AJ40" s="197"/>
      <c r="AK40" s="196">
        <f t="shared" si="16"/>
        <v>0.18530379696575658</v>
      </c>
      <c r="AL40" s="198">
        <f t="shared" si="10"/>
        <v>5.3738101120069404</v>
      </c>
      <c r="AM40" s="197"/>
      <c r="AN40" s="196">
        <f t="shared" si="11"/>
        <v>12.985303796965757</v>
      </c>
      <c r="AO40" s="198">
        <f t="shared" si="12"/>
        <v>376.57381011200698</v>
      </c>
      <c r="AP40" s="199">
        <f t="shared" si="26"/>
        <v>0.16</v>
      </c>
      <c r="AQ40" s="200">
        <f t="shared" si="13"/>
        <v>4.6399999999999997</v>
      </c>
      <c r="AR40" s="197"/>
      <c r="AS40" s="201">
        <f t="shared" si="14"/>
        <v>12.96</v>
      </c>
      <c r="AT40" s="202">
        <f t="shared" si="15"/>
        <v>375.84000000000003</v>
      </c>
      <c r="AU40" s="197"/>
      <c r="AV40" s="197"/>
      <c r="AW40" s="197"/>
      <c r="AX40" s="197"/>
      <c r="AY40" s="208"/>
      <c r="AZ40" s="246"/>
    </row>
    <row r="41" spans="1:52" s="141" customFormat="1" ht="12" customHeight="1">
      <c r="A41" s="140" t="str">
        <f t="shared" si="2"/>
        <v>Grays Harbor WUTCResidentialSL095.0G1M001NOREC</v>
      </c>
      <c r="B41" s="140">
        <f t="shared" si="3"/>
        <v>1</v>
      </c>
      <c r="C41" s="193" t="s">
        <v>227</v>
      </c>
      <c r="D41" s="193" t="s">
        <v>228</v>
      </c>
      <c r="E41" s="194">
        <v>14.66</v>
      </c>
      <c r="F41" s="194">
        <v>14.8</v>
      </c>
      <c r="G41" s="195">
        <v>161.26</v>
      </c>
      <c r="H41" s="195">
        <v>161.26</v>
      </c>
      <c r="I41" s="195">
        <v>131.94</v>
      </c>
      <c r="J41" s="195">
        <v>131.94</v>
      </c>
      <c r="K41" s="195">
        <v>124.61</v>
      </c>
      <c r="L41" s="195">
        <v>117.28</v>
      </c>
      <c r="M41" s="195">
        <v>109.94999999999999</v>
      </c>
      <c r="N41" s="195">
        <v>124.61</v>
      </c>
      <c r="O41" s="195">
        <v>124.61</v>
      </c>
      <c r="P41" s="195">
        <v>131.94</v>
      </c>
      <c r="Q41" s="195">
        <v>147.44</v>
      </c>
      <c r="R41" s="195">
        <v>155.68</v>
      </c>
      <c r="S41" s="196">
        <f t="shared" si="22"/>
        <v>1622.52</v>
      </c>
      <c r="T41" s="197"/>
      <c r="U41" s="195">
        <f t="shared" si="23"/>
        <v>11</v>
      </c>
      <c r="V41" s="195">
        <f t="shared" si="23"/>
        <v>11</v>
      </c>
      <c r="W41" s="195">
        <f t="shared" si="23"/>
        <v>9</v>
      </c>
      <c r="X41" s="195">
        <f t="shared" si="23"/>
        <v>9</v>
      </c>
      <c r="Y41" s="195">
        <f t="shared" si="23"/>
        <v>8.5</v>
      </c>
      <c r="Z41" s="195">
        <f t="shared" si="21"/>
        <v>8</v>
      </c>
      <c r="AA41" s="195">
        <f t="shared" si="21"/>
        <v>7.4999999999999991</v>
      </c>
      <c r="AB41" s="195">
        <f t="shared" si="21"/>
        <v>8.5</v>
      </c>
      <c r="AC41" s="195">
        <f t="shared" si="21"/>
        <v>8.5</v>
      </c>
      <c r="AD41" s="195">
        <f t="shared" si="21"/>
        <v>9</v>
      </c>
      <c r="AE41" s="195">
        <f t="shared" si="24"/>
        <v>9.9621621621621621</v>
      </c>
      <c r="AF41" s="195">
        <f t="shared" si="24"/>
        <v>10.518918918918919</v>
      </c>
      <c r="AG41" s="195">
        <f t="shared" si="25"/>
        <v>9.2067567567567554</v>
      </c>
      <c r="AH41" s="195">
        <f t="shared" si="8"/>
        <v>9.2067567567567554</v>
      </c>
      <c r="AI41" s="195">
        <f t="shared" si="9"/>
        <v>110.48108108108107</v>
      </c>
      <c r="AJ41" s="197"/>
      <c r="AK41" s="196">
        <f>AK40</f>
        <v>0.18530379696575658</v>
      </c>
      <c r="AL41" s="198">
        <f t="shared" si="10"/>
        <v>20.472563817205938</v>
      </c>
      <c r="AM41" s="197"/>
      <c r="AN41" s="196">
        <f t="shared" si="11"/>
        <v>14.985303796965757</v>
      </c>
      <c r="AO41" s="198">
        <f t="shared" si="12"/>
        <v>1655.5925638172059</v>
      </c>
      <c r="AP41" s="199">
        <f>AP42</f>
        <v>0.16</v>
      </c>
      <c r="AQ41" s="200">
        <f t="shared" si="13"/>
        <v>17.676972972972973</v>
      </c>
      <c r="AR41" s="197"/>
      <c r="AS41" s="201">
        <f t="shared" si="14"/>
        <v>14.96</v>
      </c>
      <c r="AT41" s="202">
        <f t="shared" si="15"/>
        <v>1652.796972972973</v>
      </c>
      <c r="AU41" s="197"/>
      <c r="AV41" s="197"/>
      <c r="AW41" s="197"/>
      <c r="AX41" s="197"/>
      <c r="AY41" s="208">
        <f>1*AI41</f>
        <v>110.48108108108107</v>
      </c>
      <c r="AZ41" s="246"/>
    </row>
    <row r="42" spans="1:52" s="141" customFormat="1" ht="12" customHeight="1">
      <c r="A42" s="140" t="str">
        <f t="shared" si="2"/>
        <v>Grays Harbor WUTCResidentialSL095.0G1M001WREC</v>
      </c>
      <c r="B42" s="140">
        <f t="shared" si="3"/>
        <v>1</v>
      </c>
      <c r="C42" s="193" t="s">
        <v>229</v>
      </c>
      <c r="D42" s="193" t="s">
        <v>230</v>
      </c>
      <c r="E42" s="194">
        <v>12.66</v>
      </c>
      <c r="F42" s="194">
        <v>12.8</v>
      </c>
      <c r="G42" s="195">
        <v>810.24</v>
      </c>
      <c r="H42" s="195">
        <v>841.8900000000001</v>
      </c>
      <c r="I42" s="195">
        <v>841.8900000000001</v>
      </c>
      <c r="J42" s="195">
        <v>873.54</v>
      </c>
      <c r="K42" s="195">
        <v>841.88999999999987</v>
      </c>
      <c r="L42" s="195">
        <v>860.88</v>
      </c>
      <c r="M42" s="195">
        <v>905.18999999999994</v>
      </c>
      <c r="N42" s="195">
        <v>917.84999999999991</v>
      </c>
      <c r="O42" s="195">
        <v>949.5</v>
      </c>
      <c r="P42" s="195">
        <v>955.82999999999993</v>
      </c>
      <c r="Q42" s="195">
        <v>950.1</v>
      </c>
      <c r="R42" s="195">
        <v>955.35</v>
      </c>
      <c r="S42" s="196">
        <f t="shared" si="22"/>
        <v>10704.150000000001</v>
      </c>
      <c r="T42" s="197"/>
      <c r="U42" s="195">
        <f t="shared" si="23"/>
        <v>64</v>
      </c>
      <c r="V42" s="195">
        <f t="shared" si="23"/>
        <v>66.500000000000014</v>
      </c>
      <c r="W42" s="195">
        <f t="shared" si="23"/>
        <v>66.500000000000014</v>
      </c>
      <c r="X42" s="195">
        <f t="shared" si="23"/>
        <v>69</v>
      </c>
      <c r="Y42" s="195">
        <f t="shared" si="23"/>
        <v>66.499999999999986</v>
      </c>
      <c r="Z42" s="195">
        <f t="shared" si="21"/>
        <v>68</v>
      </c>
      <c r="AA42" s="195">
        <f t="shared" si="21"/>
        <v>71.5</v>
      </c>
      <c r="AB42" s="195">
        <f t="shared" si="21"/>
        <v>72.499999999999986</v>
      </c>
      <c r="AC42" s="195">
        <f t="shared" si="21"/>
        <v>75</v>
      </c>
      <c r="AD42" s="195">
        <f t="shared" si="21"/>
        <v>75.5</v>
      </c>
      <c r="AE42" s="195">
        <f t="shared" si="24"/>
        <v>74.2265625</v>
      </c>
      <c r="AF42" s="195">
        <f t="shared" si="24"/>
        <v>74.63671875</v>
      </c>
      <c r="AG42" s="195">
        <f t="shared" si="25"/>
        <v>70.321940104166671</v>
      </c>
      <c r="AH42" s="195">
        <f t="shared" si="8"/>
        <v>70.321940104166671</v>
      </c>
      <c r="AI42" s="195">
        <f t="shared" si="9"/>
        <v>843.86328125</v>
      </c>
      <c r="AJ42" s="197"/>
      <c r="AK42" s="196">
        <f t="shared" si="16"/>
        <v>0.18530379696575658</v>
      </c>
      <c r="AL42" s="198">
        <f t="shared" si="10"/>
        <v>156.37107013560714</v>
      </c>
      <c r="AM42" s="197"/>
      <c r="AN42" s="196">
        <f t="shared" si="11"/>
        <v>12.985303796965757</v>
      </c>
      <c r="AO42" s="198">
        <f t="shared" si="12"/>
        <v>10957.821070135607</v>
      </c>
      <c r="AP42" s="199">
        <f t="shared" ref="AP42:AP43" si="27">ROUND(F42*$AS$3,2)</f>
        <v>0.16</v>
      </c>
      <c r="AQ42" s="200">
        <f t="shared" si="13"/>
        <v>135.018125</v>
      </c>
      <c r="AR42" s="197"/>
      <c r="AS42" s="201">
        <f t="shared" si="14"/>
        <v>12.96</v>
      </c>
      <c r="AT42" s="202">
        <f t="shared" si="15"/>
        <v>10936.468125000001</v>
      </c>
      <c r="AU42" s="197"/>
      <c r="AV42" s="197"/>
      <c r="AW42" s="197"/>
      <c r="AX42" s="197"/>
      <c r="AY42" s="208"/>
      <c r="AZ42" s="246"/>
    </row>
    <row r="43" spans="1:52" s="141" customFormat="1" ht="12" customHeight="1">
      <c r="A43" s="140" t="str">
        <f t="shared" si="2"/>
        <v>Grays Harbor WUTCResidentialSL095.0G1W001</v>
      </c>
      <c r="B43" s="140">
        <f t="shared" si="3"/>
        <v>1</v>
      </c>
      <c r="C43" s="193" t="s">
        <v>231</v>
      </c>
      <c r="D43" s="193" t="s">
        <v>232</v>
      </c>
      <c r="E43" s="194">
        <v>34.67</v>
      </c>
      <c r="F43" s="194">
        <v>35.26</v>
      </c>
      <c r="G43" s="195">
        <v>127.125</v>
      </c>
      <c r="H43" s="195">
        <v>127.125</v>
      </c>
      <c r="I43" s="195">
        <v>200.315</v>
      </c>
      <c r="J43" s="195">
        <v>200.315</v>
      </c>
      <c r="K43" s="195">
        <v>208.02</v>
      </c>
      <c r="L43" s="195">
        <v>213.31500000000003</v>
      </c>
      <c r="M43" s="195">
        <v>5.2950000000000017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6">
        <f t="shared" si="22"/>
        <v>1081.51</v>
      </c>
      <c r="T43" s="197"/>
      <c r="U43" s="195">
        <f t="shared" si="23"/>
        <v>3.6667147389674066</v>
      </c>
      <c r="V43" s="195">
        <f t="shared" si="23"/>
        <v>3.6667147389674066</v>
      </c>
      <c r="W43" s="195">
        <f t="shared" si="23"/>
        <v>5.777761753677531</v>
      </c>
      <c r="X43" s="195">
        <f t="shared" si="23"/>
        <v>5.777761753677531</v>
      </c>
      <c r="Y43" s="195">
        <f t="shared" si="23"/>
        <v>6</v>
      </c>
      <c r="Z43" s="195">
        <f t="shared" si="21"/>
        <v>6.1527256994519766</v>
      </c>
      <c r="AA43" s="195">
        <f t="shared" si="21"/>
        <v>0.15272569945197581</v>
      </c>
      <c r="AB43" s="195">
        <f t="shared" si="21"/>
        <v>0</v>
      </c>
      <c r="AC43" s="195">
        <f t="shared" si="21"/>
        <v>0</v>
      </c>
      <c r="AD43" s="195">
        <f t="shared" si="21"/>
        <v>0</v>
      </c>
      <c r="AE43" s="195">
        <f t="shared" si="24"/>
        <v>0</v>
      </c>
      <c r="AF43" s="195">
        <f t="shared" si="24"/>
        <v>0</v>
      </c>
      <c r="AG43" s="195">
        <f t="shared" si="25"/>
        <v>2.5995336986828192</v>
      </c>
      <c r="AH43" s="195">
        <f t="shared" si="8"/>
        <v>2.5995336986828192</v>
      </c>
      <c r="AI43" s="195">
        <f t="shared" si="9"/>
        <v>31.194404384193831</v>
      </c>
      <c r="AJ43" s="197"/>
      <c r="AK43" s="196">
        <f t="shared" si="16"/>
        <v>0.51045405320410753</v>
      </c>
      <c r="AL43" s="198">
        <f t="shared" si="10"/>
        <v>15.923310155199722</v>
      </c>
      <c r="AM43" s="197"/>
      <c r="AN43" s="196">
        <f t="shared" si="11"/>
        <v>35.770454053204105</v>
      </c>
      <c r="AO43" s="198">
        <f t="shared" si="12"/>
        <v>1115.8380087418741</v>
      </c>
      <c r="AP43" s="199">
        <f t="shared" si="27"/>
        <v>0.44</v>
      </c>
      <c r="AQ43" s="200">
        <f t="shared" si="13"/>
        <v>13.725537929045286</v>
      </c>
      <c r="AR43" s="197"/>
      <c r="AS43" s="201">
        <f t="shared" si="14"/>
        <v>35.699999999999996</v>
      </c>
      <c r="AT43" s="202">
        <f t="shared" si="15"/>
        <v>1113.6402365157196</v>
      </c>
      <c r="AU43" s="197"/>
      <c r="AV43" s="197"/>
      <c r="AW43" s="197"/>
      <c r="AX43" s="197"/>
      <c r="AY43" s="208"/>
      <c r="AZ43" s="246"/>
    </row>
    <row r="44" spans="1:52" s="141" customFormat="1" ht="12" customHeight="1">
      <c r="A44" s="140" t="str">
        <f t="shared" si="2"/>
        <v>Grays Harbor WUTCResidentialSL095.0G1W001NOREC</v>
      </c>
      <c r="B44" s="140">
        <f t="shared" si="3"/>
        <v>1</v>
      </c>
      <c r="C44" s="193" t="s">
        <v>233</v>
      </c>
      <c r="D44" s="193" t="s">
        <v>234</v>
      </c>
      <c r="E44" s="194">
        <v>36.67</v>
      </c>
      <c r="F44" s="194">
        <v>37.26</v>
      </c>
      <c r="G44" s="195">
        <v>935.08499999999992</v>
      </c>
      <c r="H44" s="195">
        <v>935.08499999999992</v>
      </c>
      <c r="I44" s="195">
        <v>935.08500000000004</v>
      </c>
      <c r="J44" s="195">
        <v>976.34</v>
      </c>
      <c r="K44" s="195">
        <v>994.67499999999995</v>
      </c>
      <c r="L44" s="195">
        <v>1010.4599999999999</v>
      </c>
      <c r="M44" s="195">
        <v>937.12000000000012</v>
      </c>
      <c r="N44" s="195">
        <v>937.04</v>
      </c>
      <c r="O44" s="195">
        <v>1013.01</v>
      </c>
      <c r="P44" s="195">
        <v>1013.01</v>
      </c>
      <c r="Q44" s="195">
        <v>972.17499999999995</v>
      </c>
      <c r="R44" s="195">
        <v>943.47</v>
      </c>
      <c r="S44" s="196">
        <f t="shared" si="22"/>
        <v>11602.554999999998</v>
      </c>
      <c r="T44" s="197"/>
      <c r="U44" s="195">
        <f t="shared" si="23"/>
        <v>25.499999999999996</v>
      </c>
      <c r="V44" s="195">
        <f t="shared" si="23"/>
        <v>25.499999999999996</v>
      </c>
      <c r="W44" s="195">
        <f t="shared" si="23"/>
        <v>25.5</v>
      </c>
      <c r="X44" s="195">
        <f t="shared" si="23"/>
        <v>26.625034087810199</v>
      </c>
      <c r="Y44" s="195">
        <f t="shared" si="23"/>
        <v>27.125034087810196</v>
      </c>
      <c r="Z44" s="195">
        <f t="shared" si="21"/>
        <v>27.555494955004086</v>
      </c>
      <c r="AA44" s="195">
        <f t="shared" si="21"/>
        <v>25.555494955004093</v>
      </c>
      <c r="AB44" s="195">
        <f t="shared" si="21"/>
        <v>25.553313335151348</v>
      </c>
      <c r="AC44" s="195">
        <f t="shared" si="21"/>
        <v>27.625034087810196</v>
      </c>
      <c r="AD44" s="195">
        <f t="shared" si="21"/>
        <v>27.625034087810196</v>
      </c>
      <c r="AE44" s="195">
        <f t="shared" si="24"/>
        <v>26.091653247450349</v>
      </c>
      <c r="AF44" s="195">
        <f t="shared" si="24"/>
        <v>25.321256038647345</v>
      </c>
      <c r="AG44" s="195">
        <f t="shared" si="25"/>
        <v>26.298112406874836</v>
      </c>
      <c r="AH44" s="195">
        <f t="shared" si="8"/>
        <v>26.298112406874836</v>
      </c>
      <c r="AI44" s="195">
        <f t="shared" si="9"/>
        <v>315.57734888249803</v>
      </c>
      <c r="AJ44" s="197"/>
      <c r="AK44" s="196">
        <f>AK43</f>
        <v>0.51045405320410753</v>
      </c>
      <c r="AL44" s="198">
        <f t="shared" si="10"/>
        <v>161.08773683647786</v>
      </c>
      <c r="AM44" s="197"/>
      <c r="AN44" s="196">
        <f t="shared" si="11"/>
        <v>37.770454053204105</v>
      </c>
      <c r="AO44" s="198">
        <f t="shared" si="12"/>
        <v>11919.499756198353</v>
      </c>
      <c r="AP44" s="199">
        <f>AP45</f>
        <v>0.44</v>
      </c>
      <c r="AQ44" s="200">
        <f t="shared" si="13"/>
        <v>138.85403350829912</v>
      </c>
      <c r="AR44" s="197"/>
      <c r="AS44" s="201">
        <f t="shared" si="14"/>
        <v>37.699999999999996</v>
      </c>
      <c r="AT44" s="202">
        <f t="shared" si="15"/>
        <v>11897.266052870174</v>
      </c>
      <c r="AU44" s="197"/>
      <c r="AV44" s="197"/>
      <c r="AW44" s="197"/>
      <c r="AX44" s="197"/>
      <c r="AY44" s="208">
        <f>1*AI44</f>
        <v>315.57734888249803</v>
      </c>
      <c r="AZ44" s="246"/>
    </row>
    <row r="45" spans="1:52" s="141" customFormat="1" ht="11.25" customHeight="1">
      <c r="A45" s="140" t="str">
        <f t="shared" si="2"/>
        <v>Grays Harbor WUTCResidentialSL095.0G1W001WREC</v>
      </c>
      <c r="B45" s="140">
        <f t="shared" si="3"/>
        <v>1</v>
      </c>
      <c r="C45" s="193" t="s">
        <v>235</v>
      </c>
      <c r="D45" s="193" t="s">
        <v>236</v>
      </c>
      <c r="E45" s="194">
        <v>34.67</v>
      </c>
      <c r="F45" s="194">
        <v>35.26</v>
      </c>
      <c r="G45" s="195">
        <v>7158.3849999999993</v>
      </c>
      <c r="H45" s="195">
        <v>7041.375</v>
      </c>
      <c r="I45" s="195">
        <v>6975.4100000000008</v>
      </c>
      <c r="J45" s="195">
        <v>7085.6900000000005</v>
      </c>
      <c r="K45" s="195">
        <v>7438.1749999999993</v>
      </c>
      <c r="L45" s="195">
        <v>7057.4149999999991</v>
      </c>
      <c r="M45" s="195">
        <v>8014.07</v>
      </c>
      <c r="N45" s="195">
        <v>8065.4</v>
      </c>
      <c r="O45" s="195">
        <v>8462.18</v>
      </c>
      <c r="P45" s="195">
        <v>8585.16</v>
      </c>
      <c r="Q45" s="195">
        <v>8826.0399999999991</v>
      </c>
      <c r="R45" s="195">
        <v>8927.2150000000001</v>
      </c>
      <c r="S45" s="196">
        <f t="shared" si="22"/>
        <v>93636.514999999999</v>
      </c>
      <c r="T45" s="197"/>
      <c r="U45" s="195">
        <f t="shared" si="23"/>
        <v>206.4720219209691</v>
      </c>
      <c r="V45" s="195">
        <f t="shared" si="23"/>
        <v>203.09705797519467</v>
      </c>
      <c r="W45" s="195">
        <f t="shared" si="23"/>
        <v>201.19440438419383</v>
      </c>
      <c r="X45" s="195">
        <f t="shared" si="23"/>
        <v>204.37525237957888</v>
      </c>
      <c r="Y45" s="195">
        <f t="shared" si="23"/>
        <v>214.54211133544848</v>
      </c>
      <c r="Z45" s="195">
        <f t="shared" si="21"/>
        <v>203.55970579751943</v>
      </c>
      <c r="AA45" s="195">
        <f t="shared" si="21"/>
        <v>231.15286991635418</v>
      </c>
      <c r="AB45" s="195">
        <f t="shared" si="21"/>
        <v>232.63340063455433</v>
      </c>
      <c r="AC45" s="195">
        <f t="shared" si="21"/>
        <v>244.07787712719932</v>
      </c>
      <c r="AD45" s="195">
        <f t="shared" si="21"/>
        <v>247.62503605422555</v>
      </c>
      <c r="AE45" s="195">
        <f t="shared" si="24"/>
        <v>250.31310266591038</v>
      </c>
      <c r="AF45" s="195">
        <f t="shared" si="24"/>
        <v>253.18250141803745</v>
      </c>
      <c r="AG45" s="195">
        <f t="shared" si="25"/>
        <v>224.35211180076547</v>
      </c>
      <c r="AH45" s="195">
        <f t="shared" si="8"/>
        <v>224.35211180076547</v>
      </c>
      <c r="AI45" s="195">
        <f t="shared" si="9"/>
        <v>2692.2253416091858</v>
      </c>
      <c r="AJ45" s="197"/>
      <c r="AK45" s="196">
        <f t="shared" si="16"/>
        <v>0.51045405320410753</v>
      </c>
      <c r="AL45" s="198">
        <f t="shared" si="10"/>
        <v>1374.2573377632218</v>
      </c>
      <c r="AM45" s="197"/>
      <c r="AN45" s="196">
        <f t="shared" si="11"/>
        <v>35.770454053204105</v>
      </c>
      <c r="AO45" s="198">
        <f t="shared" si="12"/>
        <v>96302.122882903102</v>
      </c>
      <c r="AP45" s="199">
        <f t="shared" ref="AP45:AP46" si="28">ROUND(F45*$AS$3,2)</f>
        <v>0.44</v>
      </c>
      <c r="AQ45" s="200">
        <f t="shared" si="13"/>
        <v>1184.5791503080418</v>
      </c>
      <c r="AR45" s="197"/>
      <c r="AS45" s="201">
        <f t="shared" si="14"/>
        <v>35.699999999999996</v>
      </c>
      <c r="AT45" s="202">
        <f t="shared" si="15"/>
        <v>96112.444695447921</v>
      </c>
      <c r="AU45" s="197"/>
      <c r="AV45" s="197"/>
      <c r="AW45" s="197"/>
      <c r="AX45" s="197"/>
      <c r="AY45" s="208"/>
      <c r="AZ45" s="246"/>
    </row>
    <row r="46" spans="1:52" s="141" customFormat="1" ht="12" customHeight="1">
      <c r="A46" s="140" t="str">
        <f t="shared" si="2"/>
        <v>Grays Harbor WUTCResidentialSL095.0GEO001</v>
      </c>
      <c r="B46" s="140">
        <f t="shared" si="3"/>
        <v>1</v>
      </c>
      <c r="C46" s="193" t="s">
        <v>237</v>
      </c>
      <c r="D46" s="193" t="s">
        <v>238</v>
      </c>
      <c r="E46" s="194">
        <v>21.15</v>
      </c>
      <c r="F46" s="194">
        <v>21.45</v>
      </c>
      <c r="G46" s="195">
        <v>126.89999999999999</v>
      </c>
      <c r="H46" s="195">
        <v>105.75</v>
      </c>
      <c r="I46" s="195">
        <v>137.47499999999999</v>
      </c>
      <c r="J46" s="195">
        <v>126.89999999999999</v>
      </c>
      <c r="K46" s="195">
        <v>116.325</v>
      </c>
      <c r="L46" s="195">
        <v>138.53500000000003</v>
      </c>
      <c r="M46" s="195">
        <v>75.085000000000008</v>
      </c>
      <c r="N46" s="195">
        <v>15.865</v>
      </c>
      <c r="O46" s="195">
        <v>31.73</v>
      </c>
      <c r="P46" s="195">
        <v>15.865</v>
      </c>
      <c r="Q46" s="195">
        <v>0</v>
      </c>
      <c r="R46" s="195">
        <v>5.3650000000000002</v>
      </c>
      <c r="S46" s="196">
        <f t="shared" si="22"/>
        <v>895.79500000000007</v>
      </c>
      <c r="T46" s="197"/>
      <c r="U46" s="195">
        <f t="shared" si="23"/>
        <v>6</v>
      </c>
      <c r="V46" s="195">
        <f t="shared" si="23"/>
        <v>5</v>
      </c>
      <c r="W46" s="195">
        <f t="shared" si="23"/>
        <v>6.5</v>
      </c>
      <c r="X46" s="195">
        <f t="shared" si="23"/>
        <v>6</v>
      </c>
      <c r="Y46" s="195">
        <f t="shared" si="23"/>
        <v>5.5000000000000009</v>
      </c>
      <c r="Z46" s="195">
        <f t="shared" si="21"/>
        <v>6.5501182033096939</v>
      </c>
      <c r="AA46" s="195">
        <f t="shared" si="21"/>
        <v>3.5501182033096934</v>
      </c>
      <c r="AB46" s="195">
        <f t="shared" si="21"/>
        <v>0.7501182033096927</v>
      </c>
      <c r="AC46" s="195">
        <f t="shared" si="21"/>
        <v>1.5002364066193854</v>
      </c>
      <c r="AD46" s="195">
        <f t="shared" si="21"/>
        <v>0.7501182033096927</v>
      </c>
      <c r="AE46" s="195">
        <f t="shared" si="24"/>
        <v>0</v>
      </c>
      <c r="AF46" s="195">
        <f t="shared" si="24"/>
        <v>0.25011655011655015</v>
      </c>
      <c r="AG46" s="195">
        <f t="shared" si="25"/>
        <v>3.5292354808312254</v>
      </c>
      <c r="AH46" s="195">
        <f t="shared" si="8"/>
        <v>3.5292354808312254</v>
      </c>
      <c r="AI46" s="195">
        <f t="shared" si="9"/>
        <v>42.350825769974705</v>
      </c>
      <c r="AJ46" s="197"/>
      <c r="AK46" s="196">
        <f t="shared" si="16"/>
        <v>0.31052862850902174</v>
      </c>
      <c r="AL46" s="198">
        <f t="shared" si="10"/>
        <v>13.151143842574779</v>
      </c>
      <c r="AM46" s="197"/>
      <c r="AN46" s="196">
        <f t="shared" si="11"/>
        <v>21.760528628509022</v>
      </c>
      <c r="AO46" s="198">
        <f t="shared" si="12"/>
        <v>921.57635660853214</v>
      </c>
      <c r="AP46" s="199">
        <f t="shared" si="28"/>
        <v>0.27</v>
      </c>
      <c r="AQ46" s="200">
        <f t="shared" si="13"/>
        <v>11.434722957893172</v>
      </c>
      <c r="AR46" s="197"/>
      <c r="AS46" s="201">
        <f t="shared" si="14"/>
        <v>21.72</v>
      </c>
      <c r="AT46" s="202">
        <f t="shared" si="15"/>
        <v>919.85993572385053</v>
      </c>
      <c r="AU46" s="197"/>
      <c r="AV46" s="197"/>
      <c r="AW46" s="197"/>
      <c r="AX46" s="197"/>
      <c r="AY46" s="208"/>
      <c r="AZ46" s="246"/>
    </row>
    <row r="47" spans="1:52" s="141" customFormat="1" ht="12" customHeight="1">
      <c r="A47" s="140" t="str">
        <f t="shared" si="2"/>
        <v>Grays Harbor WUTCResidentialSL095.0GEO001NOREC</v>
      </c>
      <c r="B47" s="140">
        <f t="shared" si="3"/>
        <v>1</v>
      </c>
      <c r="C47" s="193" t="s">
        <v>239</v>
      </c>
      <c r="D47" s="193" t="s">
        <v>240</v>
      </c>
      <c r="E47" s="194">
        <v>23.15</v>
      </c>
      <c r="F47" s="194">
        <v>23.45</v>
      </c>
      <c r="G47" s="195">
        <v>555.59999999999991</v>
      </c>
      <c r="H47" s="195">
        <v>555.59999999999991</v>
      </c>
      <c r="I47" s="195">
        <v>532.45000000000005</v>
      </c>
      <c r="J47" s="195">
        <v>526.66</v>
      </c>
      <c r="K47" s="195">
        <v>515.08500000000004</v>
      </c>
      <c r="L47" s="195">
        <v>538.24</v>
      </c>
      <c r="M47" s="195">
        <v>596.11500000000001</v>
      </c>
      <c r="N47" s="195">
        <v>578.75</v>
      </c>
      <c r="O47" s="195">
        <v>567.16999999999996</v>
      </c>
      <c r="P47" s="195">
        <v>532.45000000000005</v>
      </c>
      <c r="Q47" s="195">
        <v>528.16999999999996</v>
      </c>
      <c r="R47" s="195">
        <v>554.47</v>
      </c>
      <c r="S47" s="196">
        <f t="shared" si="22"/>
        <v>6580.76</v>
      </c>
      <c r="T47" s="197"/>
      <c r="U47" s="195">
        <f t="shared" si="23"/>
        <v>23.999999999999996</v>
      </c>
      <c r="V47" s="195">
        <f t="shared" si="23"/>
        <v>23.999999999999996</v>
      </c>
      <c r="W47" s="195">
        <f t="shared" si="23"/>
        <v>23.000000000000004</v>
      </c>
      <c r="X47" s="195">
        <f t="shared" si="23"/>
        <v>22.749892008639311</v>
      </c>
      <c r="Y47" s="195">
        <f t="shared" si="23"/>
        <v>22.249892008639311</v>
      </c>
      <c r="Z47" s="195">
        <f t="shared" si="21"/>
        <v>23.250107991360693</v>
      </c>
      <c r="AA47" s="195">
        <f t="shared" si="21"/>
        <v>25.750107991360693</v>
      </c>
      <c r="AB47" s="195">
        <f t="shared" si="21"/>
        <v>25</v>
      </c>
      <c r="AC47" s="195">
        <f t="shared" si="21"/>
        <v>24.499784017278618</v>
      </c>
      <c r="AD47" s="195">
        <f t="shared" si="21"/>
        <v>23.000000000000004</v>
      </c>
      <c r="AE47" s="195">
        <f t="shared" si="24"/>
        <v>22.52324093816631</v>
      </c>
      <c r="AF47" s="195">
        <f t="shared" si="24"/>
        <v>23.644776119402987</v>
      </c>
      <c r="AG47" s="195">
        <f t="shared" si="25"/>
        <v>23.638983422903994</v>
      </c>
      <c r="AH47" s="195">
        <f t="shared" si="8"/>
        <v>23.638983422903994</v>
      </c>
      <c r="AI47" s="195">
        <f t="shared" si="9"/>
        <v>283.66780107484794</v>
      </c>
      <c r="AJ47" s="197"/>
      <c r="AK47" s="196">
        <f>AK46</f>
        <v>0.31052862850902174</v>
      </c>
      <c r="AL47" s="198">
        <f t="shared" si="10"/>
        <v>88.086973219942536</v>
      </c>
      <c r="AM47" s="197"/>
      <c r="AN47" s="196">
        <f t="shared" si="11"/>
        <v>23.760528628509022</v>
      </c>
      <c r="AO47" s="198">
        <f t="shared" si="12"/>
        <v>6740.0969084251265</v>
      </c>
      <c r="AP47" s="199">
        <f>AP48</f>
        <v>0.27</v>
      </c>
      <c r="AQ47" s="200">
        <f t="shared" si="13"/>
        <v>76.590306290208943</v>
      </c>
      <c r="AR47" s="197"/>
      <c r="AS47" s="201">
        <f t="shared" si="14"/>
        <v>23.72</v>
      </c>
      <c r="AT47" s="202">
        <f t="shared" si="15"/>
        <v>6728.6002414953928</v>
      </c>
      <c r="AU47" s="197"/>
      <c r="AV47" s="197"/>
      <c r="AW47" s="197"/>
      <c r="AX47" s="197"/>
      <c r="AY47" s="208">
        <f>1*AI47</f>
        <v>283.66780107484794</v>
      </c>
      <c r="AZ47" s="246"/>
    </row>
    <row r="48" spans="1:52" s="141" customFormat="1" ht="12" customHeight="1">
      <c r="A48" s="140" t="str">
        <f t="shared" si="2"/>
        <v>Grays Harbor WUTCResidentialSL095.0GEO001WREC</v>
      </c>
      <c r="B48" s="140">
        <f t="shared" si="3"/>
        <v>1</v>
      </c>
      <c r="C48" s="193" t="s">
        <v>241</v>
      </c>
      <c r="D48" s="193" t="s">
        <v>242</v>
      </c>
      <c r="E48" s="194">
        <v>21.15</v>
      </c>
      <c r="F48" s="194">
        <v>21.45</v>
      </c>
      <c r="G48" s="195">
        <v>6240.329999999999</v>
      </c>
      <c r="H48" s="195">
        <v>6543.85</v>
      </c>
      <c r="I48" s="195">
        <v>6617.87</v>
      </c>
      <c r="J48" s="195">
        <v>6710.9149999999991</v>
      </c>
      <c r="K48" s="195">
        <v>6973.1849999999995</v>
      </c>
      <c r="L48" s="195">
        <v>7077.87</v>
      </c>
      <c r="M48" s="195">
        <v>7355.9750000000004</v>
      </c>
      <c r="N48" s="195">
        <v>7568.545000000001</v>
      </c>
      <c r="O48" s="195">
        <v>7455.3849999999993</v>
      </c>
      <c r="P48" s="195">
        <v>7565.3550000000005</v>
      </c>
      <c r="Q48" s="195">
        <v>7681.55</v>
      </c>
      <c r="R48" s="195">
        <v>7765.1050000000005</v>
      </c>
      <c r="S48" s="196">
        <f t="shared" si="22"/>
        <v>85555.934999999998</v>
      </c>
      <c r="T48" s="197"/>
      <c r="U48" s="195">
        <f t="shared" si="23"/>
        <v>295.05106382978721</v>
      </c>
      <c r="V48" s="195">
        <f t="shared" si="23"/>
        <v>309.40189125295512</v>
      </c>
      <c r="W48" s="195">
        <f t="shared" si="23"/>
        <v>312.9016548463357</v>
      </c>
      <c r="X48" s="195">
        <f t="shared" si="23"/>
        <v>317.30094562647753</v>
      </c>
      <c r="Y48" s="195">
        <f t="shared" si="23"/>
        <v>329.70141843971629</v>
      </c>
      <c r="Z48" s="195">
        <f t="shared" si="21"/>
        <v>334.65106382978723</v>
      </c>
      <c r="AA48" s="195">
        <f t="shared" si="21"/>
        <v>347.80023640661943</v>
      </c>
      <c r="AB48" s="195">
        <f t="shared" si="21"/>
        <v>357.85082742316791</v>
      </c>
      <c r="AC48" s="195">
        <f t="shared" si="21"/>
        <v>352.50047281323879</v>
      </c>
      <c r="AD48" s="195">
        <f t="shared" si="21"/>
        <v>357.70000000000005</v>
      </c>
      <c r="AE48" s="195">
        <f t="shared" si="24"/>
        <v>358.11421911421911</v>
      </c>
      <c r="AF48" s="195">
        <f t="shared" si="24"/>
        <v>362.00955710955714</v>
      </c>
      <c r="AG48" s="195">
        <f t="shared" si="25"/>
        <v>336.24861255765512</v>
      </c>
      <c r="AH48" s="195">
        <f t="shared" si="8"/>
        <v>336.24861255765512</v>
      </c>
      <c r="AI48" s="195">
        <f t="shared" si="9"/>
        <v>4034.9833506918612</v>
      </c>
      <c r="AJ48" s="197"/>
      <c r="AK48" s="196">
        <f t="shared" si="16"/>
        <v>0.31052862850902174</v>
      </c>
      <c r="AL48" s="198">
        <f t="shared" si="10"/>
        <v>1252.9778459470808</v>
      </c>
      <c r="AM48" s="197"/>
      <c r="AN48" s="196">
        <f t="shared" si="11"/>
        <v>21.760528628509022</v>
      </c>
      <c r="AO48" s="198">
        <f t="shared" si="12"/>
        <v>87803.370718287508</v>
      </c>
      <c r="AP48" s="199">
        <f t="shared" ref="AP48:AP74" si="29">ROUND(F48*$AS$3,2)</f>
        <v>0.27</v>
      </c>
      <c r="AQ48" s="200">
        <f t="shared" si="13"/>
        <v>1089.4455046868027</v>
      </c>
      <c r="AR48" s="197"/>
      <c r="AS48" s="201">
        <f t="shared" si="14"/>
        <v>21.72</v>
      </c>
      <c r="AT48" s="202">
        <f t="shared" si="15"/>
        <v>87639.838377027219</v>
      </c>
      <c r="AU48" s="197"/>
      <c r="AV48" s="197"/>
      <c r="AW48" s="197"/>
      <c r="AX48" s="197"/>
      <c r="AY48" s="197"/>
      <c r="AZ48" s="246"/>
    </row>
    <row r="49" spans="1:52" s="129" customFormat="1" ht="12.75" customHeight="1">
      <c r="A49" s="142" t="str">
        <f t="shared" si="2"/>
        <v>Grays Harbor WUTCResidentialBULKY-RES</v>
      </c>
      <c r="B49" s="142">
        <f t="shared" si="3"/>
        <v>1</v>
      </c>
      <c r="C49" s="209" t="s">
        <v>515</v>
      </c>
      <c r="D49" s="193" t="s">
        <v>516</v>
      </c>
      <c r="E49" s="137">
        <v>13.17</v>
      </c>
      <c r="F49" s="137">
        <v>13.42</v>
      </c>
      <c r="G49" s="138">
        <v>32.93</v>
      </c>
      <c r="H49" s="138">
        <v>0</v>
      </c>
      <c r="I49" s="138">
        <v>0</v>
      </c>
      <c r="J49" s="138">
        <v>0</v>
      </c>
      <c r="K49" s="138">
        <v>13.17</v>
      </c>
      <c r="L49" s="138">
        <v>13.17</v>
      </c>
      <c r="M49" s="138">
        <v>0</v>
      </c>
      <c r="N49" s="138">
        <v>0</v>
      </c>
      <c r="O49" s="138">
        <v>0</v>
      </c>
      <c r="P49" s="138">
        <v>13.17</v>
      </c>
      <c r="Q49" s="138">
        <v>0</v>
      </c>
      <c r="R49" s="138">
        <v>13.17</v>
      </c>
      <c r="S49" s="139">
        <f t="shared" si="22"/>
        <v>85.61</v>
      </c>
      <c r="T49" s="132"/>
      <c r="U49" s="195">
        <f t="shared" si="23"/>
        <v>2.5003796507213365</v>
      </c>
      <c r="V49" s="138">
        <f t="shared" si="23"/>
        <v>0</v>
      </c>
      <c r="W49" s="138">
        <f t="shared" si="23"/>
        <v>0</v>
      </c>
      <c r="X49" s="138">
        <f t="shared" si="23"/>
        <v>0</v>
      </c>
      <c r="Y49" s="138">
        <f t="shared" si="23"/>
        <v>1</v>
      </c>
      <c r="Z49" s="138">
        <f t="shared" si="21"/>
        <v>1</v>
      </c>
      <c r="AA49" s="138">
        <f t="shared" si="21"/>
        <v>0</v>
      </c>
      <c r="AB49" s="138">
        <f t="shared" si="21"/>
        <v>0</v>
      </c>
      <c r="AC49" s="138">
        <f t="shared" si="21"/>
        <v>0</v>
      </c>
      <c r="AD49" s="138">
        <f t="shared" si="21"/>
        <v>1</v>
      </c>
      <c r="AE49" s="138">
        <f t="shared" si="24"/>
        <v>0</v>
      </c>
      <c r="AF49" s="138">
        <f t="shared" si="24"/>
        <v>0.98137108792846495</v>
      </c>
      <c r="AG49" s="138"/>
      <c r="AH49" s="195">
        <f>+AI49/12</f>
        <v>0.54014589488748344</v>
      </c>
      <c r="AI49" s="138">
        <f t="shared" si="9"/>
        <v>6.4817507386498017</v>
      </c>
      <c r="AJ49" s="132"/>
      <c r="AK49" s="196">
        <f t="shared" si="16"/>
        <v>0.19427944963128541</v>
      </c>
      <c r="AL49" s="198">
        <f t="shared" si="10"/>
        <v>1.2592709661520611</v>
      </c>
      <c r="AM49" s="197"/>
      <c r="AN49" s="196">
        <f t="shared" si="11"/>
        <v>13.614279449631285</v>
      </c>
      <c r="AO49" s="198">
        <f t="shared" si="12"/>
        <v>88.244365878832397</v>
      </c>
      <c r="AP49" s="199">
        <f t="shared" si="29"/>
        <v>0.17</v>
      </c>
      <c r="AQ49" s="200">
        <f t="shared" si="13"/>
        <v>1.1018976255704664</v>
      </c>
      <c r="AR49" s="132"/>
      <c r="AS49" s="201">
        <f t="shared" si="14"/>
        <v>13.59</v>
      </c>
      <c r="AT49" s="202">
        <f t="shared" si="15"/>
        <v>88.086992538250797</v>
      </c>
      <c r="AU49" s="132"/>
      <c r="AV49" s="132"/>
      <c r="AW49" s="132"/>
      <c r="AX49" s="132"/>
      <c r="AY49" s="132"/>
      <c r="AZ49" s="246"/>
    </row>
    <row r="50" spans="1:52" s="129" customFormat="1" ht="12" customHeight="1">
      <c r="A50" s="142" t="str">
        <f t="shared" si="2"/>
        <v>Grays Harbor WUTCResidentialEXTRA-RES</v>
      </c>
      <c r="B50" s="142">
        <f t="shared" si="3"/>
        <v>1</v>
      </c>
      <c r="C50" s="209" t="s">
        <v>245</v>
      </c>
      <c r="D50" s="193" t="s">
        <v>246</v>
      </c>
      <c r="E50" s="137">
        <v>4.51</v>
      </c>
      <c r="F50" s="137">
        <v>4.58</v>
      </c>
      <c r="G50" s="138">
        <v>1050.8499999999999</v>
      </c>
      <c r="H50" s="138">
        <v>861.41</v>
      </c>
      <c r="I50" s="138">
        <v>1294.58</v>
      </c>
      <c r="J50" s="138">
        <v>1190.6399999999999</v>
      </c>
      <c r="K50" s="138">
        <v>1673.21</v>
      </c>
      <c r="L50" s="138">
        <v>1501.57</v>
      </c>
      <c r="M50" s="138">
        <v>1213.19</v>
      </c>
      <c r="N50" s="138">
        <v>1258.29</v>
      </c>
      <c r="O50" s="138">
        <v>1028.28</v>
      </c>
      <c r="P50" s="138">
        <v>1093.8400000000001</v>
      </c>
      <c r="Q50" s="138">
        <v>1322.0800000000002</v>
      </c>
      <c r="R50" s="138">
        <v>856.43999999999994</v>
      </c>
      <c r="S50" s="139">
        <f t="shared" si="22"/>
        <v>14344.38</v>
      </c>
      <c r="T50" s="132"/>
      <c r="U50" s="138">
        <f t="shared" si="23"/>
        <v>233.00443458980044</v>
      </c>
      <c r="V50" s="138">
        <f t="shared" si="23"/>
        <v>191</v>
      </c>
      <c r="W50" s="138">
        <f t="shared" si="23"/>
        <v>287.04656319290467</v>
      </c>
      <c r="X50" s="138">
        <f t="shared" si="23"/>
        <v>264</v>
      </c>
      <c r="Y50" s="138">
        <f t="shared" si="23"/>
        <v>371</v>
      </c>
      <c r="Z50" s="138">
        <f t="shared" si="21"/>
        <v>332.94235033259423</v>
      </c>
      <c r="AA50" s="138">
        <f t="shared" si="21"/>
        <v>269</v>
      </c>
      <c r="AB50" s="138">
        <f t="shared" si="21"/>
        <v>279</v>
      </c>
      <c r="AC50" s="138">
        <f t="shared" si="21"/>
        <v>228</v>
      </c>
      <c r="AD50" s="138">
        <f t="shared" si="21"/>
        <v>242.53658536585371</v>
      </c>
      <c r="AE50" s="138">
        <f t="shared" si="24"/>
        <v>288.66375545851531</v>
      </c>
      <c r="AF50" s="138">
        <f t="shared" si="24"/>
        <v>186.99563318777291</v>
      </c>
      <c r="AG50" s="138"/>
      <c r="AH50" s="195">
        <f t="shared" si="8"/>
        <v>264.43244351062009</v>
      </c>
      <c r="AI50" s="138">
        <f t="shared" si="9"/>
        <v>3173.1893221274413</v>
      </c>
      <c r="AJ50" s="132"/>
      <c r="AK50" s="196">
        <f t="shared" si="16"/>
        <v>6.630401485180977E-2</v>
      </c>
      <c r="AL50" s="198">
        <f t="shared" si="10"/>
        <v>210.39519194194204</v>
      </c>
      <c r="AM50" s="197"/>
      <c r="AN50" s="196">
        <f t="shared" si="11"/>
        <v>4.6463040148518102</v>
      </c>
      <c r="AO50" s="198">
        <f t="shared" si="12"/>
        <v>14743.602287285625</v>
      </c>
      <c r="AP50" s="199">
        <f t="shared" si="29"/>
        <v>0.06</v>
      </c>
      <c r="AQ50" s="200">
        <f t="shared" si="13"/>
        <v>190.39135932764648</v>
      </c>
      <c r="AR50" s="132"/>
      <c r="AS50" s="201">
        <f t="shared" si="14"/>
        <v>4.6399999999999997</v>
      </c>
      <c r="AT50" s="202">
        <f t="shared" si="15"/>
        <v>14723.598454671326</v>
      </c>
      <c r="AU50" s="132"/>
      <c r="AV50" s="132"/>
      <c r="AW50" s="132"/>
      <c r="AX50" s="132"/>
      <c r="AY50" s="132"/>
      <c r="AZ50" s="246"/>
    </row>
    <row r="51" spans="1:52" s="129" customFormat="1" ht="12" customHeight="1">
      <c r="A51" s="142" t="str">
        <f t="shared" si="2"/>
        <v>Grays Harbor WUTCResidentialEXTRAYDG-RES</v>
      </c>
      <c r="B51" s="142">
        <f t="shared" si="3"/>
        <v>1</v>
      </c>
      <c r="C51" s="193" t="s">
        <v>248</v>
      </c>
      <c r="D51" s="193" t="s">
        <v>249</v>
      </c>
      <c r="E51" s="194">
        <v>24.08</v>
      </c>
      <c r="F51" s="137">
        <v>24.33</v>
      </c>
      <c r="G51" s="138">
        <v>0</v>
      </c>
      <c r="H51" s="210">
        <v>24.08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9">
        <f t="shared" si="22"/>
        <v>24.08</v>
      </c>
      <c r="T51" s="132"/>
      <c r="U51" s="138">
        <f t="shared" si="23"/>
        <v>0</v>
      </c>
      <c r="V51" s="138">
        <f t="shared" si="23"/>
        <v>1</v>
      </c>
      <c r="W51" s="138">
        <f t="shared" si="23"/>
        <v>0</v>
      </c>
      <c r="X51" s="138">
        <f t="shared" si="23"/>
        <v>0</v>
      </c>
      <c r="Y51" s="138">
        <f t="shared" si="23"/>
        <v>0</v>
      </c>
      <c r="Z51" s="138">
        <f t="shared" si="21"/>
        <v>0</v>
      </c>
      <c r="AA51" s="138">
        <f t="shared" si="21"/>
        <v>0</v>
      </c>
      <c r="AB51" s="138">
        <f t="shared" si="21"/>
        <v>0</v>
      </c>
      <c r="AC51" s="138">
        <f t="shared" si="21"/>
        <v>0</v>
      </c>
      <c r="AD51" s="138">
        <f t="shared" si="21"/>
        <v>0</v>
      </c>
      <c r="AE51" s="138">
        <f t="shared" si="24"/>
        <v>0</v>
      </c>
      <c r="AF51" s="138">
        <f t="shared" si="24"/>
        <v>0</v>
      </c>
      <c r="AG51" s="138"/>
      <c r="AH51" s="195">
        <f t="shared" si="8"/>
        <v>8.3333333333333329E-2</v>
      </c>
      <c r="AI51" s="138">
        <f t="shared" si="9"/>
        <v>1</v>
      </c>
      <c r="AJ51" s="132"/>
      <c r="AK51" s="196">
        <f t="shared" si="16"/>
        <v>0.35222198282631695</v>
      </c>
      <c r="AL51" s="198">
        <f t="shared" si="10"/>
        <v>0.35222198282631695</v>
      </c>
      <c r="AM51" s="197"/>
      <c r="AN51" s="196">
        <f t="shared" si="11"/>
        <v>24.682221982826317</v>
      </c>
      <c r="AO51" s="198">
        <f t="shared" si="12"/>
        <v>24.682221982826317</v>
      </c>
      <c r="AP51" s="199">
        <f t="shared" si="29"/>
        <v>0.3</v>
      </c>
      <c r="AQ51" s="200">
        <f t="shared" si="13"/>
        <v>0.3</v>
      </c>
      <c r="AR51" s="132"/>
      <c r="AS51" s="201">
        <f t="shared" si="14"/>
        <v>24.63</v>
      </c>
      <c r="AT51" s="202">
        <f t="shared" si="15"/>
        <v>24.63</v>
      </c>
      <c r="AU51" s="132"/>
      <c r="AV51" s="132"/>
      <c r="AW51" s="132"/>
      <c r="AX51" s="132"/>
      <c r="AY51" s="132"/>
      <c r="AZ51" s="246"/>
    </row>
    <row r="52" spans="1:52" s="129" customFormat="1" ht="12" customHeight="1">
      <c r="A52" s="142" t="str">
        <f t="shared" si="2"/>
        <v>Grays Harbor WUTCResidentialOC-RES</v>
      </c>
      <c r="B52" s="142">
        <f t="shared" si="3"/>
        <v>1</v>
      </c>
      <c r="C52" s="193" t="s">
        <v>243</v>
      </c>
      <c r="D52" s="193" t="s">
        <v>244</v>
      </c>
      <c r="E52" s="194">
        <v>7.29</v>
      </c>
      <c r="F52" s="137">
        <v>7.36</v>
      </c>
      <c r="G52" s="138">
        <v>174.96</v>
      </c>
      <c r="H52" s="138">
        <v>196.82999999999998</v>
      </c>
      <c r="I52" s="138">
        <v>196.82999999999998</v>
      </c>
      <c r="J52" s="138">
        <v>204.12</v>
      </c>
      <c r="K52" s="138">
        <v>408.24000000000007</v>
      </c>
      <c r="L52" s="138">
        <v>342.63</v>
      </c>
      <c r="M52" s="138">
        <v>320.76</v>
      </c>
      <c r="N52" s="138">
        <v>174.95999999999998</v>
      </c>
      <c r="O52" s="138">
        <v>145.80000000000001</v>
      </c>
      <c r="P52" s="138">
        <v>65.61</v>
      </c>
      <c r="Q52" s="138">
        <v>110.05</v>
      </c>
      <c r="R52" s="138">
        <v>103.03999999999999</v>
      </c>
      <c r="S52" s="139">
        <f t="shared" si="22"/>
        <v>2443.8300000000004</v>
      </c>
      <c r="T52" s="132"/>
      <c r="U52" s="138">
        <f t="shared" si="23"/>
        <v>24</v>
      </c>
      <c r="V52" s="138">
        <f t="shared" si="23"/>
        <v>26.999999999999996</v>
      </c>
      <c r="W52" s="138">
        <f t="shared" si="23"/>
        <v>26.999999999999996</v>
      </c>
      <c r="X52" s="138">
        <f t="shared" si="23"/>
        <v>28</v>
      </c>
      <c r="Y52" s="138">
        <f t="shared" si="23"/>
        <v>56.000000000000007</v>
      </c>
      <c r="Z52" s="138">
        <f t="shared" si="21"/>
        <v>47</v>
      </c>
      <c r="AA52" s="138">
        <f t="shared" si="21"/>
        <v>44</v>
      </c>
      <c r="AB52" s="138">
        <f t="shared" si="21"/>
        <v>23.999999999999996</v>
      </c>
      <c r="AC52" s="138">
        <f t="shared" si="21"/>
        <v>20</v>
      </c>
      <c r="AD52" s="138">
        <f t="shared" si="21"/>
        <v>9</v>
      </c>
      <c r="AE52" s="138">
        <f t="shared" si="24"/>
        <v>14.952445652173912</v>
      </c>
      <c r="AF52" s="138">
        <f t="shared" si="24"/>
        <v>13.999999999999998</v>
      </c>
      <c r="AG52" s="138"/>
      <c r="AH52" s="195">
        <f t="shared" si="8"/>
        <v>27.912703804347828</v>
      </c>
      <c r="AI52" s="138">
        <f t="shared" si="9"/>
        <v>334.95244565217394</v>
      </c>
      <c r="AJ52" s="132"/>
      <c r="AK52" s="196">
        <f t="shared" si="16"/>
        <v>0.10654968325531003</v>
      </c>
      <c r="AL52" s="198">
        <f t="shared" si="10"/>
        <v>35.689076989830582</v>
      </c>
      <c r="AM52" s="197"/>
      <c r="AN52" s="196">
        <f t="shared" si="11"/>
        <v>7.4665496832553107</v>
      </c>
      <c r="AO52" s="198">
        <f t="shared" si="12"/>
        <v>2500.9390769898309</v>
      </c>
      <c r="AP52" s="199">
        <f t="shared" si="29"/>
        <v>0.09</v>
      </c>
      <c r="AQ52" s="200">
        <f t="shared" si="13"/>
        <v>30.145720108695652</v>
      </c>
      <c r="AR52" s="132"/>
      <c r="AS52" s="201">
        <f t="shared" si="14"/>
        <v>7.45</v>
      </c>
      <c r="AT52" s="202">
        <f t="shared" si="15"/>
        <v>2495.395720108696</v>
      </c>
      <c r="AU52" s="132"/>
      <c r="AV52" s="132"/>
      <c r="AW52" s="132"/>
      <c r="AX52" s="132"/>
      <c r="AY52" s="132"/>
      <c r="AZ52" s="246"/>
    </row>
    <row r="53" spans="1:52" s="129" customFormat="1" ht="12" customHeight="1">
      <c r="A53" s="142" t="str">
        <f t="shared" si="2"/>
        <v>Grays Harbor WUTCResidentialSP32-RES</v>
      </c>
      <c r="B53" s="142">
        <f t="shared" si="3"/>
        <v>1</v>
      </c>
      <c r="C53" s="193" t="s">
        <v>250</v>
      </c>
      <c r="D53" s="193" t="s">
        <v>251</v>
      </c>
      <c r="E53" s="194">
        <v>7.29</v>
      </c>
      <c r="F53" s="137">
        <v>7.36</v>
      </c>
      <c r="G53" s="138">
        <v>0</v>
      </c>
      <c r="H53" s="138">
        <v>14.58</v>
      </c>
      <c r="I53" s="138">
        <v>14.58</v>
      </c>
      <c r="J53" s="138">
        <v>29.16</v>
      </c>
      <c r="K53" s="138">
        <v>14.58</v>
      </c>
      <c r="L53" s="138">
        <v>29.16</v>
      </c>
      <c r="M53" s="138">
        <v>0</v>
      </c>
      <c r="N53" s="138">
        <v>0</v>
      </c>
      <c r="O53" s="138">
        <v>0</v>
      </c>
      <c r="P53" s="138">
        <v>7.29</v>
      </c>
      <c r="Q53" s="138">
        <v>14.58</v>
      </c>
      <c r="R53" s="138">
        <v>0</v>
      </c>
      <c r="S53" s="139">
        <f t="shared" si="22"/>
        <v>123.93</v>
      </c>
      <c r="T53" s="132"/>
      <c r="U53" s="138">
        <f t="shared" si="23"/>
        <v>0</v>
      </c>
      <c r="V53" s="138">
        <f t="shared" si="23"/>
        <v>2</v>
      </c>
      <c r="W53" s="138">
        <f t="shared" si="23"/>
        <v>2</v>
      </c>
      <c r="X53" s="138">
        <f t="shared" si="23"/>
        <v>4</v>
      </c>
      <c r="Y53" s="138">
        <f t="shared" si="23"/>
        <v>2</v>
      </c>
      <c r="Z53" s="138">
        <f t="shared" si="21"/>
        <v>4</v>
      </c>
      <c r="AA53" s="138">
        <f t="shared" si="21"/>
        <v>0</v>
      </c>
      <c r="AB53" s="138">
        <f t="shared" si="21"/>
        <v>0</v>
      </c>
      <c r="AC53" s="138">
        <f t="shared" si="21"/>
        <v>0</v>
      </c>
      <c r="AD53" s="138">
        <f t="shared" si="21"/>
        <v>1</v>
      </c>
      <c r="AE53" s="138">
        <f t="shared" si="24"/>
        <v>1.9809782608695652</v>
      </c>
      <c r="AF53" s="138">
        <f t="shared" si="24"/>
        <v>0</v>
      </c>
      <c r="AG53" s="138"/>
      <c r="AH53" s="195">
        <f t="shared" si="8"/>
        <v>1.4150815217391306</v>
      </c>
      <c r="AI53" s="138">
        <f t="shared" si="9"/>
        <v>16.980978260869566</v>
      </c>
      <c r="AJ53" s="132"/>
      <c r="AK53" s="196">
        <f t="shared" si="16"/>
        <v>0.10654968325531003</v>
      </c>
      <c r="AL53" s="198">
        <f t="shared" si="10"/>
        <v>1.8093178550609577</v>
      </c>
      <c r="AM53" s="197"/>
      <c r="AN53" s="196">
        <f t="shared" si="11"/>
        <v>7.4665496832553107</v>
      </c>
      <c r="AO53" s="198">
        <f t="shared" si="12"/>
        <v>126.78931785506097</v>
      </c>
      <c r="AP53" s="199">
        <f t="shared" si="29"/>
        <v>0.09</v>
      </c>
      <c r="AQ53" s="200">
        <f t="shared" si="13"/>
        <v>1.5282880434782609</v>
      </c>
      <c r="AR53" s="132"/>
      <c r="AS53" s="201">
        <f t="shared" si="14"/>
        <v>7.45</v>
      </c>
      <c r="AT53" s="202">
        <f t="shared" si="15"/>
        <v>126.50828804347827</v>
      </c>
      <c r="AU53" s="132"/>
      <c r="AV53" s="132"/>
      <c r="AW53" s="132"/>
      <c r="AX53" s="132"/>
      <c r="AY53" s="132"/>
      <c r="AZ53" s="246"/>
    </row>
    <row r="54" spans="1:52" s="129" customFormat="1" ht="12" customHeight="1">
      <c r="A54" s="142" t="str">
        <f t="shared" si="2"/>
        <v>Grays Harbor WUTCResidentialSP65-RES</v>
      </c>
      <c r="B54" s="142">
        <f t="shared" si="3"/>
        <v>1</v>
      </c>
      <c r="C54" s="193" t="s">
        <v>254</v>
      </c>
      <c r="D54" s="193" t="s">
        <v>255</v>
      </c>
      <c r="E54" s="194">
        <v>7.29</v>
      </c>
      <c r="F54" s="137">
        <v>7.36</v>
      </c>
      <c r="G54" s="138">
        <v>247.88000000000002</v>
      </c>
      <c r="H54" s="138">
        <v>255.17</v>
      </c>
      <c r="I54" s="138">
        <v>342.63</v>
      </c>
      <c r="J54" s="138">
        <v>349.92</v>
      </c>
      <c r="K54" s="138">
        <v>349.92</v>
      </c>
      <c r="L54" s="138">
        <v>335.34</v>
      </c>
      <c r="M54" s="138">
        <v>247.93999999999997</v>
      </c>
      <c r="N54" s="138">
        <v>262.44</v>
      </c>
      <c r="O54" s="138">
        <v>225.99</v>
      </c>
      <c r="P54" s="138">
        <v>247.85999999999999</v>
      </c>
      <c r="Q54" s="138">
        <v>279.33</v>
      </c>
      <c r="R54" s="138">
        <v>147.19999999999999</v>
      </c>
      <c r="S54" s="139">
        <f t="shared" si="22"/>
        <v>3291.6200000000003</v>
      </c>
      <c r="T54" s="132"/>
      <c r="U54" s="138">
        <f t="shared" si="23"/>
        <v>34.002743484224972</v>
      </c>
      <c r="V54" s="138">
        <f t="shared" si="23"/>
        <v>35.002743484224965</v>
      </c>
      <c r="W54" s="138">
        <f t="shared" si="23"/>
        <v>47</v>
      </c>
      <c r="X54" s="138">
        <f t="shared" si="23"/>
        <v>48</v>
      </c>
      <c r="Y54" s="138">
        <f t="shared" si="23"/>
        <v>48</v>
      </c>
      <c r="Z54" s="138">
        <f t="shared" si="21"/>
        <v>45.999999999999993</v>
      </c>
      <c r="AA54" s="138">
        <f t="shared" si="21"/>
        <v>34.010973936899859</v>
      </c>
      <c r="AB54" s="138">
        <f t="shared" si="21"/>
        <v>36</v>
      </c>
      <c r="AC54" s="138">
        <f t="shared" si="21"/>
        <v>31</v>
      </c>
      <c r="AD54" s="138">
        <f t="shared" si="21"/>
        <v>34</v>
      </c>
      <c r="AE54" s="138">
        <f t="shared" si="24"/>
        <v>37.952445652173907</v>
      </c>
      <c r="AF54" s="138">
        <f t="shared" si="24"/>
        <v>19.999999999999996</v>
      </c>
      <c r="AG54" s="138"/>
      <c r="AH54" s="195">
        <f t="shared" si="8"/>
        <v>37.580742213126975</v>
      </c>
      <c r="AI54" s="138">
        <f t="shared" si="9"/>
        <v>450.96890655752372</v>
      </c>
      <c r="AJ54" s="132"/>
      <c r="AK54" s="196">
        <f t="shared" si="16"/>
        <v>0.10654968325531003</v>
      </c>
      <c r="AL54" s="198">
        <f t="shared" si="10"/>
        <v>48.050594151697659</v>
      </c>
      <c r="AM54" s="197"/>
      <c r="AN54" s="196">
        <f t="shared" si="11"/>
        <v>7.4665496832553107</v>
      </c>
      <c r="AO54" s="198">
        <f t="shared" si="12"/>
        <v>3367.1817464150727</v>
      </c>
      <c r="AP54" s="199">
        <f t="shared" si="29"/>
        <v>0.09</v>
      </c>
      <c r="AQ54" s="200">
        <f t="shared" si="13"/>
        <v>40.587201590177131</v>
      </c>
      <c r="AR54" s="132"/>
      <c r="AS54" s="201">
        <f t="shared" si="14"/>
        <v>7.45</v>
      </c>
      <c r="AT54" s="202">
        <f t="shared" si="15"/>
        <v>3359.7183538535519</v>
      </c>
      <c r="AU54" s="132"/>
      <c r="AV54" s="132"/>
      <c r="AW54" s="132"/>
      <c r="AX54" s="132"/>
      <c r="AY54" s="132"/>
      <c r="AZ54" s="246"/>
    </row>
    <row r="55" spans="1:52" s="129" customFormat="1" ht="12" customHeight="1">
      <c r="A55" s="142" t="str">
        <f t="shared" si="2"/>
        <v>Grays Harbor WUTCResidentialSP95-RES</v>
      </c>
      <c r="B55" s="142">
        <f t="shared" si="3"/>
        <v>1</v>
      </c>
      <c r="C55" s="193" t="s">
        <v>256</v>
      </c>
      <c r="D55" s="193" t="s">
        <v>257</v>
      </c>
      <c r="E55" s="194">
        <v>7.29</v>
      </c>
      <c r="F55" s="137">
        <v>7.36</v>
      </c>
      <c r="G55" s="138">
        <v>93.84</v>
      </c>
      <c r="H55" s="138">
        <v>43.74</v>
      </c>
      <c r="I55" s="138">
        <v>72.900000000000006</v>
      </c>
      <c r="J55" s="138">
        <v>72.900000000000006</v>
      </c>
      <c r="K55" s="138">
        <v>58.32</v>
      </c>
      <c r="L55" s="138">
        <v>58.320000000000007</v>
      </c>
      <c r="M55" s="138">
        <v>14.620000000000001</v>
      </c>
      <c r="N55" s="138">
        <v>43.74</v>
      </c>
      <c r="O55" s="138">
        <v>58.320000000000007</v>
      </c>
      <c r="P55" s="138">
        <v>51.03</v>
      </c>
      <c r="Q55" s="138">
        <v>58.81</v>
      </c>
      <c r="R55" s="138">
        <v>73.599999999999994</v>
      </c>
      <c r="S55" s="139">
        <f t="shared" si="22"/>
        <v>700.14</v>
      </c>
      <c r="T55" s="132"/>
      <c r="U55" s="138">
        <f t="shared" si="23"/>
        <v>12.872427983539096</v>
      </c>
      <c r="V55" s="138">
        <f t="shared" si="23"/>
        <v>6</v>
      </c>
      <c r="W55" s="138">
        <f t="shared" si="23"/>
        <v>10</v>
      </c>
      <c r="X55" s="138">
        <f t="shared" si="23"/>
        <v>10</v>
      </c>
      <c r="Y55" s="138">
        <f t="shared" si="23"/>
        <v>8</v>
      </c>
      <c r="Z55" s="138">
        <f t="shared" si="21"/>
        <v>8.0000000000000018</v>
      </c>
      <c r="AA55" s="138">
        <f t="shared" si="21"/>
        <v>2.0054869684499317</v>
      </c>
      <c r="AB55" s="138">
        <f t="shared" si="21"/>
        <v>6</v>
      </c>
      <c r="AC55" s="138">
        <f t="shared" si="21"/>
        <v>8.0000000000000018</v>
      </c>
      <c r="AD55" s="138">
        <f t="shared" si="21"/>
        <v>7</v>
      </c>
      <c r="AE55" s="138">
        <f t="shared" si="24"/>
        <v>7.9904891304347823</v>
      </c>
      <c r="AF55" s="138">
        <f t="shared" si="24"/>
        <v>9.9999999999999982</v>
      </c>
      <c r="AG55" s="138"/>
      <c r="AH55" s="195">
        <f t="shared" si="8"/>
        <v>7.9890336735353173</v>
      </c>
      <c r="AI55" s="138">
        <f t="shared" si="9"/>
        <v>95.868404082423808</v>
      </c>
      <c r="AJ55" s="132"/>
      <c r="AK55" s="196">
        <f t="shared" si="16"/>
        <v>0.10654968325531003</v>
      </c>
      <c r="AL55" s="198">
        <f t="shared" si="10"/>
        <v>10.214748089174329</v>
      </c>
      <c r="AM55" s="197"/>
      <c r="AN55" s="196">
        <f t="shared" si="11"/>
        <v>7.4665496832553107</v>
      </c>
      <c r="AO55" s="198">
        <f t="shared" si="12"/>
        <v>715.80620213581358</v>
      </c>
      <c r="AP55" s="199">
        <f t="shared" si="29"/>
        <v>0.09</v>
      </c>
      <c r="AQ55" s="200">
        <f t="shared" si="13"/>
        <v>8.6281563674181427</v>
      </c>
      <c r="AR55" s="132"/>
      <c r="AS55" s="201">
        <f t="shared" si="14"/>
        <v>7.45</v>
      </c>
      <c r="AT55" s="202">
        <f t="shared" si="15"/>
        <v>714.21961041405734</v>
      </c>
      <c r="AU55" s="132"/>
      <c r="AV55" s="132"/>
      <c r="AW55" s="132"/>
      <c r="AX55" s="132"/>
      <c r="AY55" s="132"/>
      <c r="AZ55" s="246"/>
    </row>
    <row r="56" spans="1:52" s="129" customFormat="1" ht="12" customHeight="1">
      <c r="A56" s="142" t="str">
        <f t="shared" si="2"/>
        <v>Grays Harbor WUTCResidentialSPCL32-RES</v>
      </c>
      <c r="B56" s="142">
        <f t="shared" si="3"/>
        <v>1</v>
      </c>
      <c r="C56" s="193" t="s">
        <v>252</v>
      </c>
      <c r="D56" s="193" t="s">
        <v>253</v>
      </c>
      <c r="E56" s="194">
        <v>7.29</v>
      </c>
      <c r="F56" s="137">
        <v>7.36</v>
      </c>
      <c r="G56" s="138">
        <v>7.29</v>
      </c>
      <c r="H56" s="138">
        <v>0</v>
      </c>
      <c r="I56" s="138">
        <v>0</v>
      </c>
      <c r="J56" s="138">
        <v>7.29</v>
      </c>
      <c r="K56" s="138">
        <v>0</v>
      </c>
      <c r="L56" s="138">
        <v>0</v>
      </c>
      <c r="M56" s="138">
        <v>7.29</v>
      </c>
      <c r="N56" s="138">
        <v>0</v>
      </c>
      <c r="O56" s="138">
        <v>0</v>
      </c>
      <c r="P56" s="138">
        <v>7.29</v>
      </c>
      <c r="Q56" s="138">
        <v>0</v>
      </c>
      <c r="R56" s="138">
        <v>0</v>
      </c>
      <c r="S56" s="139">
        <f t="shared" si="22"/>
        <v>29.16</v>
      </c>
      <c r="T56" s="132"/>
      <c r="U56" s="138">
        <f t="shared" si="23"/>
        <v>1</v>
      </c>
      <c r="V56" s="138">
        <f t="shared" si="23"/>
        <v>0</v>
      </c>
      <c r="W56" s="138">
        <f t="shared" si="23"/>
        <v>0</v>
      </c>
      <c r="X56" s="138">
        <f t="shared" si="23"/>
        <v>1</v>
      </c>
      <c r="Y56" s="138">
        <f t="shared" si="23"/>
        <v>0</v>
      </c>
      <c r="Z56" s="138">
        <f t="shared" si="21"/>
        <v>0</v>
      </c>
      <c r="AA56" s="138">
        <f t="shared" si="21"/>
        <v>1</v>
      </c>
      <c r="AB56" s="138">
        <f t="shared" si="21"/>
        <v>0</v>
      </c>
      <c r="AC56" s="138">
        <f t="shared" si="21"/>
        <v>0</v>
      </c>
      <c r="AD56" s="138">
        <f t="shared" si="21"/>
        <v>1</v>
      </c>
      <c r="AE56" s="138">
        <f t="shared" si="24"/>
        <v>0</v>
      </c>
      <c r="AF56" s="138">
        <f t="shared" si="24"/>
        <v>0</v>
      </c>
      <c r="AG56" s="138"/>
      <c r="AH56" s="195">
        <f t="shared" si="8"/>
        <v>0.33333333333333331</v>
      </c>
      <c r="AI56" s="138">
        <f t="shared" si="9"/>
        <v>4</v>
      </c>
      <c r="AJ56" s="132"/>
      <c r="AK56" s="196">
        <f t="shared" si="16"/>
        <v>0.10654968325531003</v>
      </c>
      <c r="AL56" s="198">
        <f t="shared" si="10"/>
        <v>0.42619873302124012</v>
      </c>
      <c r="AM56" s="197"/>
      <c r="AN56" s="196">
        <f t="shared" si="11"/>
        <v>7.4665496832553107</v>
      </c>
      <c r="AO56" s="198">
        <f t="shared" si="12"/>
        <v>29.866198733021243</v>
      </c>
      <c r="AP56" s="199">
        <f t="shared" si="29"/>
        <v>0.09</v>
      </c>
      <c r="AQ56" s="200">
        <f t="shared" si="13"/>
        <v>0.36</v>
      </c>
      <c r="AR56" s="132"/>
      <c r="AS56" s="201">
        <f t="shared" si="14"/>
        <v>7.45</v>
      </c>
      <c r="AT56" s="202">
        <f t="shared" si="15"/>
        <v>29.8</v>
      </c>
      <c r="AU56" s="132"/>
      <c r="AV56" s="132"/>
      <c r="AW56" s="132"/>
      <c r="AX56" s="132"/>
      <c r="AY56" s="132"/>
      <c r="AZ56" s="246"/>
    </row>
    <row r="57" spans="1:52" s="129" customFormat="1" ht="12" customHeight="1">
      <c r="A57" s="142" t="str">
        <f t="shared" si="2"/>
        <v xml:space="preserve">Grays Harbor WUTCResidentialTotal Count </v>
      </c>
      <c r="B57" s="142">
        <f t="shared" si="3"/>
        <v>1</v>
      </c>
      <c r="C57" s="193" t="s">
        <v>659</v>
      </c>
      <c r="D57" s="193"/>
      <c r="E57" s="194"/>
      <c r="F57" s="137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9"/>
      <c r="T57" s="132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95">
        <f t="shared" si="8"/>
        <v>6715.798976108631</v>
      </c>
      <c r="AI57" s="211">
        <f>SUM(AI12:AI56)</f>
        <v>80589.587713303568</v>
      </c>
      <c r="AJ57" s="132"/>
      <c r="AK57" s="196"/>
      <c r="AL57" s="198"/>
      <c r="AM57" s="197"/>
      <c r="AN57" s="196"/>
      <c r="AO57" s="198"/>
      <c r="AP57" s="199"/>
      <c r="AQ57" s="200"/>
      <c r="AR57" s="132"/>
      <c r="AS57" s="201"/>
      <c r="AT57" s="202"/>
      <c r="AU57" s="132"/>
      <c r="AV57" s="132"/>
      <c r="AW57" s="132"/>
      <c r="AX57" s="132"/>
      <c r="AY57" s="132"/>
      <c r="AZ57" s="246"/>
    </row>
    <row r="58" spans="1:52" s="129" customFormat="1" ht="12" customHeight="1">
      <c r="A58" s="142"/>
      <c r="B58" s="142"/>
      <c r="C58" s="212" t="s">
        <v>658</v>
      </c>
      <c r="D58" s="193"/>
      <c r="E58" s="194"/>
      <c r="F58" s="137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9"/>
      <c r="T58" s="132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2"/>
      <c r="AK58" s="196"/>
      <c r="AL58" s="198"/>
      <c r="AM58" s="197"/>
      <c r="AN58" s="196"/>
      <c r="AO58" s="198"/>
      <c r="AP58" s="199"/>
      <c r="AQ58" s="200"/>
      <c r="AR58" s="132"/>
      <c r="AS58" s="201"/>
      <c r="AT58" s="202"/>
      <c r="AU58" s="132"/>
      <c r="AV58" s="132"/>
      <c r="AW58" s="132"/>
      <c r="AX58" s="132"/>
      <c r="AY58" s="132"/>
      <c r="AZ58" s="246"/>
    </row>
    <row r="59" spans="1:52" s="129" customFormat="1" ht="12" customHeight="1">
      <c r="A59" s="142" t="str">
        <f t="shared" si="2"/>
        <v>Grays Harbor WUTCResidentialACCESS-RES</v>
      </c>
      <c r="B59" s="142">
        <f t="shared" ref="B59:B74" si="30">COUNTIF(C:C,C59)</f>
        <v>1</v>
      </c>
      <c r="C59" s="193" t="s">
        <v>258</v>
      </c>
      <c r="D59" s="193" t="s">
        <v>259</v>
      </c>
      <c r="E59" s="194">
        <v>8.66</v>
      </c>
      <c r="F59" s="137">
        <v>8.6666666666666661</v>
      </c>
      <c r="G59" s="138">
        <v>140.03</v>
      </c>
      <c r="H59" s="138">
        <v>155.88</v>
      </c>
      <c r="I59" s="138">
        <v>155.88</v>
      </c>
      <c r="J59" s="138">
        <v>155.88</v>
      </c>
      <c r="K59" s="138">
        <v>162.375</v>
      </c>
      <c r="L59" s="138">
        <v>162.375</v>
      </c>
      <c r="M59" s="138">
        <v>160.20999999999998</v>
      </c>
      <c r="N59" s="138">
        <v>159.25</v>
      </c>
      <c r="O59" s="138">
        <v>172.24</v>
      </c>
      <c r="P59" s="138">
        <v>173.2</v>
      </c>
      <c r="Q59" s="138">
        <v>172.11499999999998</v>
      </c>
      <c r="R59" s="138">
        <v>172.11500000000001</v>
      </c>
      <c r="S59" s="139">
        <f t="shared" ref="S59:S67" si="31">+SUM(G59:R59)</f>
        <v>1941.55</v>
      </c>
      <c r="T59" s="132"/>
      <c r="U59" s="138">
        <f t="shared" ref="U59:AD74" si="32">IFERROR(G59/$E59,0)</f>
        <v>16.169745958429562</v>
      </c>
      <c r="V59" s="138">
        <f t="shared" si="32"/>
        <v>18</v>
      </c>
      <c r="W59" s="138">
        <f t="shared" si="32"/>
        <v>18</v>
      </c>
      <c r="X59" s="138">
        <f t="shared" si="32"/>
        <v>18</v>
      </c>
      <c r="Y59" s="138">
        <f t="shared" si="32"/>
        <v>18.75</v>
      </c>
      <c r="Z59" s="138">
        <f t="shared" si="32"/>
        <v>18.75</v>
      </c>
      <c r="AA59" s="138">
        <f t="shared" si="32"/>
        <v>18.499999999999996</v>
      </c>
      <c r="AB59" s="138">
        <f t="shared" si="32"/>
        <v>18.389145496535797</v>
      </c>
      <c r="AC59" s="138">
        <f t="shared" si="32"/>
        <v>19.889145496535797</v>
      </c>
      <c r="AD59" s="138">
        <f t="shared" si="32"/>
        <v>20</v>
      </c>
      <c r="AE59" s="138">
        <f t="shared" si="24"/>
        <v>19.859423076923076</v>
      </c>
      <c r="AF59" s="138">
        <f t="shared" si="24"/>
        <v>19.859423076923079</v>
      </c>
      <c r="AG59" s="138"/>
      <c r="AH59" s="138"/>
      <c r="AI59" s="138">
        <f t="shared" si="9"/>
        <v>224.16688310534732</v>
      </c>
      <c r="AJ59" s="132"/>
      <c r="AK59" s="196">
        <f t="shared" si="16"/>
        <v>0.12546611252889767</v>
      </c>
      <c r="AL59" s="198">
        <f t="shared" si="10"/>
        <v>28.125347380947755</v>
      </c>
      <c r="AM59" s="197"/>
      <c r="AN59" s="196">
        <f t="shared" si="11"/>
        <v>8.7921327791955637</v>
      </c>
      <c r="AO59" s="198">
        <f t="shared" si="12"/>
        <v>1970.9050009606244</v>
      </c>
      <c r="AP59" s="199">
        <f t="shared" si="29"/>
        <v>0.11</v>
      </c>
      <c r="AQ59" s="200">
        <f t="shared" si="13"/>
        <v>24.658357141588205</v>
      </c>
      <c r="AR59" s="132"/>
      <c r="AS59" s="201">
        <f t="shared" si="14"/>
        <v>8.7766666666666655</v>
      </c>
      <c r="AT59" s="202">
        <f t="shared" si="15"/>
        <v>1967.4380107212648</v>
      </c>
      <c r="AU59" s="132"/>
      <c r="AV59" s="132"/>
      <c r="AW59" s="132"/>
      <c r="AX59" s="132"/>
      <c r="AY59" s="132"/>
      <c r="AZ59" s="246"/>
    </row>
    <row r="60" spans="1:52" s="129" customFormat="1" ht="12" customHeight="1">
      <c r="A60" s="142" t="str">
        <f t="shared" si="2"/>
        <v>Grays Harbor WUTCResidentialDRIVEINEOW-RES</v>
      </c>
      <c r="B60" s="142">
        <f t="shared" si="30"/>
        <v>1</v>
      </c>
      <c r="C60" s="193" t="s">
        <v>267</v>
      </c>
      <c r="D60" s="193" t="s">
        <v>268</v>
      </c>
      <c r="E60" s="194">
        <v>4.0199999999999996</v>
      </c>
      <c r="F60" s="137">
        <v>4.0199999999999996</v>
      </c>
      <c r="G60" s="138">
        <v>23.115000000000002</v>
      </c>
      <c r="H60" s="138">
        <v>19.095000000000002</v>
      </c>
      <c r="I60" s="138">
        <v>20.100000000000001</v>
      </c>
      <c r="J60" s="138">
        <v>20.100000000000001</v>
      </c>
      <c r="K60" s="138">
        <v>20.100000000000001</v>
      </c>
      <c r="L60" s="138">
        <v>28.14</v>
      </c>
      <c r="M60" s="138">
        <v>52.26</v>
      </c>
      <c r="N60" s="138">
        <v>52.26</v>
      </c>
      <c r="O60" s="138">
        <v>48.239999999999995</v>
      </c>
      <c r="P60" s="138">
        <v>40.200000000000003</v>
      </c>
      <c r="Q60" s="138">
        <v>46.63</v>
      </c>
      <c r="R60" s="138">
        <v>48.64</v>
      </c>
      <c r="S60" s="139">
        <f t="shared" si="31"/>
        <v>418.88</v>
      </c>
      <c r="T60" s="132"/>
      <c r="U60" s="138">
        <f t="shared" si="32"/>
        <v>5.7500000000000009</v>
      </c>
      <c r="V60" s="138">
        <f t="shared" si="32"/>
        <v>4.7500000000000009</v>
      </c>
      <c r="W60" s="138">
        <f t="shared" si="32"/>
        <v>5.0000000000000009</v>
      </c>
      <c r="X60" s="138">
        <f t="shared" si="32"/>
        <v>5.0000000000000009</v>
      </c>
      <c r="Y60" s="138">
        <f t="shared" si="32"/>
        <v>5.0000000000000009</v>
      </c>
      <c r="Z60" s="138">
        <f t="shared" si="32"/>
        <v>7.0000000000000009</v>
      </c>
      <c r="AA60" s="138">
        <f t="shared" si="32"/>
        <v>13</v>
      </c>
      <c r="AB60" s="138">
        <f t="shared" si="32"/>
        <v>13</v>
      </c>
      <c r="AC60" s="138">
        <f t="shared" si="32"/>
        <v>12</v>
      </c>
      <c r="AD60" s="138">
        <f t="shared" si="32"/>
        <v>10.000000000000002</v>
      </c>
      <c r="AE60" s="138">
        <f t="shared" ref="AE60:AF74" si="33">IFERROR(Q60/$F60,0)</f>
        <v>11.599502487562191</v>
      </c>
      <c r="AF60" s="138">
        <f t="shared" si="33"/>
        <v>12.099502487562191</v>
      </c>
      <c r="AG60" s="138"/>
      <c r="AH60" s="138"/>
      <c r="AI60" s="138">
        <f t="shared" si="9"/>
        <v>104.19900497512438</v>
      </c>
      <c r="AJ60" s="132"/>
      <c r="AK60" s="196">
        <f t="shared" si="16"/>
        <v>5.8196973734557914E-2</v>
      </c>
      <c r="AL60" s="198">
        <f t="shared" si="10"/>
        <v>6.064066755704383</v>
      </c>
      <c r="AM60" s="197"/>
      <c r="AN60" s="196">
        <f t="shared" si="11"/>
        <v>4.0781969737345571</v>
      </c>
      <c r="AO60" s="198">
        <f t="shared" si="12"/>
        <v>424.94406675570434</v>
      </c>
      <c r="AP60" s="199">
        <f t="shared" si="29"/>
        <v>0.05</v>
      </c>
      <c r="AQ60" s="200">
        <f t="shared" si="13"/>
        <v>5.2099502487562193</v>
      </c>
      <c r="AR60" s="132"/>
      <c r="AS60" s="201">
        <f t="shared" si="14"/>
        <v>4.0699999999999994</v>
      </c>
      <c r="AT60" s="202">
        <f t="shared" si="15"/>
        <v>424.08995024875617</v>
      </c>
      <c r="AU60" s="132"/>
      <c r="AV60" s="132"/>
      <c r="AW60" s="132"/>
      <c r="AX60" s="132"/>
      <c r="AY60" s="132"/>
      <c r="AZ60" s="246"/>
    </row>
    <row r="61" spans="1:52" s="129" customFormat="1" ht="12" customHeight="1">
      <c r="A61" s="142" t="str">
        <f t="shared" si="2"/>
        <v>Grays Harbor WUTCResidentialDRIVEIN-RES</v>
      </c>
      <c r="B61" s="142">
        <f t="shared" si="30"/>
        <v>1</v>
      </c>
      <c r="C61" s="193" t="s">
        <v>269</v>
      </c>
      <c r="D61" s="193" t="s">
        <v>270</v>
      </c>
      <c r="E61" s="194">
        <v>8.0399999999999991</v>
      </c>
      <c r="F61" s="137">
        <v>8.0399999999999991</v>
      </c>
      <c r="G61" s="138">
        <v>383.91999999999996</v>
      </c>
      <c r="H61" s="138">
        <v>377.88</v>
      </c>
      <c r="I61" s="138">
        <v>391.95</v>
      </c>
      <c r="J61" s="138">
        <v>393.96</v>
      </c>
      <c r="K61" s="138">
        <v>393.96</v>
      </c>
      <c r="L61" s="138">
        <v>388.935</v>
      </c>
      <c r="M61" s="138">
        <v>364.815</v>
      </c>
      <c r="N61" s="138">
        <v>367.83</v>
      </c>
      <c r="O61" s="138">
        <v>359.78999999999996</v>
      </c>
      <c r="P61" s="138">
        <v>351.74999999999994</v>
      </c>
      <c r="Q61" s="138">
        <v>321.60000000000002</v>
      </c>
      <c r="R61" s="138">
        <v>331.65</v>
      </c>
      <c r="S61" s="139">
        <f t="shared" si="31"/>
        <v>4428.04</v>
      </c>
      <c r="T61" s="132"/>
      <c r="U61" s="138">
        <f t="shared" si="32"/>
        <v>47.75124378109453</v>
      </c>
      <c r="V61" s="138">
        <f t="shared" si="32"/>
        <v>47.000000000000007</v>
      </c>
      <c r="W61" s="138">
        <f t="shared" si="32"/>
        <v>48.750000000000007</v>
      </c>
      <c r="X61" s="138">
        <f t="shared" si="32"/>
        <v>49</v>
      </c>
      <c r="Y61" s="138">
        <f t="shared" si="32"/>
        <v>49</v>
      </c>
      <c r="Z61" s="138">
        <f t="shared" si="32"/>
        <v>48.375000000000007</v>
      </c>
      <c r="AA61" s="138">
        <f t="shared" si="32"/>
        <v>45.375000000000007</v>
      </c>
      <c r="AB61" s="138">
        <f t="shared" si="32"/>
        <v>45.75</v>
      </c>
      <c r="AC61" s="138">
        <f t="shared" si="32"/>
        <v>44.75</v>
      </c>
      <c r="AD61" s="138">
        <f t="shared" si="32"/>
        <v>43.75</v>
      </c>
      <c r="AE61" s="138">
        <f t="shared" si="33"/>
        <v>40.000000000000007</v>
      </c>
      <c r="AF61" s="138">
        <f t="shared" si="33"/>
        <v>41.25</v>
      </c>
      <c r="AG61" s="138"/>
      <c r="AH61" s="138"/>
      <c r="AI61" s="138">
        <f t="shared" si="9"/>
        <v>550.75124378109456</v>
      </c>
      <c r="AJ61" s="132"/>
      <c r="AK61" s="196">
        <f t="shared" si="16"/>
        <v>0.11639394746911583</v>
      </c>
      <c r="AL61" s="198">
        <f t="shared" si="10"/>
        <v>64.10411133720693</v>
      </c>
      <c r="AM61" s="197"/>
      <c r="AN61" s="196">
        <f t="shared" si="11"/>
        <v>8.1563939474691143</v>
      </c>
      <c r="AO61" s="198">
        <f t="shared" si="12"/>
        <v>4492.1441113372066</v>
      </c>
      <c r="AP61" s="199">
        <f t="shared" si="29"/>
        <v>0.1</v>
      </c>
      <c r="AQ61" s="200">
        <f t="shared" si="13"/>
        <v>55.075124378109457</v>
      </c>
      <c r="AR61" s="132"/>
      <c r="AS61" s="201">
        <f t="shared" si="14"/>
        <v>8.1399999999999988</v>
      </c>
      <c r="AT61" s="202">
        <f t="shared" si="15"/>
        <v>4483.1151243781087</v>
      </c>
      <c r="AU61" s="132"/>
      <c r="AV61" s="132"/>
      <c r="AW61" s="132"/>
      <c r="AX61" s="132"/>
      <c r="AY61" s="132"/>
      <c r="AZ61" s="246"/>
    </row>
    <row r="62" spans="1:52" s="129" customFormat="1" ht="12" customHeight="1">
      <c r="A62" s="142" t="str">
        <f t="shared" si="2"/>
        <v>Grays Harbor WUTCResidentialREDEL-RES</v>
      </c>
      <c r="B62" s="142">
        <f t="shared" si="30"/>
        <v>1</v>
      </c>
      <c r="C62" s="193" t="s">
        <v>517</v>
      </c>
      <c r="D62" s="193" t="s">
        <v>518</v>
      </c>
      <c r="E62" s="194">
        <v>20</v>
      </c>
      <c r="F62" s="194">
        <v>20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10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9">
        <f t="shared" ref="S62" si="34">+SUM(G62:R62)</f>
        <v>10</v>
      </c>
      <c r="T62" s="132"/>
      <c r="U62" s="138">
        <f t="shared" si="32"/>
        <v>0</v>
      </c>
      <c r="V62" s="138">
        <f t="shared" si="32"/>
        <v>0</v>
      </c>
      <c r="W62" s="138">
        <f t="shared" si="32"/>
        <v>0</v>
      </c>
      <c r="X62" s="138">
        <f t="shared" si="32"/>
        <v>0</v>
      </c>
      <c r="Y62" s="138">
        <f t="shared" si="32"/>
        <v>0</v>
      </c>
      <c r="Z62" s="138">
        <f t="shared" si="32"/>
        <v>0</v>
      </c>
      <c r="AA62" s="138">
        <f t="shared" si="32"/>
        <v>0.5</v>
      </c>
      <c r="AB62" s="138">
        <f t="shared" si="32"/>
        <v>0</v>
      </c>
      <c r="AC62" s="138">
        <f t="shared" si="32"/>
        <v>0</v>
      </c>
      <c r="AD62" s="138">
        <f t="shared" si="32"/>
        <v>0</v>
      </c>
      <c r="AE62" s="138">
        <f t="shared" si="33"/>
        <v>0</v>
      </c>
      <c r="AF62" s="138">
        <f t="shared" si="33"/>
        <v>0</v>
      </c>
      <c r="AG62" s="138"/>
      <c r="AH62" s="138"/>
      <c r="AI62" s="138">
        <f t="shared" si="9"/>
        <v>0.5</v>
      </c>
      <c r="AJ62" s="132"/>
      <c r="AK62" s="196">
        <f t="shared" si="16"/>
        <v>0.28953718275899465</v>
      </c>
      <c r="AL62" s="198">
        <f t="shared" si="10"/>
        <v>0.14476859137949732</v>
      </c>
      <c r="AM62" s="197"/>
      <c r="AN62" s="196">
        <f t="shared" si="11"/>
        <v>20.289537182758995</v>
      </c>
      <c r="AO62" s="198">
        <f t="shared" si="12"/>
        <v>10.144768591379497</v>
      </c>
      <c r="AP62" s="199">
        <f t="shared" si="29"/>
        <v>0.25</v>
      </c>
      <c r="AQ62" s="200">
        <f t="shared" si="13"/>
        <v>0.125</v>
      </c>
      <c r="AR62" s="132"/>
      <c r="AS62" s="201">
        <f t="shared" si="14"/>
        <v>20.25</v>
      </c>
      <c r="AT62" s="202">
        <f t="shared" si="15"/>
        <v>10.125</v>
      </c>
      <c r="AU62" s="132"/>
      <c r="AV62" s="132"/>
      <c r="AW62" s="132"/>
      <c r="AX62" s="132"/>
      <c r="AY62" s="132"/>
      <c r="AZ62" s="246"/>
    </row>
    <row r="63" spans="1:52" s="129" customFormat="1" ht="12" customHeight="1">
      <c r="A63" s="142" t="str">
        <f t="shared" si="2"/>
        <v>Grays Harbor WUTCResidentialREINSTATE-RES</v>
      </c>
      <c r="B63" s="142">
        <f t="shared" si="30"/>
        <v>1</v>
      </c>
      <c r="C63" s="193" t="s">
        <v>260</v>
      </c>
      <c r="D63" s="193" t="s">
        <v>261</v>
      </c>
      <c r="E63" s="194">
        <v>11.3</v>
      </c>
      <c r="F63" s="137">
        <v>11.3</v>
      </c>
      <c r="G63" s="138">
        <v>463.3</v>
      </c>
      <c r="H63" s="138">
        <v>327.7</v>
      </c>
      <c r="I63" s="138">
        <v>282.5</v>
      </c>
      <c r="J63" s="138">
        <v>327.7</v>
      </c>
      <c r="K63" s="138">
        <v>259.90000000000003</v>
      </c>
      <c r="L63" s="138">
        <v>418.09999999999997</v>
      </c>
      <c r="M63" s="138">
        <v>248.6</v>
      </c>
      <c r="N63" s="138">
        <v>372.90000000000003</v>
      </c>
      <c r="O63" s="138">
        <v>226</v>
      </c>
      <c r="P63" s="138">
        <v>293.8</v>
      </c>
      <c r="Q63" s="138">
        <v>395.5</v>
      </c>
      <c r="R63" s="138">
        <v>271.2</v>
      </c>
      <c r="S63" s="139">
        <f t="shared" si="31"/>
        <v>3887.2000000000003</v>
      </c>
      <c r="T63" s="132"/>
      <c r="U63" s="138">
        <f t="shared" si="32"/>
        <v>41</v>
      </c>
      <c r="V63" s="138">
        <f t="shared" si="32"/>
        <v>28.999999999999996</v>
      </c>
      <c r="W63" s="138">
        <f t="shared" si="32"/>
        <v>25</v>
      </c>
      <c r="X63" s="138">
        <f t="shared" si="32"/>
        <v>28.999999999999996</v>
      </c>
      <c r="Y63" s="138">
        <f t="shared" si="32"/>
        <v>23</v>
      </c>
      <c r="Z63" s="138">
        <f t="shared" si="32"/>
        <v>36.999999999999993</v>
      </c>
      <c r="AA63" s="138">
        <f t="shared" si="32"/>
        <v>21.999999999999996</v>
      </c>
      <c r="AB63" s="138">
        <f t="shared" si="32"/>
        <v>33</v>
      </c>
      <c r="AC63" s="138">
        <f t="shared" si="32"/>
        <v>20</v>
      </c>
      <c r="AD63" s="138">
        <f t="shared" si="32"/>
        <v>26</v>
      </c>
      <c r="AE63" s="138">
        <f t="shared" si="33"/>
        <v>35</v>
      </c>
      <c r="AF63" s="138">
        <f t="shared" si="33"/>
        <v>23.999999999999996</v>
      </c>
      <c r="AG63" s="138"/>
      <c r="AH63" s="138"/>
      <c r="AI63" s="138">
        <f t="shared" si="9"/>
        <v>344</v>
      </c>
      <c r="AJ63" s="132"/>
      <c r="AK63" s="196">
        <f t="shared" si="16"/>
        <v>0.16358850825883198</v>
      </c>
      <c r="AL63" s="198">
        <f t="shared" si="10"/>
        <v>56.274446841038198</v>
      </c>
      <c r="AM63" s="197"/>
      <c r="AN63" s="196">
        <f t="shared" si="11"/>
        <v>11.463588508258832</v>
      </c>
      <c r="AO63" s="198">
        <f t="shared" si="12"/>
        <v>3943.4744468410381</v>
      </c>
      <c r="AP63" s="199">
        <f t="shared" si="29"/>
        <v>0.14000000000000001</v>
      </c>
      <c r="AQ63" s="200">
        <f t="shared" si="13"/>
        <v>48.160000000000004</v>
      </c>
      <c r="AR63" s="132"/>
      <c r="AS63" s="201">
        <f t="shared" si="14"/>
        <v>11.440000000000001</v>
      </c>
      <c r="AT63" s="202">
        <f t="shared" si="15"/>
        <v>3935.3600000000006</v>
      </c>
      <c r="AU63" s="132"/>
      <c r="AV63" s="132"/>
      <c r="AW63" s="132"/>
      <c r="AX63" s="132"/>
      <c r="AY63" s="132"/>
      <c r="AZ63" s="246"/>
    </row>
    <row r="64" spans="1:52" s="129" customFormat="1" ht="12" customHeight="1">
      <c r="A64" s="142" t="str">
        <f t="shared" si="2"/>
        <v>Grays Harbor WUTCResidentialRTRNCART65-RES</v>
      </c>
      <c r="B64" s="142">
        <f t="shared" si="30"/>
        <v>1</v>
      </c>
      <c r="C64" s="193" t="s">
        <v>262</v>
      </c>
      <c r="D64" s="193" t="s">
        <v>263</v>
      </c>
      <c r="E64" s="194">
        <v>13.65</v>
      </c>
      <c r="F64" s="194">
        <v>13.65</v>
      </c>
      <c r="G64" s="138">
        <v>0</v>
      </c>
      <c r="H64" s="138">
        <v>0</v>
      </c>
      <c r="I64" s="138">
        <v>0</v>
      </c>
      <c r="J64" s="138">
        <v>13.65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27.3</v>
      </c>
      <c r="R64" s="138">
        <v>0</v>
      </c>
      <c r="S64" s="139">
        <f t="shared" si="31"/>
        <v>40.950000000000003</v>
      </c>
      <c r="T64" s="132"/>
      <c r="U64" s="138">
        <f t="shared" si="32"/>
        <v>0</v>
      </c>
      <c r="V64" s="138">
        <f t="shared" si="32"/>
        <v>0</v>
      </c>
      <c r="W64" s="138">
        <f t="shared" si="32"/>
        <v>0</v>
      </c>
      <c r="X64" s="138">
        <f t="shared" si="32"/>
        <v>1</v>
      </c>
      <c r="Y64" s="138">
        <f t="shared" si="32"/>
        <v>0</v>
      </c>
      <c r="Z64" s="138">
        <f t="shared" si="32"/>
        <v>0</v>
      </c>
      <c r="AA64" s="138">
        <f t="shared" si="32"/>
        <v>0</v>
      </c>
      <c r="AB64" s="138">
        <f t="shared" si="32"/>
        <v>0</v>
      </c>
      <c r="AC64" s="138">
        <f t="shared" si="32"/>
        <v>0</v>
      </c>
      <c r="AD64" s="138">
        <f t="shared" si="32"/>
        <v>0</v>
      </c>
      <c r="AE64" s="138">
        <f t="shared" si="33"/>
        <v>2</v>
      </c>
      <c r="AF64" s="138">
        <f t="shared" si="33"/>
        <v>0</v>
      </c>
      <c r="AG64" s="138"/>
      <c r="AH64" s="138"/>
      <c r="AI64" s="138">
        <f t="shared" si="9"/>
        <v>3</v>
      </c>
      <c r="AJ64" s="132"/>
      <c r="AK64" s="196">
        <f t="shared" si="16"/>
        <v>0.19760912723301383</v>
      </c>
      <c r="AL64" s="198">
        <f t="shared" si="10"/>
        <v>0.59282738169904148</v>
      </c>
      <c r="AM64" s="197"/>
      <c r="AN64" s="196">
        <f t="shared" si="11"/>
        <v>13.847609127233014</v>
      </c>
      <c r="AO64" s="198">
        <f t="shared" si="12"/>
        <v>41.542827381699041</v>
      </c>
      <c r="AP64" s="199">
        <f t="shared" si="29"/>
        <v>0.17</v>
      </c>
      <c r="AQ64" s="200">
        <f t="shared" si="13"/>
        <v>0.51</v>
      </c>
      <c r="AR64" s="132"/>
      <c r="AS64" s="201">
        <f t="shared" si="14"/>
        <v>13.82</v>
      </c>
      <c r="AT64" s="202">
        <f t="shared" si="15"/>
        <v>41.46</v>
      </c>
      <c r="AU64" s="132"/>
      <c r="AV64" s="132"/>
      <c r="AW64" s="132"/>
      <c r="AX64" s="132"/>
      <c r="AY64" s="132"/>
      <c r="AZ64" s="246"/>
    </row>
    <row r="65" spans="1:52" s="129" customFormat="1" ht="12" customHeight="1">
      <c r="A65" s="142" t="str">
        <f t="shared" si="2"/>
        <v>Grays Harbor WUTCResidentialRTRNCART95-RES</v>
      </c>
      <c r="B65" s="142">
        <f t="shared" si="30"/>
        <v>1</v>
      </c>
      <c r="C65" s="193" t="s">
        <v>519</v>
      </c>
      <c r="D65" s="193" t="s">
        <v>520</v>
      </c>
      <c r="E65" s="194">
        <v>13.65</v>
      </c>
      <c r="F65" s="194">
        <v>13.65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13.65</v>
      </c>
      <c r="S65" s="139">
        <f t="shared" si="31"/>
        <v>13.65</v>
      </c>
      <c r="T65" s="132"/>
      <c r="U65" s="138">
        <f t="shared" si="32"/>
        <v>0</v>
      </c>
      <c r="V65" s="138">
        <f t="shared" si="32"/>
        <v>0</v>
      </c>
      <c r="W65" s="138">
        <f t="shared" si="32"/>
        <v>0</v>
      </c>
      <c r="X65" s="138">
        <f t="shared" si="32"/>
        <v>0</v>
      </c>
      <c r="Y65" s="138">
        <f t="shared" si="32"/>
        <v>0</v>
      </c>
      <c r="Z65" s="138">
        <f t="shared" si="32"/>
        <v>0</v>
      </c>
      <c r="AA65" s="138">
        <f t="shared" si="32"/>
        <v>0</v>
      </c>
      <c r="AB65" s="138">
        <f t="shared" si="32"/>
        <v>0</v>
      </c>
      <c r="AC65" s="138">
        <f t="shared" si="32"/>
        <v>0</v>
      </c>
      <c r="AD65" s="138">
        <f t="shared" si="32"/>
        <v>0</v>
      </c>
      <c r="AE65" s="138">
        <f t="shared" si="33"/>
        <v>0</v>
      </c>
      <c r="AF65" s="138">
        <f t="shared" si="33"/>
        <v>1</v>
      </c>
      <c r="AG65" s="138"/>
      <c r="AH65" s="138"/>
      <c r="AI65" s="138">
        <f t="shared" si="9"/>
        <v>1</v>
      </c>
      <c r="AJ65" s="132"/>
      <c r="AK65" s="196">
        <f t="shared" si="16"/>
        <v>0.19760912723301383</v>
      </c>
      <c r="AL65" s="198">
        <f t="shared" si="10"/>
        <v>0.19760912723301383</v>
      </c>
      <c r="AM65" s="197"/>
      <c r="AN65" s="196">
        <f t="shared" si="11"/>
        <v>13.847609127233014</v>
      </c>
      <c r="AO65" s="198">
        <f t="shared" si="12"/>
        <v>13.847609127233014</v>
      </c>
      <c r="AP65" s="199">
        <f t="shared" si="29"/>
        <v>0.17</v>
      </c>
      <c r="AQ65" s="200">
        <f t="shared" si="13"/>
        <v>0.17</v>
      </c>
      <c r="AR65" s="132"/>
      <c r="AS65" s="201">
        <f t="shared" si="14"/>
        <v>13.82</v>
      </c>
      <c r="AT65" s="202">
        <f t="shared" si="15"/>
        <v>13.82</v>
      </c>
      <c r="AU65" s="132"/>
      <c r="AV65" s="132"/>
      <c r="AW65" s="132"/>
      <c r="AX65" s="132"/>
      <c r="AY65" s="132"/>
      <c r="AZ65" s="246"/>
    </row>
    <row r="66" spans="1:52" s="129" customFormat="1" ht="12" customHeight="1">
      <c r="A66" s="142" t="str">
        <f t="shared" si="2"/>
        <v>Grays Harbor WUTCResidentialRTRNCART-RES</v>
      </c>
      <c r="B66" s="142">
        <f t="shared" si="30"/>
        <v>1</v>
      </c>
      <c r="C66" s="193" t="s">
        <v>266</v>
      </c>
      <c r="D66" s="193" t="s">
        <v>672</v>
      </c>
      <c r="E66" s="194">
        <v>13.65</v>
      </c>
      <c r="F66" s="194">
        <v>13.65</v>
      </c>
      <c r="G66" s="138">
        <v>13.65</v>
      </c>
      <c r="H66" s="138">
        <v>0</v>
      </c>
      <c r="I66" s="138">
        <v>0</v>
      </c>
      <c r="J66" s="138">
        <v>0</v>
      </c>
      <c r="K66" s="138">
        <v>0</v>
      </c>
      <c r="L66" s="138">
        <v>0</v>
      </c>
      <c r="M66" s="138">
        <v>0</v>
      </c>
      <c r="N66" s="138">
        <v>0</v>
      </c>
      <c r="O66" s="138">
        <v>0</v>
      </c>
      <c r="P66" s="138">
        <v>0</v>
      </c>
      <c r="Q66" s="138">
        <v>0</v>
      </c>
      <c r="R66" s="138">
        <v>0</v>
      </c>
      <c r="S66" s="139">
        <f t="shared" si="31"/>
        <v>13.65</v>
      </c>
      <c r="T66" s="132"/>
      <c r="U66" s="138">
        <f t="shared" si="32"/>
        <v>1</v>
      </c>
      <c r="V66" s="138">
        <f t="shared" si="32"/>
        <v>0</v>
      </c>
      <c r="W66" s="138">
        <f t="shared" si="32"/>
        <v>0</v>
      </c>
      <c r="X66" s="138">
        <f t="shared" si="32"/>
        <v>0</v>
      </c>
      <c r="Y66" s="138">
        <f t="shared" si="32"/>
        <v>0</v>
      </c>
      <c r="Z66" s="138">
        <f t="shared" si="32"/>
        <v>0</v>
      </c>
      <c r="AA66" s="138">
        <f t="shared" si="32"/>
        <v>0</v>
      </c>
      <c r="AB66" s="138">
        <f t="shared" si="32"/>
        <v>0</v>
      </c>
      <c r="AC66" s="138">
        <f t="shared" si="32"/>
        <v>0</v>
      </c>
      <c r="AD66" s="138">
        <f t="shared" si="32"/>
        <v>0</v>
      </c>
      <c r="AE66" s="138">
        <f t="shared" si="33"/>
        <v>0</v>
      </c>
      <c r="AF66" s="138">
        <f t="shared" si="33"/>
        <v>0</v>
      </c>
      <c r="AG66" s="138"/>
      <c r="AH66" s="138"/>
      <c r="AI66" s="138">
        <f t="shared" si="9"/>
        <v>1</v>
      </c>
      <c r="AJ66" s="132"/>
      <c r="AK66" s="196">
        <f t="shared" si="16"/>
        <v>0.19760912723301383</v>
      </c>
      <c r="AL66" s="198">
        <f t="shared" si="10"/>
        <v>0.19760912723301383</v>
      </c>
      <c r="AM66" s="197"/>
      <c r="AN66" s="196">
        <f t="shared" si="11"/>
        <v>13.847609127233014</v>
      </c>
      <c r="AO66" s="198">
        <f t="shared" si="12"/>
        <v>13.847609127233014</v>
      </c>
      <c r="AP66" s="199">
        <f t="shared" si="29"/>
        <v>0.17</v>
      </c>
      <c r="AQ66" s="200">
        <f t="shared" si="13"/>
        <v>0.17</v>
      </c>
      <c r="AR66" s="132"/>
      <c r="AS66" s="201">
        <f t="shared" si="14"/>
        <v>13.82</v>
      </c>
      <c r="AT66" s="202">
        <f t="shared" si="15"/>
        <v>13.82</v>
      </c>
      <c r="AU66" s="132"/>
      <c r="AV66" s="132"/>
      <c r="AW66" s="132"/>
      <c r="AX66" s="132"/>
      <c r="AY66" s="132"/>
      <c r="AZ66" s="246"/>
    </row>
    <row r="67" spans="1:52" s="129" customFormat="1" ht="12" customHeight="1">
      <c r="A67" s="142" t="str">
        <f t="shared" si="2"/>
        <v>Grays Harbor WUTCResidentialRTRNTRIP-RES</v>
      </c>
      <c r="B67" s="142">
        <f t="shared" si="30"/>
        <v>1</v>
      </c>
      <c r="C67" s="193" t="s">
        <v>264</v>
      </c>
      <c r="D67" s="193" t="s">
        <v>265</v>
      </c>
      <c r="E67" s="194">
        <v>13.65</v>
      </c>
      <c r="F67" s="194">
        <v>13.65</v>
      </c>
      <c r="G67" s="138">
        <v>13.65</v>
      </c>
      <c r="H67" s="138">
        <v>0</v>
      </c>
      <c r="I67" s="138">
        <v>27.3</v>
      </c>
      <c r="J67" s="138">
        <v>40.950000000000003</v>
      </c>
      <c r="K67" s="138">
        <v>13.65</v>
      </c>
      <c r="L67" s="138">
        <v>13.65</v>
      </c>
      <c r="M67" s="138">
        <v>27.3</v>
      </c>
      <c r="N67" s="138">
        <v>0</v>
      </c>
      <c r="O67" s="138">
        <v>0</v>
      </c>
      <c r="P67" s="138">
        <v>0</v>
      </c>
      <c r="Q67" s="138">
        <v>27.3</v>
      </c>
      <c r="R67" s="138">
        <v>13.65</v>
      </c>
      <c r="S67" s="139">
        <f t="shared" si="31"/>
        <v>177.45000000000005</v>
      </c>
      <c r="T67" s="132"/>
      <c r="U67" s="138">
        <f t="shared" si="32"/>
        <v>1</v>
      </c>
      <c r="V67" s="138">
        <f t="shared" si="32"/>
        <v>0</v>
      </c>
      <c r="W67" s="138">
        <f t="shared" si="32"/>
        <v>2</v>
      </c>
      <c r="X67" s="138">
        <f t="shared" si="32"/>
        <v>3</v>
      </c>
      <c r="Y67" s="138">
        <f t="shared" si="32"/>
        <v>1</v>
      </c>
      <c r="Z67" s="138">
        <f t="shared" si="32"/>
        <v>1</v>
      </c>
      <c r="AA67" s="138">
        <f t="shared" si="32"/>
        <v>2</v>
      </c>
      <c r="AB67" s="138">
        <f t="shared" si="32"/>
        <v>0</v>
      </c>
      <c r="AC67" s="138">
        <f t="shared" si="32"/>
        <v>0</v>
      </c>
      <c r="AD67" s="138">
        <f t="shared" si="32"/>
        <v>0</v>
      </c>
      <c r="AE67" s="138">
        <f t="shared" si="33"/>
        <v>2</v>
      </c>
      <c r="AF67" s="138">
        <f t="shared" si="33"/>
        <v>1</v>
      </c>
      <c r="AG67" s="138"/>
      <c r="AH67" s="138"/>
      <c r="AI67" s="138">
        <f t="shared" si="9"/>
        <v>13</v>
      </c>
      <c r="AJ67" s="132"/>
      <c r="AK67" s="196">
        <f t="shared" si="16"/>
        <v>0.19760912723301383</v>
      </c>
      <c r="AL67" s="198">
        <f t="shared" si="10"/>
        <v>2.5689186540291797</v>
      </c>
      <c r="AM67" s="197"/>
      <c r="AN67" s="196">
        <f t="shared" si="11"/>
        <v>13.847609127233014</v>
      </c>
      <c r="AO67" s="198">
        <f t="shared" si="12"/>
        <v>180.01891865402916</v>
      </c>
      <c r="AP67" s="199">
        <f t="shared" si="29"/>
        <v>0.17</v>
      </c>
      <c r="AQ67" s="200">
        <f t="shared" si="13"/>
        <v>2.21</v>
      </c>
      <c r="AR67" s="132"/>
      <c r="AS67" s="201">
        <f t="shared" si="14"/>
        <v>13.82</v>
      </c>
      <c r="AT67" s="202">
        <f t="shared" si="15"/>
        <v>179.66</v>
      </c>
      <c r="AU67" s="132"/>
      <c r="AV67" s="132"/>
      <c r="AW67" s="132"/>
      <c r="AX67" s="132"/>
      <c r="AY67" s="132"/>
      <c r="AZ67" s="246"/>
    </row>
    <row r="68" spans="1:52" s="129" customFormat="1" ht="12" customHeight="1">
      <c r="A68" s="142" t="str">
        <f t="shared" si="2"/>
        <v>Grays Harbor WUTCResidentialTIME-RES</v>
      </c>
      <c r="B68" s="142">
        <f t="shared" si="30"/>
        <v>1</v>
      </c>
      <c r="C68" s="193" t="s">
        <v>521</v>
      </c>
      <c r="D68" s="193" t="s">
        <v>522</v>
      </c>
      <c r="E68" s="194">
        <v>100</v>
      </c>
      <c r="F68" s="194">
        <v>100</v>
      </c>
      <c r="G68" s="138">
        <v>0</v>
      </c>
      <c r="H68" s="138">
        <v>0</v>
      </c>
      <c r="I68" s="138">
        <v>0</v>
      </c>
      <c r="J68" s="138">
        <v>0</v>
      </c>
      <c r="K68" s="138">
        <v>0</v>
      </c>
      <c r="L68" s="138">
        <v>31.25</v>
      </c>
      <c r="M68" s="138">
        <v>0</v>
      </c>
      <c r="N68" s="138">
        <v>0</v>
      </c>
      <c r="O68" s="138">
        <v>25</v>
      </c>
      <c r="P68" s="138">
        <v>0</v>
      </c>
      <c r="Q68" s="138">
        <v>25</v>
      </c>
      <c r="R68" s="138">
        <v>31.25</v>
      </c>
      <c r="S68" s="139">
        <f t="shared" ref="S68:S73" si="35">+SUM(G68:R68)</f>
        <v>112.5</v>
      </c>
      <c r="T68" s="132"/>
      <c r="U68" s="138">
        <f t="shared" si="32"/>
        <v>0</v>
      </c>
      <c r="V68" s="138">
        <f t="shared" si="32"/>
        <v>0</v>
      </c>
      <c r="W68" s="138">
        <f t="shared" si="32"/>
        <v>0</v>
      </c>
      <c r="X68" s="138">
        <f t="shared" si="32"/>
        <v>0</v>
      </c>
      <c r="Y68" s="138">
        <f t="shared" si="32"/>
        <v>0</v>
      </c>
      <c r="Z68" s="138">
        <f t="shared" si="32"/>
        <v>0.3125</v>
      </c>
      <c r="AA68" s="138">
        <f t="shared" si="32"/>
        <v>0</v>
      </c>
      <c r="AB68" s="138">
        <f t="shared" si="32"/>
        <v>0</v>
      </c>
      <c r="AC68" s="138">
        <f t="shared" si="32"/>
        <v>0.25</v>
      </c>
      <c r="AD68" s="138">
        <f t="shared" si="32"/>
        <v>0</v>
      </c>
      <c r="AE68" s="138">
        <f t="shared" si="33"/>
        <v>0.25</v>
      </c>
      <c r="AF68" s="138">
        <f t="shared" si="33"/>
        <v>0.3125</v>
      </c>
      <c r="AG68" s="138"/>
      <c r="AH68" s="138"/>
      <c r="AI68" s="138">
        <f t="shared" si="9"/>
        <v>1.125</v>
      </c>
      <c r="AJ68" s="132"/>
      <c r="AK68" s="196">
        <f t="shared" si="16"/>
        <v>1.4476859137949731</v>
      </c>
      <c r="AL68" s="198">
        <f t="shared" si="10"/>
        <v>1.6286466530193449</v>
      </c>
      <c r="AM68" s="197"/>
      <c r="AN68" s="196">
        <f t="shared" si="11"/>
        <v>101.44768591379497</v>
      </c>
      <c r="AO68" s="198">
        <f t="shared" si="12"/>
        <v>114.12864665301935</v>
      </c>
      <c r="AP68" s="199">
        <f t="shared" si="29"/>
        <v>1.25</v>
      </c>
      <c r="AQ68" s="200">
        <f t="shared" si="13"/>
        <v>1.40625</v>
      </c>
      <c r="AR68" s="132"/>
      <c r="AS68" s="201">
        <f t="shared" si="14"/>
        <v>101.25</v>
      </c>
      <c r="AT68" s="202">
        <f t="shared" si="15"/>
        <v>113.90625</v>
      </c>
      <c r="AU68" s="132"/>
      <c r="AV68" s="132"/>
      <c r="AW68" s="132"/>
      <c r="AX68" s="132"/>
      <c r="AY68" s="132"/>
      <c r="AZ68" s="246"/>
    </row>
    <row r="69" spans="1:52" s="129" customFormat="1" ht="12" customHeight="1">
      <c r="A69" s="142" t="str">
        <f t="shared" si="2"/>
        <v>Grays Harbor WUTCResidentialTIMENP-RES</v>
      </c>
      <c r="B69" s="142">
        <f t="shared" si="30"/>
        <v>1</v>
      </c>
      <c r="C69" s="193" t="s">
        <v>523</v>
      </c>
      <c r="D69" s="193" t="s">
        <v>522</v>
      </c>
      <c r="E69" s="194">
        <v>92</v>
      </c>
      <c r="F69" s="137">
        <v>92</v>
      </c>
      <c r="G69" s="138">
        <v>23</v>
      </c>
      <c r="H69" s="138">
        <v>0</v>
      </c>
      <c r="I69" s="138">
        <v>0</v>
      </c>
      <c r="J69" s="138">
        <v>0</v>
      </c>
      <c r="K69" s="138">
        <v>23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9">
        <f t="shared" ref="S69" si="36">+SUM(G69:R69)</f>
        <v>46</v>
      </c>
      <c r="T69" s="132"/>
      <c r="U69" s="138">
        <f t="shared" si="32"/>
        <v>0.25</v>
      </c>
      <c r="V69" s="138">
        <f t="shared" si="32"/>
        <v>0</v>
      </c>
      <c r="W69" s="138">
        <f t="shared" si="32"/>
        <v>0</v>
      </c>
      <c r="X69" s="138">
        <f t="shared" si="32"/>
        <v>0</v>
      </c>
      <c r="Y69" s="138">
        <f t="shared" si="32"/>
        <v>0.25</v>
      </c>
      <c r="Z69" s="138">
        <f t="shared" si="32"/>
        <v>0</v>
      </c>
      <c r="AA69" s="138">
        <f t="shared" si="32"/>
        <v>0</v>
      </c>
      <c r="AB69" s="138">
        <f t="shared" si="32"/>
        <v>0</v>
      </c>
      <c r="AC69" s="138">
        <f t="shared" si="32"/>
        <v>0</v>
      </c>
      <c r="AD69" s="138">
        <f t="shared" si="32"/>
        <v>0</v>
      </c>
      <c r="AE69" s="138">
        <f t="shared" si="33"/>
        <v>0</v>
      </c>
      <c r="AF69" s="138">
        <f t="shared" si="33"/>
        <v>0</v>
      </c>
      <c r="AG69" s="138"/>
      <c r="AH69" s="138"/>
      <c r="AI69" s="138">
        <f t="shared" si="9"/>
        <v>0.5</v>
      </c>
      <c r="AJ69" s="132"/>
      <c r="AK69" s="196">
        <f t="shared" si="16"/>
        <v>1.3318710406913752</v>
      </c>
      <c r="AL69" s="198">
        <f t="shared" si="10"/>
        <v>0.66593552034568759</v>
      </c>
      <c r="AM69" s="197"/>
      <c r="AN69" s="196">
        <f t="shared" si="11"/>
        <v>93.331871040691368</v>
      </c>
      <c r="AO69" s="198">
        <f t="shared" si="12"/>
        <v>46.665935520345684</v>
      </c>
      <c r="AP69" s="199">
        <f t="shared" si="29"/>
        <v>1.1499999999999999</v>
      </c>
      <c r="AQ69" s="200">
        <f t="shared" si="13"/>
        <v>0.57499999999999996</v>
      </c>
      <c r="AR69" s="132"/>
      <c r="AS69" s="201">
        <f t="shared" si="14"/>
        <v>93.15</v>
      </c>
      <c r="AT69" s="202">
        <f t="shared" si="15"/>
        <v>46.575000000000003</v>
      </c>
      <c r="AU69" s="132"/>
      <c r="AV69" s="132"/>
      <c r="AW69" s="132"/>
      <c r="AX69" s="132"/>
      <c r="AY69" s="132"/>
      <c r="AZ69" s="246"/>
    </row>
    <row r="70" spans="1:52" s="129" customFormat="1" ht="12.75" customHeight="1">
      <c r="A70" s="142" t="str">
        <f t="shared" si="2"/>
        <v>Grays Harbor WUTCResidentialWI2-RES</v>
      </c>
      <c r="B70" s="142">
        <f t="shared" si="30"/>
        <v>1</v>
      </c>
      <c r="C70" s="193" t="s">
        <v>273</v>
      </c>
      <c r="D70" s="193" t="s">
        <v>274</v>
      </c>
      <c r="E70" s="194">
        <v>4.08</v>
      </c>
      <c r="F70" s="137">
        <v>4.08</v>
      </c>
      <c r="G70" s="138">
        <v>28.56</v>
      </c>
      <c r="H70" s="138">
        <v>28.56</v>
      </c>
      <c r="I70" s="138">
        <v>28.56</v>
      </c>
      <c r="J70" s="138">
        <v>28.56</v>
      </c>
      <c r="K70" s="138">
        <v>36.72</v>
      </c>
      <c r="L70" s="138">
        <v>36.72</v>
      </c>
      <c r="M70" s="138">
        <v>36.72</v>
      </c>
      <c r="N70" s="138">
        <v>35.905000000000001</v>
      </c>
      <c r="O70" s="138">
        <v>31.824999999999999</v>
      </c>
      <c r="P70" s="138">
        <v>32.64</v>
      </c>
      <c r="Q70" s="138">
        <v>32.64</v>
      </c>
      <c r="R70" s="138">
        <v>32.64</v>
      </c>
      <c r="S70" s="139">
        <f t="shared" si="35"/>
        <v>390.0499999999999</v>
      </c>
      <c r="T70" s="132"/>
      <c r="U70" s="138">
        <f t="shared" si="32"/>
        <v>7</v>
      </c>
      <c r="V70" s="138">
        <f t="shared" si="32"/>
        <v>7</v>
      </c>
      <c r="W70" s="138">
        <f t="shared" si="32"/>
        <v>7</v>
      </c>
      <c r="X70" s="138">
        <f t="shared" si="32"/>
        <v>7</v>
      </c>
      <c r="Y70" s="138">
        <f t="shared" si="32"/>
        <v>9</v>
      </c>
      <c r="Z70" s="138">
        <f t="shared" si="32"/>
        <v>9</v>
      </c>
      <c r="AA70" s="138">
        <f t="shared" si="32"/>
        <v>9</v>
      </c>
      <c r="AB70" s="138">
        <f t="shared" si="32"/>
        <v>8.8002450980392162</v>
      </c>
      <c r="AC70" s="138">
        <f t="shared" si="32"/>
        <v>7.8002450980392153</v>
      </c>
      <c r="AD70" s="138">
        <f t="shared" si="32"/>
        <v>8</v>
      </c>
      <c r="AE70" s="138">
        <f t="shared" si="33"/>
        <v>8</v>
      </c>
      <c r="AF70" s="138">
        <f t="shared" si="33"/>
        <v>8</v>
      </c>
      <c r="AG70" s="138"/>
      <c r="AH70" s="138"/>
      <c r="AI70" s="138">
        <f t="shared" si="9"/>
        <v>95.600490196078425</v>
      </c>
      <c r="AJ70" s="132"/>
      <c r="AK70" s="196">
        <f t="shared" si="16"/>
        <v>5.9065585282834905E-2</v>
      </c>
      <c r="AL70" s="198">
        <f t="shared" si="10"/>
        <v>5.6466989067572921</v>
      </c>
      <c r="AM70" s="197"/>
      <c r="AN70" s="196">
        <f t="shared" si="11"/>
        <v>4.1390655852828351</v>
      </c>
      <c r="AO70" s="198">
        <f t="shared" si="12"/>
        <v>395.69669890675726</v>
      </c>
      <c r="AP70" s="199">
        <f t="shared" si="29"/>
        <v>0.05</v>
      </c>
      <c r="AQ70" s="200">
        <f t="shared" si="13"/>
        <v>4.7800245098039218</v>
      </c>
      <c r="AR70" s="132"/>
      <c r="AS70" s="201">
        <f t="shared" si="14"/>
        <v>4.13</v>
      </c>
      <c r="AT70" s="202">
        <f t="shared" si="15"/>
        <v>394.83002450980388</v>
      </c>
      <c r="AU70" s="132"/>
      <c r="AV70" s="132"/>
      <c r="AW70" s="132"/>
      <c r="AX70" s="132"/>
      <c r="AY70" s="132"/>
      <c r="AZ70" s="246"/>
    </row>
    <row r="71" spans="1:52" s="129" customFormat="1" ht="12.75" customHeight="1">
      <c r="A71" s="142" t="str">
        <f t="shared" si="2"/>
        <v>Grays Harbor WUTCResidentialWI3-RES</v>
      </c>
      <c r="B71" s="142">
        <f t="shared" si="30"/>
        <v>1</v>
      </c>
      <c r="C71" s="193" t="s">
        <v>275</v>
      </c>
      <c r="D71" s="193" t="s">
        <v>276</v>
      </c>
      <c r="E71" s="194">
        <v>5.66</v>
      </c>
      <c r="F71" s="137">
        <v>5.66</v>
      </c>
      <c r="G71" s="138">
        <v>16.98</v>
      </c>
      <c r="H71" s="138">
        <v>22.64</v>
      </c>
      <c r="I71" s="138">
        <v>16.98</v>
      </c>
      <c r="J71" s="138">
        <v>16.98</v>
      </c>
      <c r="K71" s="138">
        <v>16.98</v>
      </c>
      <c r="L71" s="138">
        <v>16.98</v>
      </c>
      <c r="M71" s="138">
        <v>16.98</v>
      </c>
      <c r="N71" s="138">
        <v>16.98</v>
      </c>
      <c r="O71" s="138">
        <v>16.98</v>
      </c>
      <c r="P71" s="138">
        <v>16.98</v>
      </c>
      <c r="Q71" s="138">
        <v>16.98</v>
      </c>
      <c r="R71" s="138">
        <v>16.98</v>
      </c>
      <c r="S71" s="139">
        <f t="shared" si="35"/>
        <v>209.42</v>
      </c>
      <c r="T71" s="132"/>
      <c r="U71" s="138">
        <f t="shared" si="32"/>
        <v>3</v>
      </c>
      <c r="V71" s="138">
        <f t="shared" si="32"/>
        <v>4</v>
      </c>
      <c r="W71" s="138">
        <f t="shared" si="32"/>
        <v>3</v>
      </c>
      <c r="X71" s="138">
        <f t="shared" si="32"/>
        <v>3</v>
      </c>
      <c r="Y71" s="138">
        <f t="shared" si="32"/>
        <v>3</v>
      </c>
      <c r="Z71" s="138">
        <f t="shared" si="32"/>
        <v>3</v>
      </c>
      <c r="AA71" s="138">
        <f t="shared" si="32"/>
        <v>3</v>
      </c>
      <c r="AB71" s="138">
        <f t="shared" si="32"/>
        <v>3</v>
      </c>
      <c r="AC71" s="138">
        <f t="shared" si="32"/>
        <v>3</v>
      </c>
      <c r="AD71" s="138">
        <f t="shared" si="32"/>
        <v>3</v>
      </c>
      <c r="AE71" s="138">
        <f t="shared" si="33"/>
        <v>3</v>
      </c>
      <c r="AF71" s="138">
        <f t="shared" si="33"/>
        <v>3</v>
      </c>
      <c r="AG71" s="138"/>
      <c r="AH71" s="138"/>
      <c r="AI71" s="138">
        <f t="shared" si="9"/>
        <v>37</v>
      </c>
      <c r="AJ71" s="132"/>
      <c r="AK71" s="196">
        <f t="shared" si="16"/>
        <v>8.1939022720795479E-2</v>
      </c>
      <c r="AL71" s="198">
        <f t="shared" si="10"/>
        <v>3.0317438406694328</v>
      </c>
      <c r="AM71" s="197"/>
      <c r="AN71" s="196">
        <f t="shared" si="11"/>
        <v>5.7419390227207954</v>
      </c>
      <c r="AO71" s="198">
        <f t="shared" si="12"/>
        <v>212.45174384066942</v>
      </c>
      <c r="AP71" s="199">
        <f t="shared" si="29"/>
        <v>7.0000000000000007E-2</v>
      </c>
      <c r="AQ71" s="200">
        <f t="shared" si="13"/>
        <v>2.5900000000000003</v>
      </c>
      <c r="AR71" s="132"/>
      <c r="AS71" s="201">
        <f t="shared" si="14"/>
        <v>5.73</v>
      </c>
      <c r="AT71" s="202">
        <f t="shared" si="15"/>
        <v>212.01000000000002</v>
      </c>
      <c r="AU71" s="132"/>
      <c r="AV71" s="132"/>
      <c r="AW71" s="132"/>
      <c r="AX71" s="132"/>
      <c r="AY71" s="132"/>
      <c r="AZ71" s="246"/>
    </row>
    <row r="72" spans="1:52" s="129" customFormat="1" ht="12.75" customHeight="1">
      <c r="A72" s="142" t="str">
        <f t="shared" si="2"/>
        <v>Grays Harbor WUTCResidentialWI4-RES</v>
      </c>
      <c r="B72" s="142">
        <f t="shared" si="30"/>
        <v>1</v>
      </c>
      <c r="C72" s="193" t="s">
        <v>279</v>
      </c>
      <c r="D72" s="193" t="s">
        <v>280</v>
      </c>
      <c r="E72" s="194">
        <v>7.24</v>
      </c>
      <c r="F72" s="137">
        <v>7.24</v>
      </c>
      <c r="G72" s="138">
        <v>7.24</v>
      </c>
      <c r="H72" s="138">
        <v>7.24</v>
      </c>
      <c r="I72" s="138">
        <v>7.24</v>
      </c>
      <c r="J72" s="138">
        <v>21.72</v>
      </c>
      <c r="K72" s="138">
        <v>21.72</v>
      </c>
      <c r="L72" s="138">
        <v>21.72</v>
      </c>
      <c r="M72" s="138">
        <v>21.72</v>
      </c>
      <c r="N72" s="138">
        <v>21.72</v>
      </c>
      <c r="O72" s="138">
        <v>21.72</v>
      </c>
      <c r="P72" s="138">
        <v>21.72</v>
      </c>
      <c r="Q72" s="138">
        <v>21.72</v>
      </c>
      <c r="R72" s="138">
        <v>21.72</v>
      </c>
      <c r="S72" s="139">
        <f t="shared" si="35"/>
        <v>217.2</v>
      </c>
      <c r="T72" s="132"/>
      <c r="U72" s="138">
        <f t="shared" si="32"/>
        <v>1</v>
      </c>
      <c r="V72" s="138">
        <f t="shared" si="32"/>
        <v>1</v>
      </c>
      <c r="W72" s="138">
        <f t="shared" si="32"/>
        <v>1</v>
      </c>
      <c r="X72" s="138">
        <f t="shared" si="32"/>
        <v>2.9999999999999996</v>
      </c>
      <c r="Y72" s="138">
        <f t="shared" si="32"/>
        <v>2.9999999999999996</v>
      </c>
      <c r="Z72" s="138">
        <f t="shared" si="32"/>
        <v>2.9999999999999996</v>
      </c>
      <c r="AA72" s="138">
        <f t="shared" si="32"/>
        <v>2.9999999999999996</v>
      </c>
      <c r="AB72" s="138">
        <f t="shared" si="32"/>
        <v>2.9999999999999996</v>
      </c>
      <c r="AC72" s="138">
        <f t="shared" si="32"/>
        <v>2.9999999999999996</v>
      </c>
      <c r="AD72" s="138">
        <f t="shared" si="32"/>
        <v>2.9999999999999996</v>
      </c>
      <c r="AE72" s="138">
        <f t="shared" si="33"/>
        <v>2.9999999999999996</v>
      </c>
      <c r="AF72" s="138">
        <f t="shared" si="33"/>
        <v>2.9999999999999996</v>
      </c>
      <c r="AG72" s="138"/>
      <c r="AH72" s="138"/>
      <c r="AI72" s="138">
        <f t="shared" si="9"/>
        <v>30</v>
      </c>
      <c r="AJ72" s="132"/>
      <c r="AK72" s="196">
        <f t="shared" si="16"/>
        <v>0.10481246015875606</v>
      </c>
      <c r="AL72" s="198">
        <f t="shared" si="10"/>
        <v>3.1443738047626817</v>
      </c>
      <c r="AM72" s="197"/>
      <c r="AN72" s="196">
        <f t="shared" si="11"/>
        <v>7.3448124601587566</v>
      </c>
      <c r="AO72" s="198">
        <f t="shared" si="12"/>
        <v>220.34437380476271</v>
      </c>
      <c r="AP72" s="199">
        <f t="shared" si="29"/>
        <v>0.09</v>
      </c>
      <c r="AQ72" s="200">
        <f t="shared" si="13"/>
        <v>2.6999999999999997</v>
      </c>
      <c r="AR72" s="132"/>
      <c r="AS72" s="201">
        <f t="shared" si="14"/>
        <v>7.33</v>
      </c>
      <c r="AT72" s="202">
        <f t="shared" si="15"/>
        <v>219.9</v>
      </c>
      <c r="AU72" s="132"/>
      <c r="AV72" s="132"/>
      <c r="AW72" s="132"/>
      <c r="AX72" s="132"/>
      <c r="AY72" s="132"/>
      <c r="AZ72" s="246"/>
    </row>
    <row r="73" spans="1:52" s="129" customFormat="1" ht="12" customHeight="1">
      <c r="A73" s="142" t="str">
        <f t="shared" si="2"/>
        <v>Grays Harbor WUTCResidentialWI5-RES</v>
      </c>
      <c r="B73" s="142">
        <f t="shared" si="30"/>
        <v>1</v>
      </c>
      <c r="C73" s="193" t="s">
        <v>271</v>
      </c>
      <c r="D73" s="193" t="s">
        <v>272</v>
      </c>
      <c r="E73" s="194">
        <v>8.82</v>
      </c>
      <c r="F73" s="137">
        <v>8.82</v>
      </c>
      <c r="G73" s="138">
        <v>17.64</v>
      </c>
      <c r="H73" s="138">
        <v>17.64</v>
      </c>
      <c r="I73" s="138">
        <v>17.64</v>
      </c>
      <c r="J73" s="138">
        <v>17.64</v>
      </c>
      <c r="K73" s="138">
        <v>17.64</v>
      </c>
      <c r="L73" s="138">
        <v>17.64</v>
      </c>
      <c r="M73" s="138">
        <v>17.64</v>
      </c>
      <c r="N73" s="138">
        <v>17.64</v>
      </c>
      <c r="O73" s="138">
        <v>17.64</v>
      </c>
      <c r="P73" s="138">
        <v>17.64</v>
      </c>
      <c r="Q73" s="138">
        <v>17.64</v>
      </c>
      <c r="R73" s="138">
        <v>17.64</v>
      </c>
      <c r="S73" s="139">
        <f t="shared" si="35"/>
        <v>211.67999999999995</v>
      </c>
      <c r="T73" s="132"/>
      <c r="U73" s="138">
        <f t="shared" si="32"/>
        <v>2</v>
      </c>
      <c r="V73" s="138">
        <f t="shared" si="32"/>
        <v>2</v>
      </c>
      <c r="W73" s="138">
        <f t="shared" si="32"/>
        <v>2</v>
      </c>
      <c r="X73" s="138">
        <f t="shared" si="32"/>
        <v>2</v>
      </c>
      <c r="Y73" s="138">
        <f t="shared" si="32"/>
        <v>2</v>
      </c>
      <c r="Z73" s="138">
        <f t="shared" si="32"/>
        <v>2</v>
      </c>
      <c r="AA73" s="138">
        <f t="shared" si="32"/>
        <v>2</v>
      </c>
      <c r="AB73" s="138">
        <f t="shared" si="32"/>
        <v>2</v>
      </c>
      <c r="AC73" s="138">
        <f t="shared" si="32"/>
        <v>2</v>
      </c>
      <c r="AD73" s="138">
        <f t="shared" si="32"/>
        <v>2</v>
      </c>
      <c r="AE73" s="138">
        <f t="shared" si="33"/>
        <v>2</v>
      </c>
      <c r="AF73" s="138">
        <f t="shared" si="33"/>
        <v>2</v>
      </c>
      <c r="AG73" s="138"/>
      <c r="AH73" s="138"/>
      <c r="AI73" s="138">
        <f t="shared" si="9"/>
        <v>24</v>
      </c>
      <c r="AJ73" s="132"/>
      <c r="AK73" s="196">
        <f t="shared" si="16"/>
        <v>0.12768589759671664</v>
      </c>
      <c r="AL73" s="198">
        <f t="shared" si="10"/>
        <v>3.0644615423211992</v>
      </c>
      <c r="AM73" s="197"/>
      <c r="AN73" s="196">
        <f t="shared" si="11"/>
        <v>8.9476858975967168</v>
      </c>
      <c r="AO73" s="198">
        <f t="shared" si="12"/>
        <v>214.7444615423212</v>
      </c>
      <c r="AP73" s="199">
        <f t="shared" si="29"/>
        <v>0.11</v>
      </c>
      <c r="AQ73" s="200">
        <f t="shared" si="13"/>
        <v>2.64</v>
      </c>
      <c r="AR73" s="132"/>
      <c r="AS73" s="201">
        <f t="shared" si="14"/>
        <v>8.93</v>
      </c>
      <c r="AT73" s="202">
        <f t="shared" si="15"/>
        <v>214.32</v>
      </c>
      <c r="AU73" s="132"/>
      <c r="AV73" s="132"/>
      <c r="AW73" s="132"/>
      <c r="AX73" s="132"/>
      <c r="AY73" s="132"/>
      <c r="AZ73" s="246"/>
    </row>
    <row r="74" spans="1:52" s="129" customFormat="1" ht="12" customHeight="1">
      <c r="A74" s="142" t="str">
        <f t="shared" si="2"/>
        <v>Grays Harbor WUTCResidentialWI-RES</v>
      </c>
      <c r="B74" s="142">
        <f t="shared" si="30"/>
        <v>1</v>
      </c>
      <c r="C74" s="193" t="s">
        <v>277</v>
      </c>
      <c r="D74" s="193" t="s">
        <v>278</v>
      </c>
      <c r="E74" s="194">
        <v>2.5</v>
      </c>
      <c r="F74" s="137">
        <v>2.5</v>
      </c>
      <c r="G74" s="138">
        <v>92.5</v>
      </c>
      <c r="H74" s="138">
        <v>107.5</v>
      </c>
      <c r="I74" s="138">
        <v>105</v>
      </c>
      <c r="J74" s="138">
        <v>102.5</v>
      </c>
      <c r="K74" s="138">
        <v>102.815</v>
      </c>
      <c r="L74" s="138">
        <v>110.315</v>
      </c>
      <c r="M74" s="138">
        <v>97.5</v>
      </c>
      <c r="N74" s="138">
        <v>98.61</v>
      </c>
      <c r="O74" s="138">
        <v>101.11</v>
      </c>
      <c r="P74" s="138">
        <v>100</v>
      </c>
      <c r="Q74" s="138">
        <v>107.5</v>
      </c>
      <c r="R74" s="138">
        <v>107.5</v>
      </c>
      <c r="S74" s="139">
        <f>+SUM(G74:R74)</f>
        <v>1232.8499999999999</v>
      </c>
      <c r="T74" s="132"/>
      <c r="U74" s="138">
        <f t="shared" si="32"/>
        <v>37</v>
      </c>
      <c r="V74" s="138">
        <f t="shared" si="32"/>
        <v>43</v>
      </c>
      <c r="W74" s="138">
        <f t="shared" si="32"/>
        <v>42</v>
      </c>
      <c r="X74" s="138">
        <f t="shared" si="32"/>
        <v>41</v>
      </c>
      <c r="Y74" s="138">
        <f t="shared" si="32"/>
        <v>41.125999999999998</v>
      </c>
      <c r="Z74" s="138">
        <f t="shared" si="32"/>
        <v>44.125999999999998</v>
      </c>
      <c r="AA74" s="138">
        <f t="shared" si="32"/>
        <v>39</v>
      </c>
      <c r="AB74" s="138">
        <f t="shared" si="32"/>
        <v>39.444000000000003</v>
      </c>
      <c r="AC74" s="138">
        <f t="shared" si="32"/>
        <v>40.444000000000003</v>
      </c>
      <c r="AD74" s="138">
        <f t="shared" si="32"/>
        <v>40</v>
      </c>
      <c r="AE74" s="138">
        <f t="shared" si="33"/>
        <v>43</v>
      </c>
      <c r="AF74" s="138">
        <f t="shared" si="33"/>
        <v>43</v>
      </c>
      <c r="AG74" s="138"/>
      <c r="AH74" s="138"/>
      <c r="AI74" s="138">
        <f t="shared" si="9"/>
        <v>493.14000000000004</v>
      </c>
      <c r="AJ74" s="132"/>
      <c r="AK74" s="196">
        <f t="shared" si="16"/>
        <v>3.6192147844874331E-2</v>
      </c>
      <c r="AL74" s="198">
        <f t="shared" si="10"/>
        <v>17.84779578822133</v>
      </c>
      <c r="AM74" s="197"/>
      <c r="AN74" s="196">
        <f t="shared" si="11"/>
        <v>2.5361921478448743</v>
      </c>
      <c r="AO74" s="198">
        <f t="shared" si="12"/>
        <v>1250.6977957882214</v>
      </c>
      <c r="AP74" s="199">
        <f t="shared" si="29"/>
        <v>0.03</v>
      </c>
      <c r="AQ74" s="200">
        <f t="shared" si="13"/>
        <v>14.7942</v>
      </c>
      <c r="AR74" s="132"/>
      <c r="AS74" s="201">
        <f t="shared" si="14"/>
        <v>2.5299999999999998</v>
      </c>
      <c r="AT74" s="202">
        <f t="shared" si="15"/>
        <v>1247.6442</v>
      </c>
      <c r="AU74" s="132"/>
      <c r="AV74" s="132"/>
      <c r="AW74" s="132"/>
      <c r="AX74" s="132"/>
      <c r="AY74" s="132"/>
      <c r="AZ74" s="246"/>
    </row>
    <row r="75" spans="1:52" s="129" customFormat="1" ht="12" customHeight="1">
      <c r="B75" s="142"/>
      <c r="C75" s="213"/>
      <c r="D75" s="213"/>
      <c r="E75" s="137"/>
      <c r="F75" s="137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9"/>
      <c r="T75" s="132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2"/>
      <c r="AK75" s="132"/>
      <c r="AL75" s="132"/>
      <c r="AM75" s="132"/>
      <c r="AN75" s="132"/>
      <c r="AO75" s="132"/>
      <c r="AP75" s="183"/>
      <c r="AQ75" s="132"/>
      <c r="AR75" s="132"/>
      <c r="AS75" s="132"/>
      <c r="AT75" s="214"/>
      <c r="AU75" s="132"/>
      <c r="AV75" s="132"/>
      <c r="AW75" s="132"/>
      <c r="AX75" s="132"/>
      <c r="AY75" s="132"/>
      <c r="AZ75" s="245"/>
    </row>
    <row r="76" spans="1:52" s="129" customFormat="1" ht="12" customHeight="1">
      <c r="B76" s="142">
        <f>COUNTIF(C:C,C76)</f>
        <v>0</v>
      </c>
      <c r="C76" s="215"/>
      <c r="D76" s="216" t="s">
        <v>281</v>
      </c>
      <c r="E76" s="137"/>
      <c r="F76" s="137"/>
      <c r="G76" s="217">
        <f t="shared" ref="G76:S76" si="37">SUM(G12:G75)</f>
        <v>116987.515</v>
      </c>
      <c r="H76" s="217">
        <f t="shared" si="37"/>
        <v>117187.04500000003</v>
      </c>
      <c r="I76" s="217">
        <f t="shared" si="37"/>
        <v>118270.36000000003</v>
      </c>
      <c r="J76" s="217">
        <f t="shared" si="37"/>
        <v>119298.68499999998</v>
      </c>
      <c r="K76" s="217">
        <f t="shared" si="37"/>
        <v>120966.11000000002</v>
      </c>
      <c r="L76" s="217">
        <f t="shared" si="37"/>
        <v>121265.00500000003</v>
      </c>
      <c r="M76" s="217">
        <f t="shared" si="37"/>
        <v>121358.69500000002</v>
      </c>
      <c r="N76" s="217">
        <f t="shared" si="37"/>
        <v>121753.57999999999</v>
      </c>
      <c r="O76" s="217">
        <f t="shared" si="37"/>
        <v>121085.04499999998</v>
      </c>
      <c r="P76" s="217">
        <f t="shared" si="37"/>
        <v>121101.83499999996</v>
      </c>
      <c r="Q76" s="217">
        <f t="shared" si="37"/>
        <v>122377.94500000004</v>
      </c>
      <c r="R76" s="217">
        <f t="shared" si="37"/>
        <v>122496.61499999999</v>
      </c>
      <c r="S76" s="217">
        <f t="shared" si="37"/>
        <v>1444148.4349999994</v>
      </c>
      <c r="T76" s="132"/>
      <c r="U76" s="218">
        <f t="shared" ref="U76:AG76" si="38">SUM(U12:U75)</f>
        <v>6710.4969546117509</v>
      </c>
      <c r="V76" s="218">
        <f t="shared" si="38"/>
        <v>6685.1742681439191</v>
      </c>
      <c r="W76" s="218">
        <f t="shared" si="38"/>
        <v>6832.8683296662366</v>
      </c>
      <c r="X76" s="218">
        <f t="shared" si="38"/>
        <v>6875.7647856279227</v>
      </c>
      <c r="Y76" s="218">
        <f t="shared" si="38"/>
        <v>7034.1123807811209</v>
      </c>
      <c r="Z76" s="218">
        <f t="shared" si="38"/>
        <v>7032.5069475608389</v>
      </c>
      <c r="AA76" s="218">
        <f t="shared" si="38"/>
        <v>6945.1719758430963</v>
      </c>
      <c r="AB76" s="218">
        <f t="shared" si="38"/>
        <v>6966.4143688039294</v>
      </c>
      <c r="AC76" s="218">
        <f t="shared" si="38"/>
        <v>6866.790711672058</v>
      </c>
      <c r="AD76" s="218">
        <f t="shared" si="38"/>
        <v>6872.5964463723712</v>
      </c>
      <c r="AE76" s="218">
        <f t="shared" si="38"/>
        <v>6890.6164525654322</v>
      </c>
      <c r="AF76" s="218">
        <f t="shared" si="38"/>
        <v>6800.056713712569</v>
      </c>
      <c r="AG76" s="218">
        <f t="shared" si="38"/>
        <v>6372.2287163792589</v>
      </c>
      <c r="AH76" s="218"/>
      <c r="AI76" s="218">
        <f>SUM(AI12:AI75)</f>
        <v>163102.1580486648</v>
      </c>
      <c r="AJ76" s="132"/>
      <c r="AK76" s="132"/>
      <c r="AL76" s="218">
        <f>SUM(AL12:AL75)</f>
        <v>20869.630232133313</v>
      </c>
      <c r="AM76" s="132"/>
      <c r="AN76" s="132"/>
      <c r="AO76" s="218">
        <f>SUM(AO12:AO75)</f>
        <v>1481916.0240280351</v>
      </c>
      <c r="AP76" s="219"/>
      <c r="AQ76" s="220">
        <f>SUM(AQ12:AQ74)</f>
        <v>18166.619888229146</v>
      </c>
      <c r="AR76" s="132"/>
      <c r="AS76" s="221"/>
      <c r="AT76" s="222">
        <f>SUM(AT12:AT74)</f>
        <v>1479213.013684131</v>
      </c>
      <c r="AU76" s="132"/>
      <c r="AV76" s="132"/>
      <c r="AW76" s="132"/>
      <c r="AX76" s="132"/>
      <c r="AY76" s="132"/>
      <c r="AZ76" s="245"/>
    </row>
    <row r="77" spans="1:52" s="129" customFormat="1" ht="12" customHeight="1">
      <c r="B77" s="142">
        <f>COUNTIF(C:C,C77)</f>
        <v>0</v>
      </c>
      <c r="C77" s="143"/>
      <c r="D77" s="223"/>
      <c r="E77" s="137"/>
      <c r="F77" s="137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9"/>
      <c r="T77" s="132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2"/>
      <c r="AK77" s="132"/>
      <c r="AL77" s="132"/>
      <c r="AM77" s="132"/>
      <c r="AN77" s="132"/>
      <c r="AO77" s="132"/>
      <c r="AP77" s="183"/>
      <c r="AQ77" s="132"/>
      <c r="AR77" s="132"/>
      <c r="AS77" s="132"/>
      <c r="AT77" s="214"/>
      <c r="AU77" s="132"/>
      <c r="AV77" s="132"/>
      <c r="AW77" s="132"/>
      <c r="AX77" s="132"/>
      <c r="AY77" s="132"/>
      <c r="AZ77" s="245"/>
    </row>
    <row r="78" spans="1:52" s="129" customFormat="1" ht="12" customHeight="1">
      <c r="A78" s="135"/>
      <c r="B78" s="135">
        <f>COUNTIF(C:C,C78)</f>
        <v>1</v>
      </c>
      <c r="C78" s="136" t="s">
        <v>524</v>
      </c>
      <c r="D78" s="136"/>
      <c r="E78" s="137"/>
      <c r="F78" s="137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9"/>
      <c r="T78" s="132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2"/>
      <c r="AK78" s="132"/>
      <c r="AL78" s="132"/>
      <c r="AM78" s="132"/>
      <c r="AN78" s="132"/>
      <c r="AO78" s="132"/>
      <c r="AP78" s="183"/>
      <c r="AQ78" s="132"/>
      <c r="AR78" s="132"/>
      <c r="AS78" s="132"/>
      <c r="AT78" s="214"/>
      <c r="AU78" s="132"/>
      <c r="AV78" s="132"/>
      <c r="AW78" s="132"/>
      <c r="AX78" s="132"/>
      <c r="AY78" s="132"/>
      <c r="AZ78" s="245"/>
    </row>
    <row r="79" spans="1:52" s="129" customFormat="1" ht="12" customHeight="1">
      <c r="A79" s="142" t="str">
        <f>$A$1&amp;"Residential"&amp;C79</f>
        <v>Grays Harbor WUTCResidentialRECBINONLYR</v>
      </c>
      <c r="B79" s="142">
        <f>COUNTIF(C:C,C79)</f>
        <v>1</v>
      </c>
      <c r="C79" s="209" t="s">
        <v>525</v>
      </c>
      <c r="D79" s="209" t="s">
        <v>526</v>
      </c>
      <c r="E79" s="137">
        <v>1</v>
      </c>
      <c r="F79" s="137">
        <v>0.99999999999999911</v>
      </c>
      <c r="G79" s="138">
        <v>64</v>
      </c>
      <c r="H79" s="138">
        <v>64.75</v>
      </c>
      <c r="I79" s="138">
        <v>63.45</v>
      </c>
      <c r="J79" s="138">
        <v>61.2</v>
      </c>
      <c r="K79" s="138">
        <v>60</v>
      </c>
      <c r="L79" s="138">
        <v>62.5</v>
      </c>
      <c r="M79" s="138">
        <v>64.5</v>
      </c>
      <c r="N79" s="138">
        <v>63.5</v>
      </c>
      <c r="O79" s="138">
        <v>65.47</v>
      </c>
      <c r="P79" s="138">
        <v>64.8</v>
      </c>
      <c r="Q79" s="138">
        <v>65.5</v>
      </c>
      <c r="R79" s="138">
        <v>66</v>
      </c>
      <c r="S79" s="139">
        <f t="shared" ref="S79:S80" si="39">+SUM(G79:R79)</f>
        <v>765.67</v>
      </c>
      <c r="T79" s="132"/>
      <c r="U79" s="138">
        <f t="shared" ref="U79:AD162" si="40">IFERROR(G79/$E79,0)</f>
        <v>64</v>
      </c>
      <c r="V79" s="138">
        <f t="shared" si="40"/>
        <v>64.75</v>
      </c>
      <c r="W79" s="138">
        <f t="shared" si="40"/>
        <v>63.45</v>
      </c>
      <c r="X79" s="138">
        <f t="shared" si="40"/>
        <v>61.2</v>
      </c>
      <c r="Y79" s="138">
        <f t="shared" si="40"/>
        <v>60</v>
      </c>
      <c r="Z79" s="138">
        <f t="shared" si="40"/>
        <v>62.5</v>
      </c>
      <c r="AA79" s="138">
        <f t="shared" si="40"/>
        <v>64.5</v>
      </c>
      <c r="AB79" s="138">
        <f t="shared" si="40"/>
        <v>63.5</v>
      </c>
      <c r="AC79" s="138">
        <f t="shared" si="40"/>
        <v>65.47</v>
      </c>
      <c r="AD79" s="138">
        <f t="shared" si="40"/>
        <v>64.8</v>
      </c>
      <c r="AE79" s="138">
        <f t="shared" ref="AE79:AF176" si="41">IFERROR(Q79/$F79,0)</f>
        <v>65.500000000000057</v>
      </c>
      <c r="AF79" s="138">
        <f t="shared" si="41"/>
        <v>66.000000000000057</v>
      </c>
      <c r="AG79" s="195">
        <f t="shared" ref="AG79:AG80" si="42">AVERAGE(U79:AF79)</f>
        <v>63.805833333333339</v>
      </c>
      <c r="AH79" s="195"/>
      <c r="AI79" s="138">
        <f t="shared" ref="AI79:AI80" si="43">+SUM(U79:AF79)</f>
        <v>765.67000000000007</v>
      </c>
      <c r="AJ79" s="132"/>
      <c r="AK79" s="196">
        <f>F79*$AM$3</f>
        <v>0.12770112011594567</v>
      </c>
      <c r="AL79" s="198">
        <f t="shared" ref="AL79:AL80" si="44">AK79*AI79</f>
        <v>97.776916639176136</v>
      </c>
      <c r="AM79" s="197"/>
      <c r="AN79" s="196">
        <f t="shared" ref="AN79:AN80" si="45">F79+AK79</f>
        <v>1.1277011201159448</v>
      </c>
      <c r="AO79" s="198">
        <f t="shared" ref="AO79:AO80" si="46">AI79*AN79</f>
        <v>863.44691663917558</v>
      </c>
      <c r="AP79" s="199">
        <f>ROUND(F79*$AS$4,2)</f>
        <v>0.14000000000000001</v>
      </c>
      <c r="AQ79" s="200">
        <f t="shared" ref="AQ79:AQ80" si="47">AP79*AI79</f>
        <v>107.19380000000002</v>
      </c>
      <c r="AR79" s="132"/>
      <c r="AS79" s="201">
        <f t="shared" ref="AS79:AS80" si="48">AP79+F79</f>
        <v>1.1399999999999992</v>
      </c>
      <c r="AT79" s="202">
        <f t="shared" ref="AT79:AT80" si="49">AS79*AI79</f>
        <v>872.86379999999951</v>
      </c>
      <c r="AU79" s="132"/>
      <c r="AV79" s="132"/>
      <c r="AW79" s="132"/>
      <c r="AX79" s="132"/>
      <c r="AY79" s="132"/>
      <c r="AZ79" s="245"/>
    </row>
    <row r="80" spans="1:52" s="129" customFormat="1" ht="12" customHeight="1">
      <c r="A80" s="142" t="str">
        <f>$A$1&amp;"Residential"&amp;C80</f>
        <v>Grays Harbor WUTCResidentialRECPROGADJ-RES</v>
      </c>
      <c r="B80" s="142">
        <f>COUNTIF(C:C,C80)</f>
        <v>1</v>
      </c>
      <c r="C80" s="209" t="s">
        <v>527</v>
      </c>
      <c r="D80" s="209" t="s">
        <v>528</v>
      </c>
      <c r="E80" s="137">
        <v>7.87</v>
      </c>
      <c r="F80" s="137">
        <v>7.87</v>
      </c>
      <c r="G80" s="138">
        <v>49510.625</v>
      </c>
      <c r="H80" s="138">
        <v>49841.780000000006</v>
      </c>
      <c r="I80" s="138">
        <v>50052.285000000003</v>
      </c>
      <c r="J80" s="138">
        <v>50421</v>
      </c>
      <c r="K80" s="138">
        <v>50634.514999999999</v>
      </c>
      <c r="L80" s="138">
        <v>50933.340000000004</v>
      </c>
      <c r="M80" s="138">
        <v>50960.324999999997</v>
      </c>
      <c r="N80" s="138">
        <v>51110.39</v>
      </c>
      <c r="O80" s="138">
        <v>50915.79</v>
      </c>
      <c r="P80" s="138">
        <v>50899.035000000003</v>
      </c>
      <c r="Q80" s="138">
        <v>50676.025000000009</v>
      </c>
      <c r="R80" s="138">
        <v>50706.899999999994</v>
      </c>
      <c r="S80" s="139">
        <f t="shared" si="39"/>
        <v>606662.01000000013</v>
      </c>
      <c r="T80" s="132"/>
      <c r="U80" s="138">
        <f t="shared" si="40"/>
        <v>6291.0578144853871</v>
      </c>
      <c r="V80" s="138">
        <f t="shared" si="40"/>
        <v>6333.1359593392635</v>
      </c>
      <c r="W80" s="138">
        <f t="shared" si="40"/>
        <v>6359.8837357052098</v>
      </c>
      <c r="X80" s="138">
        <f t="shared" si="40"/>
        <v>6406.7344345616266</v>
      </c>
      <c r="Y80" s="138">
        <f t="shared" si="40"/>
        <v>6433.8646759847525</v>
      </c>
      <c r="Z80" s="138">
        <f t="shared" si="40"/>
        <v>6471.8348157560358</v>
      </c>
      <c r="AA80" s="138">
        <f t="shared" si="40"/>
        <v>6475.2636594663272</v>
      </c>
      <c r="AB80" s="138">
        <f t="shared" si="40"/>
        <v>6494.3316391359594</v>
      </c>
      <c r="AC80" s="138">
        <f t="shared" si="40"/>
        <v>6469.6048284625158</v>
      </c>
      <c r="AD80" s="138">
        <f t="shared" si="40"/>
        <v>6467.475857687421</v>
      </c>
      <c r="AE80" s="138">
        <f t="shared" si="41"/>
        <v>6439.1391359593399</v>
      </c>
      <c r="AF80" s="138">
        <f t="shared" si="41"/>
        <v>6443.0622617534937</v>
      </c>
      <c r="AG80" s="195">
        <f t="shared" si="42"/>
        <v>6423.7824015247788</v>
      </c>
      <c r="AH80" s="195"/>
      <c r="AI80" s="138">
        <f t="shared" si="43"/>
        <v>77085.388818297346</v>
      </c>
      <c r="AJ80" s="132"/>
      <c r="AK80" s="196">
        <f>F80*$AM$3</f>
        <v>1.0050078153124933</v>
      </c>
      <c r="AL80" s="198">
        <f t="shared" si="44"/>
        <v>77471.418208791118</v>
      </c>
      <c r="AM80" s="197"/>
      <c r="AN80" s="196">
        <f t="shared" si="45"/>
        <v>8.8750078153124932</v>
      </c>
      <c r="AO80" s="198">
        <f t="shared" si="46"/>
        <v>684133.42820879119</v>
      </c>
      <c r="AP80" s="199">
        <f>ROUND(F80*$AS$4,2)</f>
        <v>1.1100000000000001</v>
      </c>
      <c r="AQ80" s="200">
        <f t="shared" si="47"/>
        <v>85564.781588310056</v>
      </c>
      <c r="AR80" s="132"/>
      <c r="AS80" s="201">
        <f t="shared" si="48"/>
        <v>8.98</v>
      </c>
      <c r="AT80" s="202">
        <f t="shared" si="49"/>
        <v>692226.79158831015</v>
      </c>
      <c r="AU80" s="132"/>
      <c r="AV80" s="132"/>
      <c r="AW80" s="132"/>
      <c r="AX80" s="132"/>
      <c r="AY80" s="132"/>
      <c r="AZ80" s="245"/>
    </row>
    <row r="81" spans="1:52" s="129" customFormat="1" ht="12" customHeight="1">
      <c r="A81" s="142"/>
      <c r="B81" s="142"/>
      <c r="C81" s="209"/>
      <c r="D81" s="209"/>
      <c r="E81" s="137"/>
      <c r="F81" s="137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9"/>
      <c r="T81" s="132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2"/>
      <c r="AK81" s="132"/>
      <c r="AL81" s="132"/>
      <c r="AM81" s="132"/>
      <c r="AN81" s="132"/>
      <c r="AO81" s="132"/>
      <c r="AP81" s="183"/>
      <c r="AQ81" s="200"/>
      <c r="AR81" s="132"/>
      <c r="AS81" s="132"/>
      <c r="AT81" s="214"/>
      <c r="AU81" s="132"/>
      <c r="AV81" s="132"/>
      <c r="AW81" s="132"/>
      <c r="AX81" s="132"/>
      <c r="AY81" s="132"/>
      <c r="AZ81" s="245"/>
    </row>
    <row r="82" spans="1:52" s="129" customFormat="1" ht="12" customHeight="1">
      <c r="B82" s="142">
        <f t="shared" ref="B82:B113" si="50">COUNTIF(C:C,C82)</f>
        <v>0</v>
      </c>
      <c r="C82" s="215"/>
      <c r="D82" s="216" t="s">
        <v>529</v>
      </c>
      <c r="E82" s="137"/>
      <c r="F82" s="137"/>
      <c r="G82" s="217">
        <f>SUM(G79:G81)</f>
        <v>49574.625</v>
      </c>
      <c r="H82" s="217">
        <f t="shared" ref="H82:R82" si="51">SUM(H79:H80)</f>
        <v>49906.530000000006</v>
      </c>
      <c r="I82" s="217">
        <f t="shared" si="51"/>
        <v>50115.735000000001</v>
      </c>
      <c r="J82" s="217">
        <f t="shared" si="51"/>
        <v>50482.2</v>
      </c>
      <c r="K82" s="217">
        <f t="shared" si="51"/>
        <v>50694.514999999999</v>
      </c>
      <c r="L82" s="217">
        <f t="shared" si="51"/>
        <v>50995.840000000004</v>
      </c>
      <c r="M82" s="217">
        <f t="shared" si="51"/>
        <v>51024.824999999997</v>
      </c>
      <c r="N82" s="217">
        <f t="shared" si="51"/>
        <v>51173.89</v>
      </c>
      <c r="O82" s="217">
        <f t="shared" si="51"/>
        <v>50981.26</v>
      </c>
      <c r="P82" s="217">
        <f t="shared" si="51"/>
        <v>50963.835000000006</v>
      </c>
      <c r="Q82" s="217">
        <f t="shared" si="51"/>
        <v>50741.525000000009</v>
      </c>
      <c r="R82" s="217">
        <f t="shared" si="51"/>
        <v>50772.899999999994</v>
      </c>
      <c r="S82" s="217">
        <f>SUM(S79:S81)</f>
        <v>607427.68000000017</v>
      </c>
      <c r="T82" s="132"/>
      <c r="U82" s="218">
        <f>SUM(U79:U81)</f>
        <v>6355.0578144853871</v>
      </c>
      <c r="V82" s="218">
        <f t="shared" ref="V82:AG82" si="52">SUM(V79:V81)</f>
        <v>6397.8859593392635</v>
      </c>
      <c r="W82" s="218">
        <f t="shared" si="52"/>
        <v>6423.3337357052096</v>
      </c>
      <c r="X82" s="218">
        <f t="shared" si="52"/>
        <v>6467.9344345616264</v>
      </c>
      <c r="Y82" s="218">
        <f t="shared" si="52"/>
        <v>6493.8646759847525</v>
      </c>
      <c r="Z82" s="218">
        <f t="shared" si="52"/>
        <v>6534.3348157560358</v>
      </c>
      <c r="AA82" s="218">
        <f t="shared" si="52"/>
        <v>6539.7636594663272</v>
      </c>
      <c r="AB82" s="218">
        <f t="shared" si="52"/>
        <v>6557.8316391359594</v>
      </c>
      <c r="AC82" s="218">
        <f t="shared" si="52"/>
        <v>6535.0748284625161</v>
      </c>
      <c r="AD82" s="218">
        <f t="shared" si="52"/>
        <v>6532.2758576874212</v>
      </c>
      <c r="AE82" s="218">
        <f t="shared" si="52"/>
        <v>6504.6391359593399</v>
      </c>
      <c r="AF82" s="218">
        <f t="shared" si="52"/>
        <v>6509.0622617534937</v>
      </c>
      <c r="AG82" s="218">
        <f t="shared" si="52"/>
        <v>6487.5882348581126</v>
      </c>
      <c r="AH82" s="218"/>
      <c r="AI82" s="218"/>
      <c r="AJ82" s="132"/>
      <c r="AK82" s="132"/>
      <c r="AL82" s="218">
        <f t="shared" ref="AL82" si="53">SUM(AL79:AL81)</f>
        <v>77569.195125430299</v>
      </c>
      <c r="AM82" s="132"/>
      <c r="AN82" s="132"/>
      <c r="AO82" s="218">
        <f t="shared" ref="AO82" si="54">SUM(AO79:AO81)</f>
        <v>684996.87512543041</v>
      </c>
      <c r="AP82" s="219"/>
      <c r="AQ82" s="220">
        <f>SUM(AQ79:AQ80)</f>
        <v>85671.975388310049</v>
      </c>
      <c r="AR82" s="132"/>
      <c r="AS82" s="221"/>
      <c r="AT82" s="222">
        <f>SUM(AT79:AT80)</f>
        <v>693099.6553883102</v>
      </c>
      <c r="AU82" s="132"/>
      <c r="AV82" s="132"/>
      <c r="AW82" s="132"/>
      <c r="AX82" s="132"/>
      <c r="AY82" s="132"/>
      <c r="AZ82" s="245"/>
    </row>
    <row r="83" spans="1:52" s="129" customFormat="1" ht="12" customHeight="1">
      <c r="B83" s="142">
        <f t="shared" si="50"/>
        <v>0</v>
      </c>
      <c r="C83" s="215"/>
      <c r="D83" s="215"/>
      <c r="E83" s="137"/>
      <c r="F83" s="137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139"/>
      <c r="T83" s="132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2"/>
      <c r="AK83" s="132"/>
      <c r="AL83" s="132"/>
      <c r="AM83" s="132"/>
      <c r="AN83" s="132"/>
      <c r="AO83" s="132"/>
      <c r="AP83" s="183"/>
      <c r="AQ83" s="132"/>
      <c r="AR83" s="132"/>
      <c r="AS83" s="132"/>
      <c r="AT83" s="214"/>
      <c r="AU83" s="132"/>
      <c r="AV83" s="132"/>
      <c r="AW83" s="132"/>
      <c r="AX83" s="132"/>
      <c r="AY83" s="132"/>
      <c r="AZ83" s="245"/>
    </row>
    <row r="84" spans="1:52" s="129" customFormat="1" ht="15.75">
      <c r="B84" s="129">
        <f t="shared" si="50"/>
        <v>1</v>
      </c>
      <c r="C84" s="187" t="s">
        <v>282</v>
      </c>
      <c r="D84" s="188"/>
      <c r="E84" s="189"/>
      <c r="F84" s="189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1"/>
      <c r="T84" s="191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32"/>
      <c r="AK84" s="132"/>
      <c r="AL84" s="132"/>
      <c r="AM84" s="132"/>
      <c r="AN84" s="132"/>
      <c r="AO84" s="132"/>
      <c r="AP84" s="183"/>
      <c r="AQ84" s="132"/>
      <c r="AR84" s="132"/>
      <c r="AS84" s="132"/>
      <c r="AT84" s="214"/>
      <c r="AU84" s="132"/>
      <c r="AV84" s="132"/>
      <c r="AW84" s="132"/>
      <c r="AX84" s="132"/>
      <c r="AY84" s="132"/>
      <c r="AZ84" s="245"/>
    </row>
    <row r="85" spans="1:52" ht="12" customHeight="1">
      <c r="B85" s="142">
        <f t="shared" si="50"/>
        <v>2</v>
      </c>
      <c r="C85" s="136" t="s">
        <v>283</v>
      </c>
      <c r="D85" s="143"/>
      <c r="E85" s="137"/>
      <c r="F85" s="137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44"/>
      <c r="AK85" s="144"/>
      <c r="AL85" s="144"/>
      <c r="AM85" s="144"/>
      <c r="AN85" s="144"/>
      <c r="AO85" s="144"/>
      <c r="AP85" s="225"/>
      <c r="AQ85" s="144"/>
      <c r="AR85" s="144"/>
      <c r="AS85" s="144"/>
      <c r="AT85" s="176"/>
      <c r="AU85" s="144"/>
      <c r="AV85" s="144"/>
      <c r="AW85" s="144"/>
      <c r="AX85" s="144"/>
      <c r="AY85" s="144"/>
    </row>
    <row r="86" spans="1:52" s="129" customFormat="1" ht="12" hidden="1" customHeight="1">
      <c r="B86" s="142">
        <f t="shared" si="50"/>
        <v>2</v>
      </c>
      <c r="C86" s="136" t="s">
        <v>283</v>
      </c>
      <c r="D86" s="136" t="s">
        <v>283</v>
      </c>
      <c r="E86" s="137"/>
      <c r="F86" s="137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139"/>
      <c r="T86" s="132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2"/>
      <c r="AK86" s="132"/>
      <c r="AL86" s="132"/>
      <c r="AM86" s="132"/>
      <c r="AN86" s="132"/>
      <c r="AO86" s="132"/>
      <c r="AP86" s="183"/>
      <c r="AQ86" s="132"/>
      <c r="AR86" s="132"/>
      <c r="AS86" s="132"/>
      <c r="AT86" s="214"/>
      <c r="AU86" s="132"/>
      <c r="AV86" s="132"/>
      <c r="AW86" s="132"/>
      <c r="AX86" s="132"/>
      <c r="AY86" s="132"/>
      <c r="AZ86" s="245"/>
    </row>
    <row r="87" spans="1:52" s="129" customFormat="1" ht="12" customHeight="1">
      <c r="A87" s="146" t="str">
        <f t="shared" ref="A87:A148" si="55">$A$1&amp;"Commercial"&amp;C87</f>
        <v>Grays Harbor WUTCCommercialFL001.0Y1W001</v>
      </c>
      <c r="B87" s="146">
        <f t="shared" si="50"/>
        <v>1</v>
      </c>
      <c r="C87" s="193" t="s">
        <v>284</v>
      </c>
      <c r="D87" s="193" t="s">
        <v>285</v>
      </c>
      <c r="E87" s="194">
        <v>97.73</v>
      </c>
      <c r="F87" s="194">
        <v>99.243333333333325</v>
      </c>
      <c r="G87" s="138">
        <v>6279.15</v>
      </c>
      <c r="H87" s="138">
        <v>6181.42</v>
      </c>
      <c r="I87" s="138">
        <v>6352.45</v>
      </c>
      <c r="J87" s="138">
        <v>6547.91</v>
      </c>
      <c r="K87" s="138">
        <v>6191.2</v>
      </c>
      <c r="L87" s="138">
        <v>6587</v>
      </c>
      <c r="M87" s="138">
        <v>6254.72</v>
      </c>
      <c r="N87" s="138">
        <v>6352.45</v>
      </c>
      <c r="O87" s="138">
        <v>6308.48</v>
      </c>
      <c r="P87" s="138">
        <v>6254.72</v>
      </c>
      <c r="Q87" s="138">
        <v>6252.12</v>
      </c>
      <c r="R87" s="138">
        <v>6078.45</v>
      </c>
      <c r="S87" s="139">
        <f t="shared" ref="S87:S148" si="56">+SUM(G87:R87)</f>
        <v>75640.069999999992</v>
      </c>
      <c r="T87" s="132"/>
      <c r="U87" s="138">
        <f t="shared" ref="U87:AD112" si="57">IFERROR(G87/$E87,0)</f>
        <v>64.249974419318519</v>
      </c>
      <c r="V87" s="138">
        <f t="shared" si="57"/>
        <v>63.249974419318526</v>
      </c>
      <c r="W87" s="138">
        <f t="shared" si="57"/>
        <v>65</v>
      </c>
      <c r="X87" s="138">
        <f t="shared" si="57"/>
        <v>67</v>
      </c>
      <c r="Y87" s="138">
        <f t="shared" si="57"/>
        <v>63.350046045226641</v>
      </c>
      <c r="Z87" s="138">
        <f t="shared" si="57"/>
        <v>67.399979535454818</v>
      </c>
      <c r="AA87" s="138">
        <f t="shared" si="57"/>
        <v>64</v>
      </c>
      <c r="AB87" s="138">
        <f t="shared" si="57"/>
        <v>65</v>
      </c>
      <c r="AC87" s="138">
        <f t="shared" si="57"/>
        <v>64.550086974316983</v>
      </c>
      <c r="AD87" s="138">
        <f t="shared" si="57"/>
        <v>64</v>
      </c>
      <c r="AE87" s="138">
        <f t="shared" ref="AE87:AF113" si="58">IFERROR(Q87/$F87,0)</f>
        <v>62.997883988848962</v>
      </c>
      <c r="AF87" s="138">
        <f t="shared" si="58"/>
        <v>61.24794276693649</v>
      </c>
      <c r="AG87" s="138">
        <f t="shared" ref="AG87:AG139" si="59">AVERAGE(U87:AF87)</f>
        <v>64.337157345785073</v>
      </c>
      <c r="AH87" s="195">
        <f t="shared" ref="AH87:AH150" si="60">+AI87/12</f>
        <v>64.337157345785073</v>
      </c>
      <c r="AI87" s="138">
        <f t="shared" ref="AI87:AI149" si="61">+SUM(U87:AF87)</f>
        <v>772.04588814942088</v>
      </c>
      <c r="AJ87" s="132"/>
      <c r="AK87" s="196">
        <f>F87*$AM$2</f>
        <v>1.4367317570472578</v>
      </c>
      <c r="AL87" s="198">
        <f t="shared" ref="AL87:AL149" si="62">AK87*AI87</f>
        <v>1109.222845402028</v>
      </c>
      <c r="AM87" s="197"/>
      <c r="AN87" s="196">
        <f>F87+AK87</f>
        <v>100.68006509038058</v>
      </c>
      <c r="AO87" s="198">
        <f t="shared" ref="AO87:AO149" si="63">AI87*AN87</f>
        <v>77729.630271644375</v>
      </c>
      <c r="AP87" s="199">
        <f t="shared" ref="AP87:AP149" si="64">ROUND(F87*$AS$3,2)</f>
        <v>1.24</v>
      </c>
      <c r="AQ87" s="200">
        <f t="shared" ref="AQ87:AQ149" si="65">AP87*AI87</f>
        <v>957.33690130528191</v>
      </c>
      <c r="AR87" s="132"/>
      <c r="AS87" s="201">
        <f t="shared" ref="AS87:AS149" si="66">AP87+F87</f>
        <v>100.48333333333332</v>
      </c>
      <c r="AT87" s="202">
        <f t="shared" ref="AT87:AT149" si="67">AS87*AI87</f>
        <v>77577.744327547625</v>
      </c>
      <c r="AU87" s="132"/>
      <c r="AV87" s="132"/>
      <c r="AW87" s="132"/>
      <c r="AX87" s="132"/>
      <c r="AY87" s="132"/>
      <c r="AZ87" s="246"/>
    </row>
    <row r="88" spans="1:52" s="129" customFormat="1" ht="12" customHeight="1">
      <c r="A88" s="146" t="str">
        <f t="shared" si="55"/>
        <v>Grays Harbor WUTCCommercialRL001.0Y1W001</v>
      </c>
      <c r="B88" s="146">
        <f t="shared" si="50"/>
        <v>1</v>
      </c>
      <c r="C88" s="193" t="s">
        <v>286</v>
      </c>
      <c r="D88" s="193" t="s">
        <v>285</v>
      </c>
      <c r="E88" s="194">
        <v>97.73</v>
      </c>
      <c r="F88" s="194">
        <v>99.243333333333325</v>
      </c>
      <c r="G88" s="138">
        <v>2482.34</v>
      </c>
      <c r="H88" s="138">
        <v>2467.6799999999998</v>
      </c>
      <c r="I88" s="138">
        <v>2599.62</v>
      </c>
      <c r="J88" s="138">
        <v>2614.2800000000002</v>
      </c>
      <c r="K88" s="138">
        <v>2570.31</v>
      </c>
      <c r="L88" s="138">
        <v>2736.44</v>
      </c>
      <c r="M88" s="138">
        <v>2785.31</v>
      </c>
      <c r="N88" s="138">
        <v>2834.17</v>
      </c>
      <c r="O88" s="138">
        <v>2736.44</v>
      </c>
      <c r="P88" s="138">
        <v>2775.53</v>
      </c>
      <c r="Q88" s="138">
        <v>2753.91</v>
      </c>
      <c r="R88" s="138">
        <v>2679.48</v>
      </c>
      <c r="S88" s="139">
        <f t="shared" si="56"/>
        <v>32035.51</v>
      </c>
      <c r="T88" s="132"/>
      <c r="U88" s="138">
        <f t="shared" si="57"/>
        <v>25.399979535454825</v>
      </c>
      <c r="V88" s="138">
        <f t="shared" si="57"/>
        <v>25.249974419318526</v>
      </c>
      <c r="W88" s="138">
        <f t="shared" si="57"/>
        <v>26.600020464545175</v>
      </c>
      <c r="X88" s="138">
        <f t="shared" si="57"/>
        <v>26.75002558068147</v>
      </c>
      <c r="Y88" s="138">
        <f t="shared" si="57"/>
        <v>26.300112554998464</v>
      </c>
      <c r="Z88" s="138">
        <f t="shared" si="57"/>
        <v>28</v>
      </c>
      <c r="AA88" s="138">
        <f t="shared" si="57"/>
        <v>28.500051161362936</v>
      </c>
      <c r="AB88" s="138">
        <f t="shared" si="57"/>
        <v>29</v>
      </c>
      <c r="AC88" s="138">
        <f t="shared" si="57"/>
        <v>28</v>
      </c>
      <c r="AD88" s="138">
        <f t="shared" si="57"/>
        <v>28.399979535454825</v>
      </c>
      <c r="AE88" s="138">
        <f t="shared" si="58"/>
        <v>27.749067947469186</v>
      </c>
      <c r="AF88" s="138">
        <f t="shared" si="58"/>
        <v>26.999093138078127</v>
      </c>
      <c r="AG88" s="138">
        <f t="shared" si="59"/>
        <v>27.245692028113627</v>
      </c>
      <c r="AH88" s="195">
        <f t="shared" si="60"/>
        <v>27.245692028113627</v>
      </c>
      <c r="AI88" s="138">
        <f t="shared" si="61"/>
        <v>326.94830433736354</v>
      </c>
      <c r="AJ88" s="132"/>
      <c r="AK88" s="196">
        <f t="shared" ref="AK88:AK150" si="68">F88*$AM$2</f>
        <v>1.4367317570472578</v>
      </c>
      <c r="AL88" s="198">
        <f t="shared" si="62"/>
        <v>469.73701175424191</v>
      </c>
      <c r="AM88" s="197"/>
      <c r="AN88" s="196">
        <f t="shared" ref="AN88:AN150" si="69">F88+AK88</f>
        <v>100.68006509038058</v>
      </c>
      <c r="AO88" s="198">
        <f t="shared" si="63"/>
        <v>32917.17656187532</v>
      </c>
      <c r="AP88" s="199">
        <f t="shared" si="64"/>
        <v>1.24</v>
      </c>
      <c r="AQ88" s="200">
        <f t="shared" si="65"/>
        <v>405.41589737833078</v>
      </c>
      <c r="AR88" s="132"/>
      <c r="AS88" s="201">
        <f t="shared" si="66"/>
        <v>100.48333333333332</v>
      </c>
      <c r="AT88" s="202">
        <f t="shared" si="67"/>
        <v>32852.855447499409</v>
      </c>
      <c r="AU88" s="132"/>
      <c r="AV88" s="132"/>
      <c r="AW88" s="132"/>
      <c r="AX88" s="132"/>
      <c r="AY88" s="132"/>
      <c r="AZ88" s="246"/>
    </row>
    <row r="89" spans="1:52" s="129" customFormat="1" ht="12" customHeight="1">
      <c r="A89" s="146" t="str">
        <f t="shared" si="55"/>
        <v>Grays Harbor WUTCCommercialRL001.0Y2W001</v>
      </c>
      <c r="B89" s="146">
        <f t="shared" si="50"/>
        <v>1</v>
      </c>
      <c r="C89" s="193" t="s">
        <v>288</v>
      </c>
      <c r="D89" s="193" t="s">
        <v>287</v>
      </c>
      <c r="E89" s="194">
        <v>181.27</v>
      </c>
      <c r="F89" s="194">
        <v>184.30666666666664</v>
      </c>
      <c r="G89" s="138">
        <v>120.85</v>
      </c>
      <c r="H89" s="138">
        <v>0</v>
      </c>
      <c r="I89" s="138">
        <v>0</v>
      </c>
      <c r="J89" s="138">
        <v>0</v>
      </c>
      <c r="K89" s="138">
        <v>0</v>
      </c>
      <c r="L89" s="138">
        <v>0</v>
      </c>
      <c r="M89" s="138">
        <v>0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9">
        <f t="shared" si="56"/>
        <v>120.85</v>
      </c>
      <c r="T89" s="132"/>
      <c r="U89" s="138">
        <f t="shared" si="57"/>
        <v>0.66668505544215806</v>
      </c>
      <c r="V89" s="138">
        <f t="shared" si="57"/>
        <v>0</v>
      </c>
      <c r="W89" s="138">
        <f t="shared" si="57"/>
        <v>0</v>
      </c>
      <c r="X89" s="138">
        <f t="shared" si="57"/>
        <v>0</v>
      </c>
      <c r="Y89" s="138">
        <f t="shared" si="57"/>
        <v>0</v>
      </c>
      <c r="Z89" s="138">
        <f t="shared" si="57"/>
        <v>0</v>
      </c>
      <c r="AA89" s="138">
        <f t="shared" si="57"/>
        <v>0</v>
      </c>
      <c r="AB89" s="138">
        <f t="shared" si="57"/>
        <v>0</v>
      </c>
      <c r="AC89" s="138">
        <f t="shared" si="57"/>
        <v>0</v>
      </c>
      <c r="AD89" s="138">
        <f t="shared" si="57"/>
        <v>0</v>
      </c>
      <c r="AE89" s="138">
        <f t="shared" si="58"/>
        <v>0</v>
      </c>
      <c r="AF89" s="138">
        <f t="shared" si="58"/>
        <v>0</v>
      </c>
      <c r="AG89" s="138">
        <f t="shared" si="59"/>
        <v>5.5557087953513169E-2</v>
      </c>
      <c r="AH89" s="195">
        <f t="shared" si="60"/>
        <v>5.5557087953513169E-2</v>
      </c>
      <c r="AI89" s="138">
        <f t="shared" si="61"/>
        <v>0.66668505544215806</v>
      </c>
      <c r="AJ89" s="132"/>
      <c r="AK89" s="196">
        <f t="shared" si="68"/>
        <v>2.6681816515183883</v>
      </c>
      <c r="AL89" s="198">
        <f t="shared" si="62"/>
        <v>1.7788368322722856</v>
      </c>
      <c r="AM89" s="197"/>
      <c r="AN89" s="196">
        <f t="shared" si="69"/>
        <v>186.97484831818502</v>
      </c>
      <c r="AO89" s="198">
        <f t="shared" si="63"/>
        <v>124.65333711729828</v>
      </c>
      <c r="AP89" s="199">
        <f t="shared" si="64"/>
        <v>2.2999999999999998</v>
      </c>
      <c r="AQ89" s="200">
        <f t="shared" si="65"/>
        <v>1.5333756275169634</v>
      </c>
      <c r="AR89" s="132"/>
      <c r="AS89" s="201">
        <f t="shared" si="66"/>
        <v>186.60666666666665</v>
      </c>
      <c r="AT89" s="202">
        <f t="shared" si="67"/>
        <v>124.40787591254296</v>
      </c>
      <c r="AU89" s="132"/>
      <c r="AV89" s="132"/>
      <c r="AW89" s="132"/>
      <c r="AX89" s="132"/>
      <c r="AY89" s="132"/>
      <c r="AZ89" s="246"/>
    </row>
    <row r="90" spans="1:52" s="129" customFormat="1" ht="12" customHeight="1">
      <c r="A90" s="146" t="str">
        <f t="shared" si="55"/>
        <v>Grays Harbor WUTCCommercialFL001.0YEO001</v>
      </c>
      <c r="B90" s="146">
        <f t="shared" si="50"/>
        <v>1</v>
      </c>
      <c r="C90" s="193" t="s">
        <v>289</v>
      </c>
      <c r="D90" s="193" t="s">
        <v>290</v>
      </c>
      <c r="E90" s="194">
        <v>55.95</v>
      </c>
      <c r="F90" s="194">
        <v>56.711666666666666</v>
      </c>
      <c r="G90" s="138">
        <v>3384.98</v>
      </c>
      <c r="H90" s="138">
        <v>3329.03</v>
      </c>
      <c r="I90" s="138">
        <v>3431.6</v>
      </c>
      <c r="J90" s="138">
        <v>3142.5299999999997</v>
      </c>
      <c r="K90" s="138">
        <v>3086.58</v>
      </c>
      <c r="L90" s="138">
        <v>2993.33</v>
      </c>
      <c r="M90" s="138">
        <v>2946.7</v>
      </c>
      <c r="N90" s="138">
        <v>3021.31</v>
      </c>
      <c r="O90" s="138">
        <v>3133.2</v>
      </c>
      <c r="P90" s="138">
        <v>3189.15</v>
      </c>
      <c r="Q90" s="138">
        <v>3260.83</v>
      </c>
      <c r="R90" s="138">
        <v>3232.48</v>
      </c>
      <c r="S90" s="139">
        <f t="shared" si="56"/>
        <v>38151.720000000008</v>
      </c>
      <c r="T90" s="132"/>
      <c r="U90" s="138">
        <f t="shared" si="57"/>
        <v>60.500089365504913</v>
      </c>
      <c r="V90" s="138">
        <f t="shared" si="57"/>
        <v>59.500089365504913</v>
      </c>
      <c r="W90" s="138">
        <f t="shared" si="57"/>
        <v>61.333333333333329</v>
      </c>
      <c r="X90" s="138">
        <f t="shared" si="57"/>
        <v>56.166756032171577</v>
      </c>
      <c r="Y90" s="138">
        <f t="shared" si="57"/>
        <v>55.166756032171577</v>
      </c>
      <c r="Z90" s="138">
        <f t="shared" si="57"/>
        <v>53.500089365504913</v>
      </c>
      <c r="AA90" s="138">
        <f t="shared" si="57"/>
        <v>52.666666666666657</v>
      </c>
      <c r="AB90" s="138">
        <f t="shared" si="57"/>
        <v>54.000178731009825</v>
      </c>
      <c r="AC90" s="138">
        <f t="shared" si="57"/>
        <v>55.999999999999993</v>
      </c>
      <c r="AD90" s="138">
        <f t="shared" si="57"/>
        <v>57</v>
      </c>
      <c r="AE90" s="138">
        <f t="shared" si="58"/>
        <v>57.498398330737352</v>
      </c>
      <c r="AF90" s="138">
        <f t="shared" si="58"/>
        <v>56.998501190231288</v>
      </c>
      <c r="AG90" s="138">
        <f t="shared" si="59"/>
        <v>56.694238201069702</v>
      </c>
      <c r="AH90" s="195">
        <f t="shared" si="60"/>
        <v>56.694238201069702</v>
      </c>
      <c r="AI90" s="138">
        <f t="shared" si="61"/>
        <v>680.33085841283639</v>
      </c>
      <c r="AJ90" s="132"/>
      <c r="AK90" s="196">
        <f t="shared" si="68"/>
        <v>0.8210068098116925</v>
      </c>
      <c r="AL90" s="198">
        <f t="shared" si="62"/>
        <v>558.55626768197305</v>
      </c>
      <c r="AM90" s="197"/>
      <c r="AN90" s="196">
        <f t="shared" si="69"/>
        <v>57.532673476478358</v>
      </c>
      <c r="AO90" s="198">
        <f t="shared" si="63"/>
        <v>39141.253133037942</v>
      </c>
      <c r="AP90" s="199">
        <f t="shared" si="64"/>
        <v>0.71</v>
      </c>
      <c r="AQ90" s="200">
        <f t="shared" si="65"/>
        <v>483.03490947311383</v>
      </c>
      <c r="AR90" s="132"/>
      <c r="AS90" s="201">
        <f t="shared" si="66"/>
        <v>57.421666666666667</v>
      </c>
      <c r="AT90" s="202">
        <f t="shared" si="67"/>
        <v>39065.731774829088</v>
      </c>
      <c r="AU90" s="132"/>
      <c r="AV90" s="132"/>
      <c r="AW90" s="132"/>
      <c r="AX90" s="132"/>
      <c r="AY90" s="132"/>
      <c r="AZ90" s="246"/>
    </row>
    <row r="91" spans="1:52" s="129" customFormat="1" ht="12" customHeight="1">
      <c r="A91" s="146" t="str">
        <f t="shared" si="55"/>
        <v>Grays Harbor WUTCCommercialRL001.0YEO001</v>
      </c>
      <c r="B91" s="146">
        <f t="shared" si="50"/>
        <v>1</v>
      </c>
      <c r="C91" s="193" t="s">
        <v>291</v>
      </c>
      <c r="D91" s="193" t="s">
        <v>290</v>
      </c>
      <c r="E91" s="194">
        <v>55.95</v>
      </c>
      <c r="F91" s="194">
        <v>56.711666666666666</v>
      </c>
      <c r="G91" s="138">
        <v>3506.2</v>
      </c>
      <c r="H91" s="138">
        <v>3524.85</v>
      </c>
      <c r="I91" s="138">
        <v>3496.88</v>
      </c>
      <c r="J91" s="138">
        <v>3487.56</v>
      </c>
      <c r="K91" s="138">
        <v>3552.83</v>
      </c>
      <c r="L91" s="138">
        <v>3608.78</v>
      </c>
      <c r="M91" s="138">
        <v>3767.31</v>
      </c>
      <c r="N91" s="138">
        <v>3832.58</v>
      </c>
      <c r="O91" s="138">
        <v>4009.76</v>
      </c>
      <c r="P91" s="138">
        <v>4028.4</v>
      </c>
      <c r="Q91" s="138">
        <v>4234.3500000000004</v>
      </c>
      <c r="R91" s="138">
        <v>4338.33</v>
      </c>
      <c r="S91" s="139">
        <f t="shared" si="56"/>
        <v>45387.83</v>
      </c>
      <c r="T91" s="132"/>
      <c r="U91" s="138">
        <f t="shared" si="57"/>
        <v>62.666666666666657</v>
      </c>
      <c r="V91" s="138">
        <f t="shared" si="57"/>
        <v>62.999999999999993</v>
      </c>
      <c r="W91" s="138">
        <f t="shared" si="57"/>
        <v>62.500089365504913</v>
      </c>
      <c r="X91" s="138">
        <f t="shared" si="57"/>
        <v>62.333512064343161</v>
      </c>
      <c r="Y91" s="138">
        <f t="shared" si="57"/>
        <v>63.500089365504913</v>
      </c>
      <c r="Z91" s="138">
        <f t="shared" si="57"/>
        <v>64.50008936550492</v>
      </c>
      <c r="AA91" s="138">
        <f t="shared" si="57"/>
        <v>67.333512064343154</v>
      </c>
      <c r="AB91" s="138">
        <f t="shared" si="57"/>
        <v>68.500089365504905</v>
      </c>
      <c r="AC91" s="138">
        <f t="shared" si="57"/>
        <v>71.666845397676497</v>
      </c>
      <c r="AD91" s="138">
        <f t="shared" si="57"/>
        <v>72</v>
      </c>
      <c r="AE91" s="138">
        <f t="shared" si="58"/>
        <v>74.664531107649822</v>
      </c>
      <c r="AF91" s="138">
        <f t="shared" si="58"/>
        <v>76.49801628118847</v>
      </c>
      <c r="AG91" s="138">
        <f t="shared" si="59"/>
        <v>67.430286753657285</v>
      </c>
      <c r="AH91" s="195">
        <f t="shared" si="60"/>
        <v>67.430286753657285</v>
      </c>
      <c r="AI91" s="138">
        <f t="shared" si="61"/>
        <v>809.16344104388747</v>
      </c>
      <c r="AJ91" s="132"/>
      <c r="AK91" s="196">
        <f t="shared" si="68"/>
        <v>0.8210068098116925</v>
      </c>
      <c r="AL91" s="198">
        <f t="shared" si="62"/>
        <v>664.32869534769361</v>
      </c>
      <c r="AM91" s="197"/>
      <c r="AN91" s="196">
        <f t="shared" si="69"/>
        <v>57.532673476478358</v>
      </c>
      <c r="AO91" s="198">
        <f t="shared" si="63"/>
        <v>46553.336042681622</v>
      </c>
      <c r="AP91" s="199">
        <f t="shared" si="64"/>
        <v>0.71</v>
      </c>
      <c r="AQ91" s="200">
        <f t="shared" si="65"/>
        <v>574.50604314116003</v>
      </c>
      <c r="AR91" s="132"/>
      <c r="AS91" s="201">
        <f t="shared" si="66"/>
        <v>57.421666666666667</v>
      </c>
      <c r="AT91" s="202">
        <f t="shared" si="67"/>
        <v>46463.513390475091</v>
      </c>
      <c r="AU91" s="132"/>
      <c r="AV91" s="132"/>
      <c r="AW91" s="132"/>
      <c r="AX91" s="132"/>
      <c r="AY91" s="132"/>
      <c r="AZ91" s="246"/>
    </row>
    <row r="92" spans="1:52" s="129" customFormat="1" ht="12" customHeight="1">
      <c r="A92" s="146" t="str">
        <f t="shared" si="55"/>
        <v>Grays Harbor WUTCCommercialRL001.0YXX001TEMPC</v>
      </c>
      <c r="B92" s="146">
        <f t="shared" si="50"/>
        <v>1</v>
      </c>
      <c r="C92" s="193" t="s">
        <v>366</v>
      </c>
      <c r="D92" s="193" t="s">
        <v>93</v>
      </c>
      <c r="E92" s="194">
        <v>29.34</v>
      </c>
      <c r="F92" s="194">
        <v>29.69</v>
      </c>
      <c r="G92" s="138">
        <v>117.36</v>
      </c>
      <c r="H92" s="138">
        <v>146.69999999999999</v>
      </c>
      <c r="I92" s="138">
        <v>88.02</v>
      </c>
      <c r="J92" s="138">
        <v>0</v>
      </c>
      <c r="K92" s="138">
        <v>0</v>
      </c>
      <c r="L92" s="138">
        <v>29.34</v>
      </c>
      <c r="M92" s="138">
        <v>29.34</v>
      </c>
      <c r="N92" s="138">
        <v>29.34</v>
      </c>
      <c r="O92" s="138">
        <v>146.69999999999999</v>
      </c>
      <c r="P92" s="138">
        <v>88.02</v>
      </c>
      <c r="Q92" s="138">
        <v>29.69</v>
      </c>
      <c r="R92" s="138">
        <v>0</v>
      </c>
      <c r="S92" s="139">
        <f t="shared" si="56"/>
        <v>704.51</v>
      </c>
      <c r="T92" s="132"/>
      <c r="U92" s="138">
        <f t="shared" si="57"/>
        <v>4</v>
      </c>
      <c r="V92" s="138">
        <f t="shared" si="57"/>
        <v>5</v>
      </c>
      <c r="W92" s="138">
        <f t="shared" si="57"/>
        <v>3</v>
      </c>
      <c r="X92" s="138">
        <f t="shared" si="57"/>
        <v>0</v>
      </c>
      <c r="Y92" s="138">
        <f t="shared" si="57"/>
        <v>0</v>
      </c>
      <c r="Z92" s="138">
        <f t="shared" si="57"/>
        <v>1</v>
      </c>
      <c r="AA92" s="138">
        <f t="shared" si="57"/>
        <v>1</v>
      </c>
      <c r="AB92" s="138">
        <f t="shared" si="57"/>
        <v>1</v>
      </c>
      <c r="AC92" s="138">
        <f t="shared" si="57"/>
        <v>5</v>
      </c>
      <c r="AD92" s="138">
        <f t="shared" si="57"/>
        <v>3</v>
      </c>
      <c r="AE92" s="138">
        <f t="shared" si="58"/>
        <v>1</v>
      </c>
      <c r="AF92" s="138">
        <f t="shared" si="58"/>
        <v>0</v>
      </c>
      <c r="AG92" s="138">
        <f t="shared" si="59"/>
        <v>2</v>
      </c>
      <c r="AH92" s="195">
        <f t="shared" si="60"/>
        <v>2</v>
      </c>
      <c r="AI92" s="138">
        <f t="shared" si="61"/>
        <v>24</v>
      </c>
      <c r="AJ92" s="132"/>
      <c r="AK92" s="196">
        <f t="shared" si="68"/>
        <v>0.42981794780572752</v>
      </c>
      <c r="AL92" s="198">
        <f t="shared" si="62"/>
        <v>10.31563074733746</v>
      </c>
      <c r="AM92" s="197"/>
      <c r="AN92" s="196">
        <f t="shared" si="69"/>
        <v>30.119817947805728</v>
      </c>
      <c r="AO92" s="198">
        <f t="shared" si="63"/>
        <v>722.87563074733748</v>
      </c>
      <c r="AP92" s="199">
        <f t="shared" si="64"/>
        <v>0.37</v>
      </c>
      <c r="AQ92" s="200">
        <f t="shared" si="65"/>
        <v>8.879999999999999</v>
      </c>
      <c r="AR92" s="132"/>
      <c r="AS92" s="201">
        <f t="shared" si="66"/>
        <v>30.060000000000002</v>
      </c>
      <c r="AT92" s="202">
        <f t="shared" si="67"/>
        <v>721.44</v>
      </c>
      <c r="AU92" s="132"/>
      <c r="AV92" s="132"/>
      <c r="AW92" s="132"/>
      <c r="AX92" s="132"/>
      <c r="AY92" s="132"/>
      <c r="AZ92" s="246"/>
    </row>
    <row r="93" spans="1:52" s="129" customFormat="1" ht="12" customHeight="1">
      <c r="A93" s="146" t="str">
        <f t="shared" si="55"/>
        <v>Grays Harbor WUTCCommercialFL001.5Y1W001</v>
      </c>
      <c r="B93" s="146">
        <f t="shared" si="50"/>
        <v>1</v>
      </c>
      <c r="C93" s="193" t="s">
        <v>293</v>
      </c>
      <c r="D93" s="193" t="s">
        <v>294</v>
      </c>
      <c r="E93" s="194">
        <v>135.51</v>
      </c>
      <c r="F93" s="194">
        <v>137.67666666666665</v>
      </c>
      <c r="G93" s="138">
        <v>5284.89</v>
      </c>
      <c r="H93" s="138">
        <v>5095.18</v>
      </c>
      <c r="I93" s="138">
        <v>5149.38</v>
      </c>
      <c r="J93" s="138">
        <v>5122.28</v>
      </c>
      <c r="K93" s="138">
        <v>5047.76</v>
      </c>
      <c r="L93" s="138">
        <v>5169.7</v>
      </c>
      <c r="M93" s="138">
        <v>5149.3900000000003</v>
      </c>
      <c r="N93" s="138">
        <v>4980</v>
      </c>
      <c r="O93" s="138">
        <v>5013.87</v>
      </c>
      <c r="P93" s="138">
        <v>4979.99</v>
      </c>
      <c r="Q93" s="138">
        <v>4990.8999999999996</v>
      </c>
      <c r="R93" s="138">
        <v>4818.8</v>
      </c>
      <c r="S93" s="139">
        <f t="shared" si="56"/>
        <v>60802.140000000007</v>
      </c>
      <c r="T93" s="132"/>
      <c r="U93" s="138">
        <f t="shared" si="57"/>
        <v>39.000000000000007</v>
      </c>
      <c r="V93" s="138">
        <f t="shared" si="57"/>
        <v>37.600029518116749</v>
      </c>
      <c r="W93" s="138">
        <f t="shared" si="57"/>
        <v>38</v>
      </c>
      <c r="X93" s="138">
        <f t="shared" si="57"/>
        <v>37.800014759058371</v>
      </c>
      <c r="Y93" s="138">
        <f t="shared" si="57"/>
        <v>37.250092244114832</v>
      </c>
      <c r="Z93" s="138">
        <f t="shared" si="57"/>
        <v>38.149952033060295</v>
      </c>
      <c r="AA93" s="138">
        <f t="shared" si="57"/>
        <v>38.000073795291868</v>
      </c>
      <c r="AB93" s="138">
        <f t="shared" si="57"/>
        <v>36.750055346468898</v>
      </c>
      <c r="AC93" s="138">
        <f t="shared" si="57"/>
        <v>37</v>
      </c>
      <c r="AD93" s="138">
        <f t="shared" si="57"/>
        <v>36.749981551177036</v>
      </c>
      <c r="AE93" s="138">
        <f t="shared" si="58"/>
        <v>36.250877660218386</v>
      </c>
      <c r="AF93" s="138">
        <f t="shared" si="58"/>
        <v>35.000847396072928</v>
      </c>
      <c r="AG93" s="138">
        <f t="shared" si="59"/>
        <v>37.295993691964945</v>
      </c>
      <c r="AH93" s="195">
        <f t="shared" si="60"/>
        <v>37.295993691964945</v>
      </c>
      <c r="AI93" s="138">
        <f t="shared" si="61"/>
        <v>447.55192430357937</v>
      </c>
      <c r="AJ93" s="132"/>
      <c r="AK93" s="196">
        <f t="shared" si="68"/>
        <v>1.9931257099157922</v>
      </c>
      <c r="AL93" s="198">
        <f t="shared" si="62"/>
        <v>892.02724685175053</v>
      </c>
      <c r="AM93" s="197"/>
      <c r="AN93" s="196">
        <f t="shared" si="69"/>
        <v>139.66979237658245</v>
      </c>
      <c r="AO93" s="198">
        <f t="shared" si="63"/>
        <v>62509.484345220873</v>
      </c>
      <c r="AP93" s="199">
        <f t="shared" si="64"/>
        <v>1.72</v>
      </c>
      <c r="AQ93" s="200">
        <f t="shared" si="65"/>
        <v>769.78930980215648</v>
      </c>
      <c r="AR93" s="132"/>
      <c r="AS93" s="201">
        <f t="shared" si="66"/>
        <v>139.39666666666665</v>
      </c>
      <c r="AT93" s="202">
        <f t="shared" si="67"/>
        <v>62387.246408171275</v>
      </c>
      <c r="AU93" s="132"/>
      <c r="AV93" s="132"/>
      <c r="AW93" s="132"/>
      <c r="AX93" s="132"/>
      <c r="AY93" s="132"/>
      <c r="AZ93" s="246"/>
    </row>
    <row r="94" spans="1:52" s="129" customFormat="1" ht="12" customHeight="1">
      <c r="A94" s="146" t="str">
        <f t="shared" si="55"/>
        <v>Grays Harbor WUTCCommercialRL001.5Y1W001</v>
      </c>
      <c r="B94" s="146">
        <f t="shared" si="50"/>
        <v>1</v>
      </c>
      <c r="C94" s="193" t="s">
        <v>295</v>
      </c>
      <c r="D94" s="193" t="s">
        <v>294</v>
      </c>
      <c r="E94" s="194">
        <v>135.51</v>
      </c>
      <c r="F94" s="194">
        <v>137.67666666666665</v>
      </c>
      <c r="G94" s="138">
        <v>1626.12</v>
      </c>
      <c r="H94" s="138">
        <v>1660</v>
      </c>
      <c r="I94" s="138">
        <v>1626.12</v>
      </c>
      <c r="J94" s="138">
        <v>2249.46</v>
      </c>
      <c r="K94" s="138">
        <v>2405.31</v>
      </c>
      <c r="L94" s="138">
        <v>2405.2999999999997</v>
      </c>
      <c r="M94" s="138">
        <v>1870.04</v>
      </c>
      <c r="N94" s="138">
        <v>1897.14</v>
      </c>
      <c r="O94" s="138">
        <v>1897.14</v>
      </c>
      <c r="P94" s="138">
        <v>1734.53</v>
      </c>
      <c r="Q94" s="138">
        <v>1898.25</v>
      </c>
      <c r="R94" s="138">
        <v>2065.1999999999998</v>
      </c>
      <c r="S94" s="139">
        <f t="shared" si="56"/>
        <v>23334.609999999997</v>
      </c>
      <c r="T94" s="132"/>
      <c r="U94" s="138">
        <f t="shared" si="57"/>
        <v>12</v>
      </c>
      <c r="V94" s="138">
        <f t="shared" si="57"/>
        <v>12.250018448822965</v>
      </c>
      <c r="W94" s="138">
        <f t="shared" si="57"/>
        <v>12</v>
      </c>
      <c r="X94" s="138">
        <f t="shared" si="57"/>
        <v>16.599955722824884</v>
      </c>
      <c r="Y94" s="138">
        <f t="shared" si="57"/>
        <v>17.750055346468898</v>
      </c>
      <c r="Z94" s="138">
        <f t="shared" si="57"/>
        <v>17.749981551177033</v>
      </c>
      <c r="AA94" s="138">
        <f t="shared" si="57"/>
        <v>13.800014759058373</v>
      </c>
      <c r="AB94" s="138">
        <f t="shared" si="57"/>
        <v>14.000000000000002</v>
      </c>
      <c r="AC94" s="138">
        <f t="shared" si="57"/>
        <v>14.000000000000002</v>
      </c>
      <c r="AD94" s="138">
        <f t="shared" si="57"/>
        <v>12.800014759058373</v>
      </c>
      <c r="AE94" s="138">
        <f t="shared" si="58"/>
        <v>13.787739389390604</v>
      </c>
      <c r="AF94" s="138">
        <f t="shared" si="58"/>
        <v>15.00036316974554</v>
      </c>
      <c r="AG94" s="138">
        <f t="shared" si="59"/>
        <v>14.311511928878886</v>
      </c>
      <c r="AH94" s="195">
        <f t="shared" si="60"/>
        <v>14.311511928878886</v>
      </c>
      <c r="AI94" s="138">
        <f t="shared" si="61"/>
        <v>171.73814314654663</v>
      </c>
      <c r="AJ94" s="132"/>
      <c r="AK94" s="196">
        <f t="shared" si="68"/>
        <v>1.9931257099157922</v>
      </c>
      <c r="AL94" s="198">
        <f t="shared" si="62"/>
        <v>342.29570847858071</v>
      </c>
      <c r="AM94" s="197"/>
      <c r="AN94" s="196">
        <f t="shared" si="69"/>
        <v>139.66979237658245</v>
      </c>
      <c r="AO94" s="198">
        <f t="shared" si="63"/>
        <v>23986.630796417965</v>
      </c>
      <c r="AP94" s="199">
        <f t="shared" si="64"/>
        <v>1.72</v>
      </c>
      <c r="AQ94" s="200">
        <f t="shared" si="65"/>
        <v>295.38960621206019</v>
      </c>
      <c r="AR94" s="132"/>
      <c r="AS94" s="201">
        <f t="shared" si="66"/>
        <v>139.39666666666665</v>
      </c>
      <c r="AT94" s="202">
        <f t="shared" si="67"/>
        <v>23939.724694151442</v>
      </c>
      <c r="AU94" s="132"/>
      <c r="AV94" s="132"/>
      <c r="AW94" s="132"/>
      <c r="AX94" s="132"/>
      <c r="AY94" s="132"/>
      <c r="AZ94" s="246"/>
    </row>
    <row r="95" spans="1:52" s="129" customFormat="1" ht="12" customHeight="1">
      <c r="A95" s="146" t="str">
        <f t="shared" si="55"/>
        <v>Grays Harbor WUTCCommercialRL001.5Y2W001</v>
      </c>
      <c r="B95" s="146">
        <f t="shared" si="50"/>
        <v>1</v>
      </c>
      <c r="C95" s="193" t="s">
        <v>298</v>
      </c>
      <c r="D95" s="193" t="s">
        <v>297</v>
      </c>
      <c r="E95" s="194">
        <v>250.3</v>
      </c>
      <c r="F95" s="194">
        <v>254.63333333333333</v>
      </c>
      <c r="G95" s="138">
        <v>27.81</v>
      </c>
      <c r="H95" s="138">
        <v>250.3</v>
      </c>
      <c r="I95" s="138">
        <v>250.3</v>
      </c>
      <c r="J95" s="138">
        <v>500.6</v>
      </c>
      <c r="K95" s="138">
        <v>719.61</v>
      </c>
      <c r="L95" s="138">
        <v>750.9</v>
      </c>
      <c r="M95" s="138">
        <v>750.9</v>
      </c>
      <c r="N95" s="138">
        <v>750.9</v>
      </c>
      <c r="O95" s="138">
        <v>500.6</v>
      </c>
      <c r="P95" s="138">
        <v>111.24</v>
      </c>
      <c r="Q95" s="138">
        <v>0</v>
      </c>
      <c r="R95" s="138">
        <v>0</v>
      </c>
      <c r="S95" s="139">
        <f t="shared" si="56"/>
        <v>4613.1600000000008</v>
      </c>
      <c r="T95" s="132"/>
      <c r="U95" s="138">
        <f t="shared" si="57"/>
        <v>0.11110667199360766</v>
      </c>
      <c r="V95" s="138">
        <f t="shared" si="57"/>
        <v>1</v>
      </c>
      <c r="W95" s="138">
        <f t="shared" si="57"/>
        <v>1</v>
      </c>
      <c r="X95" s="138">
        <f t="shared" si="57"/>
        <v>2</v>
      </c>
      <c r="Y95" s="138">
        <f t="shared" si="57"/>
        <v>2.8749900119856173</v>
      </c>
      <c r="Z95" s="138">
        <f t="shared" si="57"/>
        <v>2.9999999999999996</v>
      </c>
      <c r="AA95" s="138">
        <f t="shared" si="57"/>
        <v>2.9999999999999996</v>
      </c>
      <c r="AB95" s="138">
        <f t="shared" si="57"/>
        <v>2.9999999999999996</v>
      </c>
      <c r="AC95" s="138">
        <f t="shared" si="57"/>
        <v>2</v>
      </c>
      <c r="AD95" s="138">
        <f t="shared" si="57"/>
        <v>0.44442668797443063</v>
      </c>
      <c r="AE95" s="138">
        <f t="shared" si="58"/>
        <v>0</v>
      </c>
      <c r="AF95" s="138">
        <f t="shared" si="58"/>
        <v>0</v>
      </c>
      <c r="AG95" s="138">
        <f t="shared" si="59"/>
        <v>1.5358769476628049</v>
      </c>
      <c r="AH95" s="195">
        <f t="shared" si="60"/>
        <v>1.5358769476628049</v>
      </c>
      <c r="AI95" s="138">
        <f t="shared" si="61"/>
        <v>18.430523371953658</v>
      </c>
      <c r="AJ95" s="132"/>
      <c r="AK95" s="196">
        <f t="shared" si="68"/>
        <v>3.6862908984932665</v>
      </c>
      <c r="AL95" s="198">
        <f t="shared" si="62"/>
        <v>67.940270560500196</v>
      </c>
      <c r="AM95" s="197"/>
      <c r="AN95" s="196">
        <f t="shared" si="69"/>
        <v>258.31962423182659</v>
      </c>
      <c r="AO95" s="198">
        <f t="shared" si="63"/>
        <v>4760.9658718389665</v>
      </c>
      <c r="AP95" s="199">
        <f t="shared" si="64"/>
        <v>3.18</v>
      </c>
      <c r="AQ95" s="200">
        <f t="shared" si="65"/>
        <v>58.609064322812635</v>
      </c>
      <c r="AR95" s="132"/>
      <c r="AS95" s="201">
        <f t="shared" si="66"/>
        <v>257.81333333333333</v>
      </c>
      <c r="AT95" s="202">
        <f t="shared" si="67"/>
        <v>4751.6346656012793</v>
      </c>
      <c r="AU95" s="132"/>
      <c r="AV95" s="132"/>
      <c r="AW95" s="132"/>
      <c r="AX95" s="132"/>
      <c r="AY95" s="132"/>
      <c r="AZ95" s="246"/>
    </row>
    <row r="96" spans="1:52" s="129" customFormat="1" ht="12" customHeight="1">
      <c r="A96" s="146" t="str">
        <f t="shared" si="55"/>
        <v>Grays Harbor WUTCCommercialFL001.5Y2W001</v>
      </c>
      <c r="B96" s="146">
        <f t="shared" si="50"/>
        <v>1</v>
      </c>
      <c r="C96" s="193" t="s">
        <v>296</v>
      </c>
      <c r="D96" s="193" t="s">
        <v>297</v>
      </c>
      <c r="E96" s="194">
        <v>250.3</v>
      </c>
      <c r="F96" s="194">
        <v>254.63333333333333</v>
      </c>
      <c r="G96" s="138">
        <v>250.3</v>
      </c>
      <c r="H96" s="138">
        <v>250.3</v>
      </c>
      <c r="I96" s="138">
        <v>250.3</v>
      </c>
      <c r="J96" s="138">
        <v>250.3</v>
      </c>
      <c r="K96" s="138">
        <v>375.45</v>
      </c>
      <c r="L96" s="138">
        <v>500.6</v>
      </c>
      <c r="M96" s="138">
        <v>500.6</v>
      </c>
      <c r="N96" s="138">
        <v>500.6</v>
      </c>
      <c r="O96" s="138">
        <v>250.3</v>
      </c>
      <c r="P96" s="138">
        <v>250.3</v>
      </c>
      <c r="Q96" s="138">
        <v>254.63</v>
      </c>
      <c r="R96" s="138">
        <v>254.63</v>
      </c>
      <c r="S96" s="139">
        <f t="shared" si="56"/>
        <v>3888.3100000000004</v>
      </c>
      <c r="T96" s="132"/>
      <c r="U96" s="138">
        <f t="shared" si="57"/>
        <v>1</v>
      </c>
      <c r="V96" s="138">
        <f t="shared" si="57"/>
        <v>1</v>
      </c>
      <c r="W96" s="138">
        <f t="shared" si="57"/>
        <v>1</v>
      </c>
      <c r="X96" s="138">
        <f t="shared" si="57"/>
        <v>1</v>
      </c>
      <c r="Y96" s="138">
        <f t="shared" si="57"/>
        <v>1.4999999999999998</v>
      </c>
      <c r="Z96" s="138">
        <f t="shared" si="57"/>
        <v>2</v>
      </c>
      <c r="AA96" s="138">
        <f t="shared" si="57"/>
        <v>2</v>
      </c>
      <c r="AB96" s="138">
        <f t="shared" si="57"/>
        <v>2</v>
      </c>
      <c r="AC96" s="138">
        <f t="shared" si="57"/>
        <v>1</v>
      </c>
      <c r="AD96" s="138">
        <f t="shared" si="57"/>
        <v>1</v>
      </c>
      <c r="AE96" s="138">
        <f t="shared" si="58"/>
        <v>0.9999869092813195</v>
      </c>
      <c r="AF96" s="138">
        <f t="shared" si="58"/>
        <v>0.9999869092813195</v>
      </c>
      <c r="AG96" s="138">
        <f t="shared" si="59"/>
        <v>1.2916644848802201</v>
      </c>
      <c r="AH96" s="195">
        <f t="shared" si="60"/>
        <v>1.2916644848802201</v>
      </c>
      <c r="AI96" s="138">
        <f t="shared" si="61"/>
        <v>15.499973818562641</v>
      </c>
      <c r="AJ96" s="132"/>
      <c r="AK96" s="196">
        <f t="shared" si="68"/>
        <v>3.6862908984932665</v>
      </c>
      <c r="AL96" s="198">
        <f t="shared" si="62"/>
        <v>57.137412414251386</v>
      </c>
      <c r="AM96" s="197"/>
      <c r="AN96" s="196">
        <f t="shared" si="69"/>
        <v>258.31962423182659</v>
      </c>
      <c r="AO96" s="198">
        <f t="shared" si="63"/>
        <v>4003.9474124142516</v>
      </c>
      <c r="AP96" s="199">
        <f t="shared" si="64"/>
        <v>3.18</v>
      </c>
      <c r="AQ96" s="200">
        <f t="shared" si="65"/>
        <v>49.289916743029202</v>
      </c>
      <c r="AR96" s="132"/>
      <c r="AS96" s="201">
        <f t="shared" si="66"/>
        <v>257.81333333333333</v>
      </c>
      <c r="AT96" s="202">
        <f t="shared" si="67"/>
        <v>3996.0999167430296</v>
      </c>
      <c r="AU96" s="132"/>
      <c r="AV96" s="132"/>
      <c r="AW96" s="132"/>
      <c r="AX96" s="132"/>
      <c r="AY96" s="132"/>
      <c r="AZ96" s="246"/>
    </row>
    <row r="97" spans="1:52" s="129" customFormat="1" ht="12" customHeight="1">
      <c r="A97" s="146" t="str">
        <f t="shared" si="55"/>
        <v>Grays Harbor WUTCCommercialFL001.5YEO001</v>
      </c>
      <c r="B97" s="146">
        <f t="shared" si="50"/>
        <v>1</v>
      </c>
      <c r="C97" s="193" t="s">
        <v>299</v>
      </c>
      <c r="D97" s="193" t="s">
        <v>300</v>
      </c>
      <c r="E97" s="194">
        <v>78.12</v>
      </c>
      <c r="F97" s="194">
        <v>79.198333333333323</v>
      </c>
      <c r="G97" s="138">
        <v>1874.88</v>
      </c>
      <c r="H97" s="138">
        <v>1953</v>
      </c>
      <c r="I97" s="138">
        <v>1835.82</v>
      </c>
      <c r="J97" s="138">
        <v>1874.88</v>
      </c>
      <c r="K97" s="138">
        <v>1796.76</v>
      </c>
      <c r="L97" s="138">
        <v>1640.52</v>
      </c>
      <c r="M97" s="138">
        <v>1796.76</v>
      </c>
      <c r="N97" s="138">
        <v>1796.76</v>
      </c>
      <c r="O97" s="138">
        <v>1835.82</v>
      </c>
      <c r="P97" s="138">
        <v>1710.83</v>
      </c>
      <c r="Q97" s="138">
        <v>1842.4299999999998</v>
      </c>
      <c r="R97" s="138">
        <v>1900.8</v>
      </c>
      <c r="S97" s="139">
        <f t="shared" si="56"/>
        <v>21859.26</v>
      </c>
      <c r="T97" s="132"/>
      <c r="U97" s="138">
        <f t="shared" si="57"/>
        <v>24</v>
      </c>
      <c r="V97" s="138">
        <f t="shared" si="57"/>
        <v>25</v>
      </c>
      <c r="W97" s="138">
        <f t="shared" si="57"/>
        <v>23.499999999999996</v>
      </c>
      <c r="X97" s="138">
        <f t="shared" si="57"/>
        <v>24</v>
      </c>
      <c r="Y97" s="138">
        <f t="shared" si="57"/>
        <v>23</v>
      </c>
      <c r="Z97" s="138">
        <f t="shared" si="57"/>
        <v>21</v>
      </c>
      <c r="AA97" s="138">
        <f t="shared" si="57"/>
        <v>23</v>
      </c>
      <c r="AB97" s="138">
        <f t="shared" si="57"/>
        <v>23</v>
      </c>
      <c r="AC97" s="138">
        <f t="shared" si="57"/>
        <v>23.499999999999996</v>
      </c>
      <c r="AD97" s="138">
        <f t="shared" si="57"/>
        <v>21.900025601638504</v>
      </c>
      <c r="AE97" s="138">
        <f t="shared" si="58"/>
        <v>23.263494602159138</v>
      </c>
      <c r="AF97" s="138">
        <f t="shared" si="58"/>
        <v>24.000505061133445</v>
      </c>
      <c r="AG97" s="138">
        <f t="shared" si="59"/>
        <v>23.26366877207759</v>
      </c>
      <c r="AH97" s="195">
        <f t="shared" si="60"/>
        <v>23.26366877207759</v>
      </c>
      <c r="AI97" s="138">
        <f t="shared" si="61"/>
        <v>279.16402526493107</v>
      </c>
      <c r="AJ97" s="132"/>
      <c r="AK97" s="196">
        <f t="shared" si="68"/>
        <v>1.1465431156270554</v>
      </c>
      <c r="AL97" s="198">
        <f t="shared" si="62"/>
        <v>320.07359129824408</v>
      </c>
      <c r="AM97" s="197"/>
      <c r="AN97" s="196">
        <f t="shared" si="69"/>
        <v>80.344876448960378</v>
      </c>
      <c r="AO97" s="198">
        <f t="shared" si="63"/>
        <v>22429.399118905341</v>
      </c>
      <c r="AP97" s="199">
        <f t="shared" si="64"/>
        <v>0.99</v>
      </c>
      <c r="AQ97" s="200">
        <f t="shared" si="65"/>
        <v>276.37238501228177</v>
      </c>
      <c r="AR97" s="132"/>
      <c r="AS97" s="201">
        <f t="shared" si="66"/>
        <v>80.188333333333318</v>
      </c>
      <c r="AT97" s="202">
        <f t="shared" si="67"/>
        <v>22385.697912619376</v>
      </c>
      <c r="AU97" s="132"/>
      <c r="AV97" s="132"/>
      <c r="AW97" s="132"/>
      <c r="AX97" s="132"/>
      <c r="AY97" s="132"/>
      <c r="AZ97" s="246"/>
    </row>
    <row r="98" spans="1:52" s="129" customFormat="1" ht="12" customHeight="1">
      <c r="A98" s="146" t="str">
        <f t="shared" si="55"/>
        <v>Grays Harbor WUTCCommercialRL001.5YEO001</v>
      </c>
      <c r="B98" s="146">
        <f t="shared" si="50"/>
        <v>1</v>
      </c>
      <c r="C98" s="193" t="s">
        <v>301</v>
      </c>
      <c r="D98" s="193" t="s">
        <v>300</v>
      </c>
      <c r="E98" s="194">
        <v>78.12</v>
      </c>
      <c r="F98" s="194">
        <v>79.198333333333323</v>
      </c>
      <c r="G98" s="138">
        <v>781.2</v>
      </c>
      <c r="H98" s="138">
        <v>781.2</v>
      </c>
      <c r="I98" s="138">
        <v>794.22</v>
      </c>
      <c r="J98" s="138">
        <v>781.2</v>
      </c>
      <c r="K98" s="138">
        <v>783.72</v>
      </c>
      <c r="L98" s="138">
        <v>872.34</v>
      </c>
      <c r="M98" s="138">
        <v>898.38</v>
      </c>
      <c r="N98" s="138">
        <v>898.38</v>
      </c>
      <c r="O98" s="138">
        <v>937.44</v>
      </c>
      <c r="P98" s="138">
        <v>937.44</v>
      </c>
      <c r="Q98" s="138">
        <v>950.4</v>
      </c>
      <c r="R98" s="138">
        <v>950.4</v>
      </c>
      <c r="S98" s="139">
        <f t="shared" si="56"/>
        <v>10366.32</v>
      </c>
      <c r="T98" s="132"/>
      <c r="U98" s="138">
        <f t="shared" si="57"/>
        <v>10</v>
      </c>
      <c r="V98" s="138">
        <f t="shared" si="57"/>
        <v>10</v>
      </c>
      <c r="W98" s="138">
        <f t="shared" si="57"/>
        <v>10.166666666666666</v>
      </c>
      <c r="X98" s="138">
        <f t="shared" si="57"/>
        <v>10</v>
      </c>
      <c r="Y98" s="138">
        <f t="shared" si="57"/>
        <v>10.032258064516128</v>
      </c>
      <c r="Z98" s="138">
        <f t="shared" si="57"/>
        <v>11.166666666666666</v>
      </c>
      <c r="AA98" s="138">
        <f t="shared" si="57"/>
        <v>11.5</v>
      </c>
      <c r="AB98" s="138">
        <f t="shared" si="57"/>
        <v>11.5</v>
      </c>
      <c r="AC98" s="138">
        <f t="shared" si="57"/>
        <v>12</v>
      </c>
      <c r="AD98" s="138">
        <f t="shared" si="57"/>
        <v>12</v>
      </c>
      <c r="AE98" s="138">
        <f t="shared" si="58"/>
        <v>12.000252530566723</v>
      </c>
      <c r="AF98" s="138">
        <f t="shared" si="58"/>
        <v>12.000252530566723</v>
      </c>
      <c r="AG98" s="138">
        <f t="shared" si="59"/>
        <v>11.030508038248575</v>
      </c>
      <c r="AH98" s="195">
        <f t="shared" si="60"/>
        <v>11.030508038248575</v>
      </c>
      <c r="AI98" s="138">
        <f t="shared" si="61"/>
        <v>132.3660964589829</v>
      </c>
      <c r="AJ98" s="132"/>
      <c r="AK98" s="196">
        <f t="shared" si="68"/>
        <v>1.1465431156270554</v>
      </c>
      <c r="AL98" s="198">
        <f t="shared" si="62"/>
        <v>151.76343663747357</v>
      </c>
      <c r="AM98" s="197"/>
      <c r="AN98" s="196">
        <f t="shared" si="69"/>
        <v>80.344876448960378</v>
      </c>
      <c r="AO98" s="198">
        <f t="shared" si="63"/>
        <v>10634.937666028152</v>
      </c>
      <c r="AP98" s="199">
        <f t="shared" si="64"/>
        <v>0.99</v>
      </c>
      <c r="AQ98" s="200">
        <f t="shared" si="65"/>
        <v>131.04243549439306</v>
      </c>
      <c r="AR98" s="132"/>
      <c r="AS98" s="201">
        <f t="shared" si="66"/>
        <v>80.188333333333318</v>
      </c>
      <c r="AT98" s="202">
        <f t="shared" si="67"/>
        <v>10614.216664885071</v>
      </c>
      <c r="AU98" s="132"/>
      <c r="AV98" s="132"/>
      <c r="AW98" s="132"/>
      <c r="AX98" s="132"/>
      <c r="AY98" s="132"/>
      <c r="AZ98" s="246"/>
    </row>
    <row r="99" spans="1:52" s="129" customFormat="1" ht="12" customHeight="1">
      <c r="A99" s="146" t="str">
        <f t="shared" si="55"/>
        <v>Grays Harbor WUTCCommercialRL001.5Y1M001</v>
      </c>
      <c r="B99" s="146">
        <f t="shared" si="50"/>
        <v>1</v>
      </c>
      <c r="C99" s="193" t="s">
        <v>292</v>
      </c>
      <c r="D99" s="193" t="s">
        <v>458</v>
      </c>
      <c r="E99" s="194">
        <v>47.21</v>
      </c>
      <c r="F99" s="194">
        <v>47.71</v>
      </c>
      <c r="G99" s="138">
        <v>26.49</v>
      </c>
      <c r="H99" s="138">
        <v>26.49</v>
      </c>
      <c r="I99" s="138">
        <v>26.49</v>
      </c>
      <c r="J99" s="138">
        <v>26.49</v>
      </c>
      <c r="K99" s="138">
        <v>26.49</v>
      </c>
      <c r="L99" s="138">
        <v>26.49</v>
      </c>
      <c r="M99" s="138">
        <v>26.49</v>
      </c>
      <c r="N99" s="138">
        <v>26.49</v>
      </c>
      <c r="O99" s="138">
        <v>26.49</v>
      </c>
      <c r="P99" s="138">
        <v>26.49</v>
      </c>
      <c r="Q99" s="138">
        <v>26.49</v>
      </c>
      <c r="R99" s="138">
        <v>26.49</v>
      </c>
      <c r="S99" s="139">
        <f t="shared" si="56"/>
        <v>317.88000000000005</v>
      </c>
      <c r="T99" s="132"/>
      <c r="U99" s="138">
        <f t="shared" si="57"/>
        <v>0.56110993433594569</v>
      </c>
      <c r="V99" s="138">
        <f t="shared" si="57"/>
        <v>0.56110993433594569</v>
      </c>
      <c r="W99" s="138">
        <f t="shared" si="57"/>
        <v>0.56110993433594569</v>
      </c>
      <c r="X99" s="138">
        <f t="shared" si="57"/>
        <v>0.56110993433594569</v>
      </c>
      <c r="Y99" s="138">
        <f t="shared" si="57"/>
        <v>0.56110993433594569</v>
      </c>
      <c r="Z99" s="138">
        <f t="shared" si="57"/>
        <v>0.56110993433594569</v>
      </c>
      <c r="AA99" s="138">
        <f t="shared" si="57"/>
        <v>0.56110993433594569</v>
      </c>
      <c r="AB99" s="138">
        <f t="shared" si="57"/>
        <v>0.56110993433594569</v>
      </c>
      <c r="AC99" s="138">
        <f t="shared" si="57"/>
        <v>0.56110993433594569</v>
      </c>
      <c r="AD99" s="138">
        <f t="shared" si="57"/>
        <v>0.56110993433594569</v>
      </c>
      <c r="AE99" s="138">
        <f t="shared" si="58"/>
        <v>0.55522951163278134</v>
      </c>
      <c r="AF99" s="138">
        <f t="shared" si="58"/>
        <v>0.55522951163278134</v>
      </c>
      <c r="AG99" s="138">
        <f t="shared" si="59"/>
        <v>0.5601298638854183</v>
      </c>
      <c r="AH99" s="195">
        <f t="shared" si="60"/>
        <v>0.5601298638854183</v>
      </c>
      <c r="AI99" s="138">
        <f t="shared" si="61"/>
        <v>6.7215583666250192</v>
      </c>
      <c r="AJ99" s="132"/>
      <c r="AK99" s="196">
        <f t="shared" si="68"/>
        <v>0.69069094947158172</v>
      </c>
      <c r="AL99" s="198">
        <f t="shared" si="62"/>
        <v>4.6425195301728888</v>
      </c>
      <c r="AM99" s="197"/>
      <c r="AN99" s="196">
        <f t="shared" si="69"/>
        <v>48.400690949471581</v>
      </c>
      <c r="AO99" s="198">
        <f t="shared" si="63"/>
        <v>325.32806920185254</v>
      </c>
      <c r="AP99" s="199">
        <f t="shared" si="64"/>
        <v>0.6</v>
      </c>
      <c r="AQ99" s="200">
        <f t="shared" si="65"/>
        <v>4.0329350199750111</v>
      </c>
      <c r="AR99" s="132"/>
      <c r="AS99" s="201">
        <f t="shared" si="66"/>
        <v>48.31</v>
      </c>
      <c r="AT99" s="202">
        <f t="shared" si="67"/>
        <v>324.71848469165468</v>
      </c>
      <c r="AU99" s="132"/>
      <c r="AV99" s="132"/>
      <c r="AW99" s="132"/>
      <c r="AX99" s="132"/>
      <c r="AY99" s="132"/>
      <c r="AZ99" s="246"/>
    </row>
    <row r="100" spans="1:52" s="129" customFormat="1" ht="12" customHeight="1">
      <c r="A100" s="146" t="str">
        <f t="shared" si="55"/>
        <v>Grays Harbor WUTCCommercialRL001.5YXX001TEMPC</v>
      </c>
      <c r="B100" s="146">
        <f t="shared" si="50"/>
        <v>1</v>
      </c>
      <c r="C100" s="193" t="s">
        <v>367</v>
      </c>
      <c r="D100" s="193" t="s">
        <v>368</v>
      </c>
      <c r="E100" s="194">
        <v>41.57</v>
      </c>
      <c r="F100" s="194">
        <v>42.07</v>
      </c>
      <c r="G100" s="138">
        <v>0</v>
      </c>
      <c r="H100" s="138">
        <v>0</v>
      </c>
      <c r="I100" s="138">
        <v>45.14</v>
      </c>
      <c r="J100" s="138">
        <v>-3.57</v>
      </c>
      <c r="K100" s="138">
        <v>207.85</v>
      </c>
      <c r="L100" s="138">
        <v>356.26</v>
      </c>
      <c r="M100" s="138">
        <v>124.71</v>
      </c>
      <c r="N100" s="138">
        <v>166.28</v>
      </c>
      <c r="O100" s="138">
        <v>0</v>
      </c>
      <c r="P100" s="138">
        <v>0</v>
      </c>
      <c r="Q100" s="138">
        <v>0</v>
      </c>
      <c r="R100" s="138">
        <v>0</v>
      </c>
      <c r="S100" s="139">
        <f t="shared" si="56"/>
        <v>896.67</v>
      </c>
      <c r="T100" s="132"/>
      <c r="U100" s="138">
        <f t="shared" si="57"/>
        <v>0</v>
      </c>
      <c r="V100" s="138">
        <f t="shared" si="57"/>
        <v>0</v>
      </c>
      <c r="W100" s="138">
        <f t="shared" si="57"/>
        <v>1.0858792398364205</v>
      </c>
      <c r="X100" s="138">
        <f t="shared" si="57"/>
        <v>-8.5879239836420485E-2</v>
      </c>
      <c r="Y100" s="138">
        <f t="shared" si="57"/>
        <v>5</v>
      </c>
      <c r="Z100" s="138">
        <f t="shared" si="57"/>
        <v>8.5701226846283376</v>
      </c>
      <c r="AA100" s="138">
        <f t="shared" si="57"/>
        <v>3</v>
      </c>
      <c r="AB100" s="138">
        <f t="shared" si="57"/>
        <v>4</v>
      </c>
      <c r="AC100" s="138">
        <f t="shared" si="57"/>
        <v>0</v>
      </c>
      <c r="AD100" s="138">
        <f t="shared" si="57"/>
        <v>0</v>
      </c>
      <c r="AE100" s="138">
        <f t="shared" si="58"/>
        <v>0</v>
      </c>
      <c r="AF100" s="138">
        <f t="shared" si="58"/>
        <v>0</v>
      </c>
      <c r="AG100" s="138">
        <f t="shared" si="59"/>
        <v>1.7975102237190281</v>
      </c>
      <c r="AH100" s="195">
        <f t="shared" si="60"/>
        <v>1.7975102237190281</v>
      </c>
      <c r="AI100" s="138">
        <f t="shared" si="61"/>
        <v>21.570122684628338</v>
      </c>
      <c r="AJ100" s="132"/>
      <c r="AK100" s="196">
        <f t="shared" si="68"/>
        <v>0.60904146393354519</v>
      </c>
      <c r="AL100" s="198">
        <f t="shared" si="62"/>
        <v>13.137099097072214</v>
      </c>
      <c r="AM100" s="197"/>
      <c r="AN100" s="196">
        <f t="shared" si="69"/>
        <v>42.679041463933544</v>
      </c>
      <c r="AO100" s="198">
        <f t="shared" si="63"/>
        <v>920.59216043938636</v>
      </c>
      <c r="AP100" s="199">
        <f t="shared" si="64"/>
        <v>0.53</v>
      </c>
      <c r="AQ100" s="200">
        <f t="shared" si="65"/>
        <v>11.43216502285302</v>
      </c>
      <c r="AR100" s="132"/>
      <c r="AS100" s="201">
        <f t="shared" si="66"/>
        <v>42.6</v>
      </c>
      <c r="AT100" s="202">
        <f t="shared" si="67"/>
        <v>918.88722636516718</v>
      </c>
      <c r="AU100" s="132"/>
      <c r="AV100" s="132"/>
      <c r="AW100" s="132"/>
      <c r="AX100" s="132"/>
      <c r="AY100" s="132"/>
      <c r="AZ100" s="246"/>
    </row>
    <row r="101" spans="1:52" s="129" customFormat="1" ht="12" customHeight="1">
      <c r="A101" s="146" t="str">
        <f t="shared" si="55"/>
        <v>Grays Harbor WUTCCommercialFL002.0Y1W001</v>
      </c>
      <c r="B101" s="146">
        <f t="shared" si="50"/>
        <v>1</v>
      </c>
      <c r="C101" s="193" t="s">
        <v>302</v>
      </c>
      <c r="D101" s="193" t="s">
        <v>303</v>
      </c>
      <c r="E101" s="194">
        <v>175.61</v>
      </c>
      <c r="F101" s="194">
        <v>178.42666666666665</v>
      </c>
      <c r="G101" s="138">
        <v>7270.25</v>
      </c>
      <c r="H101" s="138">
        <v>7375.62</v>
      </c>
      <c r="I101" s="138">
        <v>7375.62</v>
      </c>
      <c r="J101" s="138">
        <v>7375.62</v>
      </c>
      <c r="K101" s="138">
        <v>7375.62</v>
      </c>
      <c r="L101" s="138">
        <v>7112.21</v>
      </c>
      <c r="M101" s="138">
        <v>7024.4</v>
      </c>
      <c r="N101" s="138">
        <v>6892.69</v>
      </c>
      <c r="O101" s="138">
        <v>7024.4</v>
      </c>
      <c r="P101" s="138">
        <v>7024.4</v>
      </c>
      <c r="Q101" s="138">
        <v>6967.7</v>
      </c>
      <c r="R101" s="138">
        <v>7092.59</v>
      </c>
      <c r="S101" s="139">
        <f t="shared" si="56"/>
        <v>85911.12</v>
      </c>
      <c r="T101" s="132"/>
      <c r="U101" s="138">
        <f t="shared" si="57"/>
        <v>41.399977222253852</v>
      </c>
      <c r="V101" s="138">
        <f t="shared" si="57"/>
        <v>41.999999999999993</v>
      </c>
      <c r="W101" s="138">
        <f t="shared" si="57"/>
        <v>41.999999999999993</v>
      </c>
      <c r="X101" s="138">
        <f t="shared" si="57"/>
        <v>41.999999999999993</v>
      </c>
      <c r="Y101" s="138">
        <f t="shared" si="57"/>
        <v>41.999999999999993</v>
      </c>
      <c r="Z101" s="138">
        <f t="shared" si="57"/>
        <v>40.500028472182677</v>
      </c>
      <c r="AA101" s="138">
        <f t="shared" si="57"/>
        <v>39.999999999999993</v>
      </c>
      <c r="AB101" s="138">
        <f t="shared" si="57"/>
        <v>39.249985763908654</v>
      </c>
      <c r="AC101" s="138">
        <f t="shared" si="57"/>
        <v>39.999999999999993</v>
      </c>
      <c r="AD101" s="138">
        <f t="shared" si="57"/>
        <v>39.999999999999993</v>
      </c>
      <c r="AE101" s="138">
        <f t="shared" si="58"/>
        <v>39.050777163353764</v>
      </c>
      <c r="AF101" s="138">
        <f t="shared" si="58"/>
        <v>39.750728590644151</v>
      </c>
      <c r="AG101" s="138">
        <f t="shared" si="59"/>
        <v>40.662624767695256</v>
      </c>
      <c r="AH101" s="195">
        <f t="shared" si="60"/>
        <v>40.662624767695256</v>
      </c>
      <c r="AI101" s="138">
        <f t="shared" si="61"/>
        <v>487.9514972123431</v>
      </c>
      <c r="AJ101" s="132"/>
      <c r="AK101" s="196">
        <f t="shared" si="68"/>
        <v>2.5830577197872437</v>
      </c>
      <c r="AL101" s="198">
        <f t="shared" si="62"/>
        <v>1260.4068817560865</v>
      </c>
      <c r="AM101" s="197"/>
      <c r="AN101" s="196">
        <f t="shared" si="69"/>
        <v>181.00972438645388</v>
      </c>
      <c r="AO101" s="198">
        <f t="shared" si="63"/>
        <v>88323.966024363748</v>
      </c>
      <c r="AP101" s="199">
        <f t="shared" si="64"/>
        <v>2.23</v>
      </c>
      <c r="AQ101" s="200">
        <f t="shared" si="65"/>
        <v>1088.1318387835252</v>
      </c>
      <c r="AR101" s="132"/>
      <c r="AS101" s="201">
        <f t="shared" si="66"/>
        <v>180.65666666666664</v>
      </c>
      <c r="AT101" s="202">
        <f t="shared" si="67"/>
        <v>88151.690981391177</v>
      </c>
      <c r="AU101" s="132"/>
      <c r="AV101" s="132"/>
      <c r="AW101" s="132"/>
      <c r="AX101" s="132"/>
      <c r="AY101" s="132"/>
      <c r="AZ101" s="246"/>
    </row>
    <row r="102" spans="1:52" s="129" customFormat="1" ht="12" customHeight="1">
      <c r="A102" s="146" t="str">
        <f t="shared" si="55"/>
        <v>Grays Harbor WUTCCommercialRL002.0Y1W001</v>
      </c>
      <c r="B102" s="146">
        <f t="shared" si="50"/>
        <v>1</v>
      </c>
      <c r="C102" s="193" t="s">
        <v>304</v>
      </c>
      <c r="D102" s="193" t="s">
        <v>303</v>
      </c>
      <c r="E102" s="194">
        <v>175.61</v>
      </c>
      <c r="F102" s="194">
        <v>178.42666666666665</v>
      </c>
      <c r="G102" s="138">
        <v>2282.9299999999998</v>
      </c>
      <c r="H102" s="138">
        <v>2239.0300000000002</v>
      </c>
      <c r="I102" s="138">
        <v>2568.31</v>
      </c>
      <c r="J102" s="138">
        <v>2844.88</v>
      </c>
      <c r="K102" s="138">
        <v>2897.57</v>
      </c>
      <c r="L102" s="138">
        <v>2853.66</v>
      </c>
      <c r="M102" s="138">
        <v>3880.96</v>
      </c>
      <c r="N102" s="138">
        <v>3292.69</v>
      </c>
      <c r="O102" s="138">
        <v>3117.08</v>
      </c>
      <c r="P102" s="138">
        <v>2950.24</v>
      </c>
      <c r="Q102" s="138">
        <v>2854.88</v>
      </c>
      <c r="R102" s="138">
        <v>2854.88</v>
      </c>
      <c r="S102" s="139">
        <f t="shared" si="56"/>
        <v>34637.11</v>
      </c>
      <c r="T102" s="132"/>
      <c r="U102" s="138">
        <f t="shared" si="57"/>
        <v>12.999999999999998</v>
      </c>
      <c r="V102" s="138">
        <f t="shared" si="57"/>
        <v>12.750014236091339</v>
      </c>
      <c r="W102" s="138">
        <f t="shared" si="57"/>
        <v>14.625078298502363</v>
      </c>
      <c r="X102" s="138">
        <f t="shared" si="57"/>
        <v>16.19998861112693</v>
      </c>
      <c r="Y102" s="138">
        <f t="shared" si="57"/>
        <v>16.500028472182677</v>
      </c>
      <c r="Z102" s="138">
        <f t="shared" si="57"/>
        <v>16.249985763908658</v>
      </c>
      <c r="AA102" s="138">
        <f t="shared" si="57"/>
        <v>22.099880416832754</v>
      </c>
      <c r="AB102" s="138">
        <f t="shared" si="57"/>
        <v>18.750014236091339</v>
      </c>
      <c r="AC102" s="138">
        <f t="shared" si="57"/>
        <v>17.750014236091339</v>
      </c>
      <c r="AD102" s="138">
        <f t="shared" si="57"/>
        <v>16.799954444507712</v>
      </c>
      <c r="AE102" s="138">
        <f t="shared" si="58"/>
        <v>16.000298908982217</v>
      </c>
      <c r="AF102" s="138">
        <f t="shared" si="58"/>
        <v>16.000298908982217</v>
      </c>
      <c r="AG102" s="138">
        <f t="shared" si="59"/>
        <v>16.393796377774962</v>
      </c>
      <c r="AH102" s="195">
        <f t="shared" si="60"/>
        <v>16.393796377774962</v>
      </c>
      <c r="AI102" s="138">
        <f t="shared" si="61"/>
        <v>196.72555653329954</v>
      </c>
      <c r="AJ102" s="132"/>
      <c r="AK102" s="196">
        <f t="shared" si="68"/>
        <v>2.5830577197872437</v>
      </c>
      <c r="AL102" s="198">
        <f t="shared" si="62"/>
        <v>508.1534674827812</v>
      </c>
      <c r="AM102" s="197"/>
      <c r="AN102" s="196">
        <f t="shared" si="69"/>
        <v>181.00972438645388</v>
      </c>
      <c r="AO102" s="198">
        <f t="shared" si="63"/>
        <v>35609.238767864299</v>
      </c>
      <c r="AP102" s="199">
        <f t="shared" si="64"/>
        <v>2.23</v>
      </c>
      <c r="AQ102" s="200">
        <f t="shared" si="65"/>
        <v>438.69799106925797</v>
      </c>
      <c r="AR102" s="132"/>
      <c r="AS102" s="201">
        <f t="shared" si="66"/>
        <v>180.65666666666664</v>
      </c>
      <c r="AT102" s="202">
        <f t="shared" si="67"/>
        <v>35539.783291450774</v>
      </c>
      <c r="AU102" s="132"/>
      <c r="AV102" s="132"/>
      <c r="AW102" s="132"/>
      <c r="AX102" s="132"/>
      <c r="AY102" s="132"/>
      <c r="AZ102" s="246"/>
    </row>
    <row r="103" spans="1:52" s="129" customFormat="1" ht="12" customHeight="1">
      <c r="A103" s="146" t="str">
        <f t="shared" si="55"/>
        <v>Grays Harbor WUTCCommercialRL002.0Y2W001</v>
      </c>
      <c r="B103" s="146">
        <f t="shared" si="50"/>
        <v>1</v>
      </c>
      <c r="C103" s="193" t="s">
        <v>307</v>
      </c>
      <c r="D103" s="193" t="s">
        <v>306</v>
      </c>
      <c r="E103" s="194">
        <v>329.14</v>
      </c>
      <c r="F103" s="194">
        <v>334.77333333333331</v>
      </c>
      <c r="G103" s="138">
        <v>658.28</v>
      </c>
      <c r="H103" s="138">
        <v>658.28</v>
      </c>
      <c r="I103" s="138">
        <v>950.85</v>
      </c>
      <c r="J103" s="138">
        <v>987.42</v>
      </c>
      <c r="K103" s="138">
        <v>1316.56</v>
      </c>
      <c r="L103" s="138">
        <v>1316.56</v>
      </c>
      <c r="M103" s="138">
        <v>1316.56</v>
      </c>
      <c r="N103" s="138">
        <v>1060.56</v>
      </c>
      <c r="O103" s="138">
        <v>658.28</v>
      </c>
      <c r="P103" s="138">
        <v>658.28</v>
      </c>
      <c r="Q103" s="138">
        <v>669.54</v>
      </c>
      <c r="R103" s="138">
        <v>669.54</v>
      </c>
      <c r="S103" s="139">
        <f t="shared" si="56"/>
        <v>10920.71</v>
      </c>
      <c r="T103" s="132"/>
      <c r="U103" s="138">
        <f t="shared" si="57"/>
        <v>2</v>
      </c>
      <c r="V103" s="138">
        <f t="shared" si="57"/>
        <v>2</v>
      </c>
      <c r="W103" s="138">
        <f t="shared" si="57"/>
        <v>2.8888922646897979</v>
      </c>
      <c r="X103" s="138">
        <f t="shared" si="57"/>
        <v>3</v>
      </c>
      <c r="Y103" s="138">
        <f t="shared" si="57"/>
        <v>4</v>
      </c>
      <c r="Z103" s="138">
        <f t="shared" si="57"/>
        <v>4</v>
      </c>
      <c r="AA103" s="138">
        <f t="shared" si="57"/>
        <v>4</v>
      </c>
      <c r="AB103" s="138">
        <f t="shared" si="57"/>
        <v>3.2222154706204047</v>
      </c>
      <c r="AC103" s="138">
        <f t="shared" si="57"/>
        <v>2</v>
      </c>
      <c r="AD103" s="138">
        <f t="shared" si="57"/>
        <v>2</v>
      </c>
      <c r="AE103" s="138">
        <f t="shared" si="58"/>
        <v>1.9999800860283574</v>
      </c>
      <c r="AF103" s="138">
        <f t="shared" si="58"/>
        <v>1.9999800860283574</v>
      </c>
      <c r="AG103" s="138">
        <f t="shared" si="59"/>
        <v>2.759255658947243</v>
      </c>
      <c r="AH103" s="195">
        <f t="shared" si="60"/>
        <v>2.759255658947243</v>
      </c>
      <c r="AI103" s="138">
        <f t="shared" si="61"/>
        <v>33.111067907366916</v>
      </c>
      <c r="AJ103" s="132"/>
      <c r="AK103" s="196">
        <f t="shared" si="68"/>
        <v>4.8464663898085574</v>
      </c>
      <c r="AL103" s="198">
        <f t="shared" si="62"/>
        <v>160.47167774372252</v>
      </c>
      <c r="AM103" s="197"/>
      <c r="AN103" s="196">
        <f t="shared" si="69"/>
        <v>339.61979972314185</v>
      </c>
      <c r="AO103" s="198">
        <f t="shared" si="63"/>
        <v>11245.174251319302</v>
      </c>
      <c r="AP103" s="199">
        <f t="shared" si="64"/>
        <v>4.1900000000000004</v>
      </c>
      <c r="AQ103" s="200">
        <f t="shared" si="65"/>
        <v>138.73537453186739</v>
      </c>
      <c r="AR103" s="132"/>
      <c r="AS103" s="201">
        <f t="shared" si="66"/>
        <v>338.96333333333331</v>
      </c>
      <c r="AT103" s="202">
        <f t="shared" si="67"/>
        <v>11223.437948107447</v>
      </c>
      <c r="AU103" s="132"/>
      <c r="AV103" s="132"/>
      <c r="AW103" s="132"/>
      <c r="AX103" s="132"/>
      <c r="AY103" s="132"/>
      <c r="AZ103" s="246"/>
    </row>
    <row r="104" spans="1:52" s="129" customFormat="1" ht="12" customHeight="1">
      <c r="A104" s="146" t="str">
        <f t="shared" si="55"/>
        <v>Grays Harbor WUTCCommercialFL002.0Y2W001</v>
      </c>
      <c r="B104" s="146">
        <f t="shared" si="50"/>
        <v>1</v>
      </c>
      <c r="C104" s="193" t="s">
        <v>305</v>
      </c>
      <c r="D104" s="193" t="s">
        <v>306</v>
      </c>
      <c r="E104" s="194">
        <v>329.14</v>
      </c>
      <c r="F104" s="194">
        <v>334.77333333333331</v>
      </c>
      <c r="G104" s="138">
        <v>0</v>
      </c>
      <c r="H104" s="138">
        <v>0</v>
      </c>
      <c r="I104" s="138">
        <v>0</v>
      </c>
      <c r="J104" s="138">
        <v>0</v>
      </c>
      <c r="K104" s="138">
        <v>329.14</v>
      </c>
      <c r="L104" s="138">
        <v>329.14</v>
      </c>
      <c r="M104" s="138">
        <v>182.86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9">
        <f t="shared" si="56"/>
        <v>841.14</v>
      </c>
      <c r="T104" s="132"/>
      <c r="U104" s="138">
        <f t="shared" si="57"/>
        <v>0</v>
      </c>
      <c r="V104" s="138">
        <f t="shared" si="57"/>
        <v>0</v>
      </c>
      <c r="W104" s="138">
        <f t="shared" si="57"/>
        <v>0</v>
      </c>
      <c r="X104" s="138">
        <f t="shared" si="57"/>
        <v>0</v>
      </c>
      <c r="Y104" s="138">
        <f t="shared" si="57"/>
        <v>1</v>
      </c>
      <c r="Z104" s="138">
        <f t="shared" si="57"/>
        <v>1</v>
      </c>
      <c r="AA104" s="138">
        <f t="shared" si="57"/>
        <v>0.55556905875919071</v>
      </c>
      <c r="AB104" s="138">
        <f t="shared" si="57"/>
        <v>0</v>
      </c>
      <c r="AC104" s="138">
        <f t="shared" si="57"/>
        <v>0</v>
      </c>
      <c r="AD104" s="138">
        <f t="shared" si="57"/>
        <v>0</v>
      </c>
      <c r="AE104" s="138">
        <f t="shared" si="58"/>
        <v>0</v>
      </c>
      <c r="AF104" s="138">
        <f t="shared" si="58"/>
        <v>0</v>
      </c>
      <c r="AG104" s="138">
        <f t="shared" si="59"/>
        <v>0.21296408822993254</v>
      </c>
      <c r="AH104" s="195">
        <f t="shared" si="60"/>
        <v>0.21296408822993254</v>
      </c>
      <c r="AI104" s="138">
        <f t="shared" si="61"/>
        <v>2.5555690587591906</v>
      </c>
      <c r="AJ104" s="132"/>
      <c r="AK104" s="196">
        <f t="shared" si="68"/>
        <v>4.8464663898085574</v>
      </c>
      <c r="AL104" s="198">
        <f t="shared" si="62"/>
        <v>12.385479550111107</v>
      </c>
      <c r="AM104" s="197"/>
      <c r="AN104" s="196">
        <f t="shared" si="69"/>
        <v>339.61979972314185</v>
      </c>
      <c r="AO104" s="198">
        <f t="shared" si="63"/>
        <v>867.92185191445446</v>
      </c>
      <c r="AP104" s="199">
        <f t="shared" si="64"/>
        <v>4.1900000000000004</v>
      </c>
      <c r="AQ104" s="200">
        <f t="shared" si="65"/>
        <v>10.70783435620101</v>
      </c>
      <c r="AR104" s="132"/>
      <c r="AS104" s="201">
        <f t="shared" si="66"/>
        <v>338.96333333333331</v>
      </c>
      <c r="AT104" s="202">
        <f t="shared" si="67"/>
        <v>866.24420672054441</v>
      </c>
      <c r="AU104" s="132"/>
      <c r="AV104" s="132"/>
      <c r="AW104" s="132"/>
      <c r="AX104" s="132"/>
      <c r="AY104" s="132"/>
      <c r="AZ104" s="246"/>
    </row>
    <row r="105" spans="1:52" s="129" customFormat="1" ht="12" customHeight="1">
      <c r="A105" s="146" t="str">
        <f t="shared" si="55"/>
        <v>Grays Harbor WUTCCommercialRL002.0YEO001</v>
      </c>
      <c r="B105" s="146">
        <f t="shared" si="50"/>
        <v>1</v>
      </c>
      <c r="C105" s="193" t="s">
        <v>310</v>
      </c>
      <c r="D105" s="193" t="s">
        <v>309</v>
      </c>
      <c r="E105" s="194">
        <v>98.85</v>
      </c>
      <c r="F105" s="194">
        <v>100.25333333333333</v>
      </c>
      <c r="G105" s="138">
        <v>840.23</v>
      </c>
      <c r="H105" s="138">
        <v>988.51</v>
      </c>
      <c r="I105" s="138">
        <v>988.5</v>
      </c>
      <c r="J105" s="138">
        <v>840.23</v>
      </c>
      <c r="K105" s="138">
        <v>963.79</v>
      </c>
      <c r="L105" s="138">
        <v>1087.3600000000001</v>
      </c>
      <c r="M105" s="138">
        <v>939.06999999999994</v>
      </c>
      <c r="N105" s="138">
        <v>1136.78</v>
      </c>
      <c r="O105" s="138">
        <v>1087.3499999999999</v>
      </c>
      <c r="P105" s="138">
        <v>1037.93</v>
      </c>
      <c r="Q105" s="138">
        <v>1102.75</v>
      </c>
      <c r="R105" s="138">
        <v>1052.6300000000001</v>
      </c>
      <c r="S105" s="139">
        <f t="shared" si="56"/>
        <v>12065.130000000001</v>
      </c>
      <c r="T105" s="132"/>
      <c r="U105" s="138">
        <f t="shared" si="57"/>
        <v>8.500050581689429</v>
      </c>
      <c r="V105" s="138">
        <f t="shared" si="57"/>
        <v>10.000101163378858</v>
      </c>
      <c r="W105" s="138">
        <f t="shared" si="57"/>
        <v>10</v>
      </c>
      <c r="X105" s="138">
        <f t="shared" si="57"/>
        <v>8.500050581689429</v>
      </c>
      <c r="Y105" s="138">
        <f t="shared" si="57"/>
        <v>9.7500252908447145</v>
      </c>
      <c r="Z105" s="138">
        <f t="shared" si="57"/>
        <v>11.000101163378858</v>
      </c>
      <c r="AA105" s="138">
        <f t="shared" si="57"/>
        <v>9.499949418310571</v>
      </c>
      <c r="AB105" s="138">
        <f t="shared" si="57"/>
        <v>11.500050581689429</v>
      </c>
      <c r="AC105" s="138">
        <f t="shared" si="57"/>
        <v>11</v>
      </c>
      <c r="AD105" s="138">
        <f t="shared" si="57"/>
        <v>10.500050581689429</v>
      </c>
      <c r="AE105" s="138">
        <f t="shared" si="58"/>
        <v>10.999634259874984</v>
      </c>
      <c r="AF105" s="138">
        <f t="shared" si="58"/>
        <v>10.499700758079534</v>
      </c>
      <c r="AG105" s="138">
        <f t="shared" si="59"/>
        <v>10.14580953171877</v>
      </c>
      <c r="AH105" s="195">
        <f t="shared" si="60"/>
        <v>10.14580953171877</v>
      </c>
      <c r="AI105" s="138">
        <f t="shared" si="61"/>
        <v>121.74971438062525</v>
      </c>
      <c r="AJ105" s="132"/>
      <c r="AK105" s="196">
        <f t="shared" si="68"/>
        <v>1.4513533847765869</v>
      </c>
      <c r="AL105" s="198">
        <f t="shared" si="62"/>
        <v>176.70186006190315</v>
      </c>
      <c r="AM105" s="197"/>
      <c r="AN105" s="196">
        <f t="shared" si="69"/>
        <v>101.70468671810991</v>
      </c>
      <c r="AO105" s="198">
        <f t="shared" si="63"/>
        <v>12382.516559100852</v>
      </c>
      <c r="AP105" s="199">
        <f t="shared" si="64"/>
        <v>1.25</v>
      </c>
      <c r="AQ105" s="200">
        <f t="shared" si="65"/>
        <v>152.18714297578157</v>
      </c>
      <c r="AR105" s="132"/>
      <c r="AS105" s="201">
        <f t="shared" si="66"/>
        <v>101.50333333333333</v>
      </c>
      <c r="AT105" s="202">
        <f t="shared" si="67"/>
        <v>12358.001842014732</v>
      </c>
      <c r="AU105" s="132"/>
      <c r="AV105" s="132"/>
      <c r="AW105" s="132"/>
      <c r="AX105" s="132"/>
      <c r="AY105" s="132"/>
      <c r="AZ105" s="246"/>
    </row>
    <row r="106" spans="1:52" s="129" customFormat="1" ht="12" customHeight="1">
      <c r="A106" s="146" t="str">
        <f t="shared" si="55"/>
        <v>Grays Harbor WUTCCommercialFL002.0YEO001</v>
      </c>
      <c r="B106" s="146">
        <f t="shared" si="50"/>
        <v>1</v>
      </c>
      <c r="C106" s="193" t="s">
        <v>308</v>
      </c>
      <c r="D106" s="193" t="s">
        <v>309</v>
      </c>
      <c r="E106" s="194">
        <v>98.85</v>
      </c>
      <c r="F106" s="194">
        <v>100.25333333333333</v>
      </c>
      <c r="G106" s="138">
        <v>691.95</v>
      </c>
      <c r="H106" s="138">
        <v>691.95</v>
      </c>
      <c r="I106" s="138">
        <v>691.96</v>
      </c>
      <c r="J106" s="138">
        <v>642.53</v>
      </c>
      <c r="K106" s="138">
        <v>741.38</v>
      </c>
      <c r="L106" s="138">
        <v>790.8</v>
      </c>
      <c r="M106" s="138">
        <v>889.65</v>
      </c>
      <c r="N106" s="138">
        <v>988.5</v>
      </c>
      <c r="O106" s="138">
        <v>355.97</v>
      </c>
      <c r="P106" s="138">
        <v>840.23</v>
      </c>
      <c r="Q106" s="138">
        <v>902.25</v>
      </c>
      <c r="R106" s="138">
        <v>902.25</v>
      </c>
      <c r="S106" s="139">
        <f t="shared" si="56"/>
        <v>9129.42</v>
      </c>
      <c r="T106" s="132"/>
      <c r="U106" s="138">
        <f t="shared" si="57"/>
        <v>7.0000000000000009</v>
      </c>
      <c r="V106" s="138">
        <f t="shared" si="57"/>
        <v>7.0000000000000009</v>
      </c>
      <c r="W106" s="138">
        <f t="shared" si="57"/>
        <v>7.0001011633788579</v>
      </c>
      <c r="X106" s="138">
        <f t="shared" si="57"/>
        <v>6.500050581689429</v>
      </c>
      <c r="Y106" s="138">
        <f t="shared" si="57"/>
        <v>7.500050581689429</v>
      </c>
      <c r="Z106" s="138">
        <f t="shared" si="57"/>
        <v>8</v>
      </c>
      <c r="AA106" s="138">
        <f t="shared" si="57"/>
        <v>9</v>
      </c>
      <c r="AB106" s="138">
        <f t="shared" si="57"/>
        <v>10</v>
      </c>
      <c r="AC106" s="138">
        <f t="shared" si="57"/>
        <v>3.6011127971674259</v>
      </c>
      <c r="AD106" s="138">
        <f t="shared" si="57"/>
        <v>8.500050581689429</v>
      </c>
      <c r="AE106" s="138">
        <f t="shared" si="58"/>
        <v>8.9997007580795323</v>
      </c>
      <c r="AF106" s="138">
        <f t="shared" si="58"/>
        <v>8.9997007580795323</v>
      </c>
      <c r="AG106" s="138">
        <f t="shared" si="59"/>
        <v>7.6750639351478016</v>
      </c>
      <c r="AH106" s="195">
        <f t="shared" si="60"/>
        <v>7.6750639351478016</v>
      </c>
      <c r="AI106" s="138">
        <f t="shared" si="61"/>
        <v>92.100767221773623</v>
      </c>
      <c r="AJ106" s="132"/>
      <c r="AK106" s="196">
        <f t="shared" si="68"/>
        <v>1.4513533847765869</v>
      </c>
      <c r="AL106" s="198">
        <f t="shared" si="62"/>
        <v>133.67076024784168</v>
      </c>
      <c r="AM106" s="197"/>
      <c r="AN106" s="196">
        <f t="shared" si="69"/>
        <v>101.70468671810991</v>
      </c>
      <c r="AO106" s="198">
        <f t="shared" si="63"/>
        <v>9367.0796767880529</v>
      </c>
      <c r="AP106" s="199">
        <f t="shared" si="64"/>
        <v>1.25</v>
      </c>
      <c r="AQ106" s="200">
        <f t="shared" si="65"/>
        <v>115.12595902721702</v>
      </c>
      <c r="AR106" s="132"/>
      <c r="AS106" s="201">
        <f t="shared" si="66"/>
        <v>101.50333333333333</v>
      </c>
      <c r="AT106" s="202">
        <f t="shared" si="67"/>
        <v>9348.5348755674277</v>
      </c>
      <c r="AU106" s="132"/>
      <c r="AV106" s="132"/>
      <c r="AW106" s="132"/>
      <c r="AX106" s="132"/>
      <c r="AY106" s="132"/>
      <c r="AZ106" s="246"/>
    </row>
    <row r="107" spans="1:52" s="129" customFormat="1" ht="12" customHeight="1">
      <c r="A107" s="146" t="str">
        <f t="shared" si="55"/>
        <v>Grays Harbor WUTCCommercialRL002.0YXX001TEMPC</v>
      </c>
      <c r="B107" s="146">
        <f t="shared" si="50"/>
        <v>1</v>
      </c>
      <c r="C107" s="193" t="s">
        <v>369</v>
      </c>
      <c r="D107" s="193" t="s">
        <v>370</v>
      </c>
      <c r="E107" s="194">
        <v>53.49</v>
      </c>
      <c r="F107" s="194">
        <v>54.14</v>
      </c>
      <c r="G107" s="138">
        <v>0</v>
      </c>
      <c r="H107" s="138">
        <v>320.94</v>
      </c>
      <c r="I107" s="138">
        <v>590.1</v>
      </c>
      <c r="J107" s="138">
        <v>479.7</v>
      </c>
      <c r="K107" s="138">
        <v>481.41</v>
      </c>
      <c r="L107" s="138">
        <v>1230.27</v>
      </c>
      <c r="M107" s="138">
        <v>748.86</v>
      </c>
      <c r="N107" s="138">
        <v>534.9</v>
      </c>
      <c r="O107" s="138">
        <v>374.43</v>
      </c>
      <c r="P107" s="138">
        <v>160.47</v>
      </c>
      <c r="Q107" s="138">
        <v>161.12</v>
      </c>
      <c r="R107" s="138">
        <v>0</v>
      </c>
      <c r="S107" s="139">
        <f t="shared" si="56"/>
        <v>5082.2000000000007</v>
      </c>
      <c r="T107" s="132"/>
      <c r="U107" s="138">
        <f t="shared" si="57"/>
        <v>0</v>
      </c>
      <c r="V107" s="138">
        <f t="shared" si="57"/>
        <v>6</v>
      </c>
      <c r="W107" s="138">
        <f t="shared" si="57"/>
        <v>11.031968592260236</v>
      </c>
      <c r="X107" s="138">
        <f t="shared" si="57"/>
        <v>8.9680314077397636</v>
      </c>
      <c r="Y107" s="138">
        <f t="shared" si="57"/>
        <v>9</v>
      </c>
      <c r="Z107" s="138">
        <f t="shared" si="57"/>
        <v>23</v>
      </c>
      <c r="AA107" s="138">
        <f t="shared" si="57"/>
        <v>14</v>
      </c>
      <c r="AB107" s="138">
        <f t="shared" si="57"/>
        <v>10</v>
      </c>
      <c r="AC107" s="138">
        <f t="shared" si="57"/>
        <v>7</v>
      </c>
      <c r="AD107" s="138">
        <f t="shared" si="57"/>
        <v>3</v>
      </c>
      <c r="AE107" s="138">
        <f t="shared" si="58"/>
        <v>2.9759881787957148</v>
      </c>
      <c r="AF107" s="138">
        <f t="shared" si="58"/>
        <v>0</v>
      </c>
      <c r="AG107" s="138">
        <f t="shared" si="59"/>
        <v>7.9146656815663095</v>
      </c>
      <c r="AH107" s="195">
        <f t="shared" si="60"/>
        <v>7.9146656815663095</v>
      </c>
      <c r="AI107" s="138">
        <f t="shared" si="61"/>
        <v>94.975988178795717</v>
      </c>
      <c r="AJ107" s="132"/>
      <c r="AK107" s="196">
        <f t="shared" si="68"/>
        <v>0.78377715372859846</v>
      </c>
      <c r="AL107" s="198">
        <f t="shared" si="62"/>
        <v>74.440009687337522</v>
      </c>
      <c r="AM107" s="197"/>
      <c r="AN107" s="196">
        <f t="shared" si="69"/>
        <v>54.923777153728601</v>
      </c>
      <c r="AO107" s="198">
        <f t="shared" si="63"/>
        <v>5216.4400096873378</v>
      </c>
      <c r="AP107" s="199">
        <f t="shared" si="64"/>
        <v>0.68</v>
      </c>
      <c r="AQ107" s="200">
        <f t="shared" si="65"/>
        <v>64.583671961581089</v>
      </c>
      <c r="AR107" s="132"/>
      <c r="AS107" s="201">
        <f t="shared" si="66"/>
        <v>54.82</v>
      </c>
      <c r="AT107" s="202">
        <f t="shared" si="67"/>
        <v>5206.5836719615809</v>
      </c>
      <c r="AU107" s="132"/>
      <c r="AV107" s="132"/>
      <c r="AW107" s="132"/>
      <c r="AX107" s="132"/>
      <c r="AY107" s="132"/>
      <c r="AZ107" s="246"/>
    </row>
    <row r="108" spans="1:52" s="129" customFormat="1" ht="12" customHeight="1">
      <c r="A108" s="146" t="str">
        <f t="shared" si="55"/>
        <v>Grays Harbor WUTCCommercialFL003.0Y1W001</v>
      </c>
      <c r="B108" s="146">
        <f t="shared" si="50"/>
        <v>1</v>
      </c>
      <c r="C108" s="193" t="s">
        <v>311</v>
      </c>
      <c r="D108" s="193" t="s">
        <v>312</v>
      </c>
      <c r="E108" s="194">
        <v>248.06</v>
      </c>
      <c r="F108" s="194">
        <v>252.17333333333335</v>
      </c>
      <c r="G108" s="138">
        <v>4861.9799999999996</v>
      </c>
      <c r="H108" s="138">
        <v>4961.2</v>
      </c>
      <c r="I108" s="138">
        <v>4961.2</v>
      </c>
      <c r="J108" s="138">
        <v>5023.22</v>
      </c>
      <c r="K108" s="138">
        <v>4899.1899999999996</v>
      </c>
      <c r="L108" s="138">
        <v>4440.2700000000004</v>
      </c>
      <c r="M108" s="138">
        <v>4465.08</v>
      </c>
      <c r="N108" s="138">
        <v>4713.1400000000003</v>
      </c>
      <c r="O108" s="138">
        <v>4217.0200000000004</v>
      </c>
      <c r="P108" s="138">
        <v>3968.96</v>
      </c>
      <c r="Q108" s="138">
        <v>3971.68</v>
      </c>
      <c r="R108" s="138">
        <v>3908.64</v>
      </c>
      <c r="S108" s="139">
        <f t="shared" si="56"/>
        <v>54391.58</v>
      </c>
      <c r="T108" s="132"/>
      <c r="U108" s="138">
        <f t="shared" si="57"/>
        <v>19.600016125131013</v>
      </c>
      <c r="V108" s="138">
        <f t="shared" si="57"/>
        <v>20</v>
      </c>
      <c r="W108" s="138">
        <f t="shared" si="57"/>
        <v>20</v>
      </c>
      <c r="X108" s="138">
        <f t="shared" si="57"/>
        <v>20.250020156413772</v>
      </c>
      <c r="Y108" s="138">
        <f t="shared" si="57"/>
        <v>19.750020156413768</v>
      </c>
      <c r="Z108" s="138">
        <f t="shared" si="57"/>
        <v>17.899983874868983</v>
      </c>
      <c r="AA108" s="138">
        <f t="shared" si="57"/>
        <v>18</v>
      </c>
      <c r="AB108" s="138">
        <f t="shared" si="57"/>
        <v>19</v>
      </c>
      <c r="AC108" s="138">
        <f t="shared" si="57"/>
        <v>17</v>
      </c>
      <c r="AD108" s="138">
        <f t="shared" si="57"/>
        <v>16</v>
      </c>
      <c r="AE108" s="138">
        <f t="shared" si="58"/>
        <v>15.749801723682122</v>
      </c>
      <c r="AF108" s="138">
        <f t="shared" si="58"/>
        <v>15.499814942103313</v>
      </c>
      <c r="AG108" s="138">
        <f t="shared" si="59"/>
        <v>18.229138081551081</v>
      </c>
      <c r="AH108" s="195">
        <f t="shared" si="60"/>
        <v>18.229138081551081</v>
      </c>
      <c r="AI108" s="138">
        <f t="shared" si="61"/>
        <v>218.74965697861296</v>
      </c>
      <c r="AJ108" s="132"/>
      <c r="AK108" s="196">
        <f t="shared" si="68"/>
        <v>3.6506778250139105</v>
      </c>
      <c r="AL108" s="198">
        <f t="shared" si="62"/>
        <v>798.58452196122175</v>
      </c>
      <c r="AM108" s="197"/>
      <c r="AN108" s="196">
        <f t="shared" si="69"/>
        <v>255.82401115834725</v>
      </c>
      <c r="AO108" s="198">
        <f t="shared" si="63"/>
        <v>55961.414687781318</v>
      </c>
      <c r="AP108" s="199">
        <f t="shared" si="64"/>
        <v>3.15</v>
      </c>
      <c r="AQ108" s="200">
        <f t="shared" si="65"/>
        <v>689.06141948263075</v>
      </c>
      <c r="AR108" s="132"/>
      <c r="AS108" s="201">
        <f t="shared" si="66"/>
        <v>255.32333333333335</v>
      </c>
      <c r="AT108" s="202">
        <f t="shared" si="67"/>
        <v>55851.891585302728</v>
      </c>
      <c r="AU108" s="132"/>
      <c r="AV108" s="132"/>
      <c r="AW108" s="132"/>
      <c r="AX108" s="132"/>
      <c r="AY108" s="132"/>
      <c r="AZ108" s="246"/>
    </row>
    <row r="109" spans="1:52" s="129" customFormat="1" ht="12" customHeight="1">
      <c r="A109" s="146" t="str">
        <f t="shared" si="55"/>
        <v>Grays Harbor WUTCCommercialFL003.0Y2W001</v>
      </c>
      <c r="B109" s="146">
        <f t="shared" si="50"/>
        <v>1</v>
      </c>
      <c r="C109" s="193" t="s">
        <v>313</v>
      </c>
      <c r="D109" s="193" t="s">
        <v>314</v>
      </c>
      <c r="E109" s="194">
        <v>469.66</v>
      </c>
      <c r="F109" s="194">
        <v>477.8966666666667</v>
      </c>
      <c r="G109" s="138">
        <v>0</v>
      </c>
      <c r="H109" s="138">
        <v>0</v>
      </c>
      <c r="I109" s="138">
        <v>0</v>
      </c>
      <c r="J109" s="138">
        <v>0</v>
      </c>
      <c r="K109" s="138">
        <v>104.37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9">
        <f t="shared" si="56"/>
        <v>104.37</v>
      </c>
      <c r="T109" s="132"/>
      <c r="U109" s="138">
        <f t="shared" si="57"/>
        <v>0</v>
      </c>
      <c r="V109" s="138">
        <f t="shared" si="57"/>
        <v>0</v>
      </c>
      <c r="W109" s="138">
        <f t="shared" si="57"/>
        <v>0</v>
      </c>
      <c r="X109" s="138">
        <f t="shared" si="57"/>
        <v>0</v>
      </c>
      <c r="Y109" s="138">
        <f t="shared" si="57"/>
        <v>0.22222458799982966</v>
      </c>
      <c r="Z109" s="138">
        <f t="shared" si="57"/>
        <v>0</v>
      </c>
      <c r="AA109" s="138">
        <f t="shared" si="57"/>
        <v>0</v>
      </c>
      <c r="AB109" s="138">
        <f t="shared" si="57"/>
        <v>0</v>
      </c>
      <c r="AC109" s="138">
        <f t="shared" si="57"/>
        <v>0</v>
      </c>
      <c r="AD109" s="138">
        <f t="shared" si="57"/>
        <v>0</v>
      </c>
      <c r="AE109" s="138">
        <f t="shared" si="58"/>
        <v>0</v>
      </c>
      <c r="AF109" s="138">
        <f t="shared" si="58"/>
        <v>0</v>
      </c>
      <c r="AG109" s="138">
        <f t="shared" si="59"/>
        <v>1.8518715666652471E-2</v>
      </c>
      <c r="AH109" s="195">
        <f t="shared" si="60"/>
        <v>1.8518715666652471E-2</v>
      </c>
      <c r="AI109" s="138">
        <f t="shared" si="61"/>
        <v>0.22222458799982966</v>
      </c>
      <c r="AJ109" s="132"/>
      <c r="AK109" s="196">
        <f t="shared" si="68"/>
        <v>6.9184427258290508</v>
      </c>
      <c r="AL109" s="198">
        <f t="shared" si="62"/>
        <v>1.5374480843477794</v>
      </c>
      <c r="AM109" s="197"/>
      <c r="AN109" s="196">
        <f t="shared" si="69"/>
        <v>484.81510939249574</v>
      </c>
      <c r="AO109" s="198">
        <f t="shared" si="63"/>
        <v>107.73783794083971</v>
      </c>
      <c r="AP109" s="199">
        <f t="shared" si="64"/>
        <v>5.98</v>
      </c>
      <c r="AQ109" s="200">
        <f t="shared" si="65"/>
        <v>1.3289030362389815</v>
      </c>
      <c r="AR109" s="132"/>
      <c r="AS109" s="201">
        <f t="shared" si="66"/>
        <v>483.87666666666672</v>
      </c>
      <c r="AT109" s="202">
        <f t="shared" si="67"/>
        <v>107.52929289273092</v>
      </c>
      <c r="AU109" s="132"/>
      <c r="AV109" s="132"/>
      <c r="AW109" s="132"/>
      <c r="AX109" s="132"/>
      <c r="AY109" s="132"/>
      <c r="AZ109" s="246"/>
    </row>
    <row r="110" spans="1:52" s="129" customFormat="1" ht="12" customHeight="1">
      <c r="A110" s="146" t="str">
        <f t="shared" si="55"/>
        <v>Grays Harbor WUTCCommercialFL003.0YEO001</v>
      </c>
      <c r="B110" s="146">
        <f t="shared" si="50"/>
        <v>1</v>
      </c>
      <c r="C110" s="193" t="s">
        <v>315</v>
      </c>
      <c r="D110" s="193" t="s">
        <v>316</v>
      </c>
      <c r="E110" s="194">
        <v>137.25</v>
      </c>
      <c r="F110" s="194">
        <v>139.31166666666667</v>
      </c>
      <c r="G110" s="138">
        <v>411.75</v>
      </c>
      <c r="H110" s="138">
        <v>411.75</v>
      </c>
      <c r="I110" s="138">
        <v>411.75</v>
      </c>
      <c r="J110" s="138">
        <v>549.01</v>
      </c>
      <c r="K110" s="138">
        <v>686.25</v>
      </c>
      <c r="L110" s="138">
        <v>686.25</v>
      </c>
      <c r="M110" s="138">
        <v>686.25</v>
      </c>
      <c r="N110" s="138">
        <v>617.63</v>
      </c>
      <c r="O110" s="138">
        <v>686.25</v>
      </c>
      <c r="P110" s="138">
        <v>686.26</v>
      </c>
      <c r="Q110" s="138">
        <v>790.11</v>
      </c>
      <c r="R110" s="138">
        <v>835.86</v>
      </c>
      <c r="S110" s="139">
        <f t="shared" si="56"/>
        <v>7459.12</v>
      </c>
      <c r="T110" s="132"/>
      <c r="U110" s="138">
        <f t="shared" si="57"/>
        <v>3</v>
      </c>
      <c r="V110" s="138">
        <f t="shared" si="57"/>
        <v>3</v>
      </c>
      <c r="W110" s="138">
        <f t="shared" si="57"/>
        <v>3</v>
      </c>
      <c r="X110" s="138">
        <f t="shared" si="57"/>
        <v>4.000072859744991</v>
      </c>
      <c r="Y110" s="138">
        <f t="shared" si="57"/>
        <v>5</v>
      </c>
      <c r="Z110" s="138">
        <f t="shared" si="57"/>
        <v>5</v>
      </c>
      <c r="AA110" s="138">
        <f t="shared" si="57"/>
        <v>5</v>
      </c>
      <c r="AB110" s="138">
        <f t="shared" si="57"/>
        <v>4.5000364298724955</v>
      </c>
      <c r="AC110" s="138">
        <f t="shared" si="57"/>
        <v>5</v>
      </c>
      <c r="AD110" s="138">
        <f t="shared" si="57"/>
        <v>5.000072859744991</v>
      </c>
      <c r="AE110" s="138">
        <f t="shared" si="58"/>
        <v>5.6715278691662583</v>
      </c>
      <c r="AF110" s="138">
        <f t="shared" si="58"/>
        <v>5.9999282185028777</v>
      </c>
      <c r="AG110" s="138">
        <f t="shared" si="59"/>
        <v>4.5143031864193004</v>
      </c>
      <c r="AH110" s="195">
        <f t="shared" si="60"/>
        <v>4.5143031864193004</v>
      </c>
      <c r="AI110" s="138">
        <f t="shared" si="61"/>
        <v>54.171638237031608</v>
      </c>
      <c r="AJ110" s="132"/>
      <c r="AK110" s="196">
        <f t="shared" si="68"/>
        <v>2.0167953746063403</v>
      </c>
      <c r="AL110" s="198">
        <f t="shared" si="62"/>
        <v>109.25310943129331</v>
      </c>
      <c r="AM110" s="197"/>
      <c r="AN110" s="196">
        <f t="shared" si="69"/>
        <v>141.32846204127301</v>
      </c>
      <c r="AO110" s="198">
        <f t="shared" si="63"/>
        <v>7655.994318295895</v>
      </c>
      <c r="AP110" s="199">
        <f t="shared" si="64"/>
        <v>1.74</v>
      </c>
      <c r="AQ110" s="200">
        <f t="shared" si="65"/>
        <v>94.258650532434999</v>
      </c>
      <c r="AR110" s="132"/>
      <c r="AS110" s="201">
        <f t="shared" si="66"/>
        <v>141.05166666666668</v>
      </c>
      <c r="AT110" s="202">
        <f t="shared" si="67"/>
        <v>7640.9998593970377</v>
      </c>
      <c r="AU110" s="132"/>
      <c r="AV110" s="132"/>
      <c r="AW110" s="132"/>
      <c r="AX110" s="132"/>
      <c r="AY110" s="132"/>
      <c r="AZ110" s="246"/>
    </row>
    <row r="111" spans="1:52" s="129" customFormat="1" ht="12" customHeight="1">
      <c r="A111" s="146" t="str">
        <f t="shared" si="55"/>
        <v>Grays Harbor WUTCCommercialFL004.0Y1W001</v>
      </c>
      <c r="B111" s="146">
        <f t="shared" si="50"/>
        <v>1</v>
      </c>
      <c r="C111" s="193" t="s">
        <v>317</v>
      </c>
      <c r="D111" s="193" t="s">
        <v>318</v>
      </c>
      <c r="E111" s="194">
        <v>309.33</v>
      </c>
      <c r="F111" s="194">
        <v>314.65666666666664</v>
      </c>
      <c r="G111" s="138">
        <v>6727.93</v>
      </c>
      <c r="H111" s="138">
        <v>6805.26</v>
      </c>
      <c r="I111" s="138">
        <v>7130.05</v>
      </c>
      <c r="J111" s="138">
        <v>6998.6</v>
      </c>
      <c r="K111" s="138">
        <v>7733.25</v>
      </c>
      <c r="L111" s="138">
        <v>7300.19</v>
      </c>
      <c r="M111" s="138">
        <v>7362.05</v>
      </c>
      <c r="N111" s="138">
        <v>6898.06</v>
      </c>
      <c r="O111" s="138">
        <v>6186.6</v>
      </c>
      <c r="P111" s="138">
        <v>6186.6</v>
      </c>
      <c r="Q111" s="138">
        <v>6607.86</v>
      </c>
      <c r="R111" s="138">
        <v>6371.87</v>
      </c>
      <c r="S111" s="139">
        <f t="shared" si="56"/>
        <v>82308.320000000007</v>
      </c>
      <c r="T111" s="132"/>
      <c r="U111" s="138">
        <f t="shared" si="57"/>
        <v>21.750008081983644</v>
      </c>
      <c r="V111" s="138">
        <f t="shared" si="57"/>
        <v>22.000000000000004</v>
      </c>
      <c r="W111" s="138">
        <f t="shared" si="57"/>
        <v>23.049978986842532</v>
      </c>
      <c r="X111" s="138">
        <f t="shared" si="57"/>
        <v>22.625028286942751</v>
      </c>
      <c r="Y111" s="138">
        <f t="shared" si="57"/>
        <v>25</v>
      </c>
      <c r="Z111" s="138">
        <f t="shared" si="57"/>
        <v>23.600006465586915</v>
      </c>
      <c r="AA111" s="138">
        <f t="shared" si="57"/>
        <v>23.799987068826173</v>
      </c>
      <c r="AB111" s="138">
        <f t="shared" si="57"/>
        <v>22.300003232793458</v>
      </c>
      <c r="AC111" s="138">
        <f t="shared" si="57"/>
        <v>20.000000000000004</v>
      </c>
      <c r="AD111" s="138">
        <f t="shared" si="57"/>
        <v>20.000000000000004</v>
      </c>
      <c r="AE111" s="138">
        <f t="shared" si="58"/>
        <v>21.000222464696972</v>
      </c>
      <c r="AF111" s="138">
        <f t="shared" si="58"/>
        <v>20.25023040986472</v>
      </c>
      <c r="AG111" s="138">
        <f t="shared" si="59"/>
        <v>22.114622083128097</v>
      </c>
      <c r="AH111" s="195">
        <f t="shared" si="60"/>
        <v>22.114622083128097</v>
      </c>
      <c r="AI111" s="138">
        <f t="shared" si="61"/>
        <v>265.37546499753716</v>
      </c>
      <c r="AJ111" s="132"/>
      <c r="AK111" s="196">
        <f t="shared" si="68"/>
        <v>4.5552402401501357</v>
      </c>
      <c r="AL111" s="198">
        <f t="shared" si="62"/>
        <v>1208.8489969053351</v>
      </c>
      <c r="AM111" s="197"/>
      <c r="AN111" s="196">
        <f t="shared" si="69"/>
        <v>319.21190690681675</v>
      </c>
      <c r="AO111" s="198">
        <f t="shared" si="63"/>
        <v>84711.008228147039</v>
      </c>
      <c r="AP111" s="199">
        <f t="shared" si="64"/>
        <v>3.93</v>
      </c>
      <c r="AQ111" s="200">
        <f t="shared" si="65"/>
        <v>1042.9255774403211</v>
      </c>
      <c r="AR111" s="132"/>
      <c r="AS111" s="201">
        <f t="shared" si="66"/>
        <v>318.58666666666664</v>
      </c>
      <c r="AT111" s="202">
        <f t="shared" si="67"/>
        <v>84545.084808682033</v>
      </c>
      <c r="AU111" s="132"/>
      <c r="AV111" s="132"/>
      <c r="AW111" s="132"/>
      <c r="AX111" s="132"/>
      <c r="AY111" s="132"/>
      <c r="AZ111" s="246"/>
    </row>
    <row r="112" spans="1:52" s="129" customFormat="1" ht="12" customHeight="1">
      <c r="A112" s="146" t="str">
        <f t="shared" si="55"/>
        <v>Grays Harbor WUTCCommercialFL004.0Y2W001</v>
      </c>
      <c r="B112" s="146">
        <f t="shared" si="50"/>
        <v>1</v>
      </c>
      <c r="C112" s="193" t="s">
        <v>319</v>
      </c>
      <c r="D112" s="193" t="s">
        <v>320</v>
      </c>
      <c r="E112" s="194">
        <v>586.30999999999995</v>
      </c>
      <c r="F112" s="194">
        <v>596.97333333333336</v>
      </c>
      <c r="G112" s="138">
        <v>912.04</v>
      </c>
      <c r="H112" s="138">
        <v>586.30999999999995</v>
      </c>
      <c r="I112" s="138">
        <v>1289.8800000000001</v>
      </c>
      <c r="J112" s="138">
        <v>586.30999999999995</v>
      </c>
      <c r="K112" s="138">
        <v>2345.2399999999998</v>
      </c>
      <c r="L112" s="138">
        <v>2345.2399999999998</v>
      </c>
      <c r="M112" s="138">
        <v>2345.2399999999998</v>
      </c>
      <c r="N112" s="138">
        <v>1889.22</v>
      </c>
      <c r="O112" s="138">
        <v>586.30999999999995</v>
      </c>
      <c r="P112" s="138">
        <v>586.30999999999995</v>
      </c>
      <c r="Q112" s="138">
        <v>596.97</v>
      </c>
      <c r="R112" s="138">
        <v>596.97</v>
      </c>
      <c r="S112" s="139">
        <f t="shared" si="56"/>
        <v>14666.039999999995</v>
      </c>
      <c r="T112" s="132"/>
      <c r="U112" s="138">
        <f t="shared" si="57"/>
        <v>1.5555593457386026</v>
      </c>
      <c r="V112" s="138">
        <f t="shared" si="57"/>
        <v>1</v>
      </c>
      <c r="W112" s="138">
        <f t="shared" si="57"/>
        <v>2.1999965888352584</v>
      </c>
      <c r="X112" s="138">
        <f t="shared" si="57"/>
        <v>1</v>
      </c>
      <c r="Y112" s="138">
        <f t="shared" si="57"/>
        <v>4</v>
      </c>
      <c r="Z112" s="138">
        <f t="shared" ref="Z112:AD138" si="70">IFERROR(L112/$E112,0)</f>
        <v>4</v>
      </c>
      <c r="AA112" s="138">
        <f t="shared" si="70"/>
        <v>4</v>
      </c>
      <c r="AB112" s="138">
        <f t="shared" si="70"/>
        <v>3.2222203271306991</v>
      </c>
      <c r="AC112" s="138">
        <f t="shared" si="70"/>
        <v>1</v>
      </c>
      <c r="AD112" s="138">
        <f t="shared" si="70"/>
        <v>1</v>
      </c>
      <c r="AE112" s="138">
        <f t="shared" si="58"/>
        <v>0.99999441627766739</v>
      </c>
      <c r="AF112" s="138">
        <f t="shared" si="58"/>
        <v>0.99999441627766739</v>
      </c>
      <c r="AG112" s="138">
        <f t="shared" si="59"/>
        <v>2.0814804245216578</v>
      </c>
      <c r="AH112" s="195">
        <f t="shared" si="60"/>
        <v>2.0814804245216578</v>
      </c>
      <c r="AI112" s="138">
        <f t="shared" si="61"/>
        <v>24.977765094259894</v>
      </c>
      <c r="AJ112" s="132"/>
      <c r="AK112" s="196">
        <f t="shared" si="68"/>
        <v>8.6422988557789786</v>
      </c>
      <c r="AL112" s="198">
        <f t="shared" si="62"/>
        <v>215.86531069403839</v>
      </c>
      <c r="AM112" s="197"/>
      <c r="AN112" s="196">
        <f t="shared" si="69"/>
        <v>605.61563218911238</v>
      </c>
      <c r="AO112" s="198">
        <f t="shared" si="63"/>
        <v>15126.92499823135</v>
      </c>
      <c r="AP112" s="199">
        <f t="shared" si="64"/>
        <v>7.46</v>
      </c>
      <c r="AQ112" s="200">
        <f t="shared" si="65"/>
        <v>186.33412760317881</v>
      </c>
      <c r="AR112" s="132"/>
      <c r="AS112" s="201">
        <f t="shared" si="66"/>
        <v>604.43333333333339</v>
      </c>
      <c r="AT112" s="202">
        <f t="shared" si="67"/>
        <v>15097.393815140491</v>
      </c>
      <c r="AU112" s="132"/>
      <c r="AV112" s="132"/>
      <c r="AW112" s="132"/>
      <c r="AX112" s="132"/>
      <c r="AY112" s="132"/>
      <c r="AZ112" s="246"/>
    </row>
    <row r="113" spans="1:52" s="129" customFormat="1" ht="12" customHeight="1">
      <c r="A113" s="146" t="str">
        <f t="shared" si="55"/>
        <v>Grays Harbor WUTCCommercialFL004.0YEO001</v>
      </c>
      <c r="B113" s="146">
        <f t="shared" si="50"/>
        <v>1</v>
      </c>
      <c r="C113" s="193" t="s">
        <v>321</v>
      </c>
      <c r="D113" s="193" t="s">
        <v>322</v>
      </c>
      <c r="E113" s="194">
        <v>170.83</v>
      </c>
      <c r="F113" s="194">
        <v>173.49833333333333</v>
      </c>
      <c r="G113" s="138">
        <v>1281.23</v>
      </c>
      <c r="H113" s="138">
        <v>1366.64</v>
      </c>
      <c r="I113" s="138">
        <v>1281.23</v>
      </c>
      <c r="J113" s="138">
        <v>1537.47</v>
      </c>
      <c r="K113" s="138">
        <v>1366.64</v>
      </c>
      <c r="L113" s="138">
        <v>1195.81</v>
      </c>
      <c r="M113" s="138">
        <v>1195.81</v>
      </c>
      <c r="N113" s="138">
        <v>1537.47</v>
      </c>
      <c r="O113" s="138">
        <v>1879.13</v>
      </c>
      <c r="P113" s="138">
        <v>1879.13</v>
      </c>
      <c r="Q113" s="138">
        <v>1735</v>
      </c>
      <c r="R113" s="138">
        <v>1735</v>
      </c>
      <c r="S113" s="139">
        <f t="shared" si="56"/>
        <v>17990.560000000001</v>
      </c>
      <c r="T113" s="132"/>
      <c r="U113" s="138">
        <f t="shared" ref="U113:AD139" si="71">IFERROR(G113/$E113,0)</f>
        <v>7.5000292688637824</v>
      </c>
      <c r="V113" s="138">
        <f t="shared" si="71"/>
        <v>8</v>
      </c>
      <c r="W113" s="138">
        <f t="shared" si="71"/>
        <v>7.5000292688637824</v>
      </c>
      <c r="X113" s="138">
        <f t="shared" si="71"/>
        <v>9</v>
      </c>
      <c r="Y113" s="138">
        <f t="shared" si="71"/>
        <v>8</v>
      </c>
      <c r="Z113" s="138">
        <f t="shared" si="70"/>
        <v>6.9999999999999991</v>
      </c>
      <c r="AA113" s="138">
        <f t="shared" si="70"/>
        <v>6.9999999999999991</v>
      </c>
      <c r="AB113" s="138">
        <f t="shared" si="70"/>
        <v>9</v>
      </c>
      <c r="AC113" s="138">
        <f t="shared" si="70"/>
        <v>11</v>
      </c>
      <c r="AD113" s="138">
        <f t="shared" si="70"/>
        <v>11</v>
      </c>
      <c r="AE113" s="138">
        <f t="shared" si="58"/>
        <v>10.000096062402136</v>
      </c>
      <c r="AF113" s="138">
        <f t="shared" si="58"/>
        <v>10.000096062402136</v>
      </c>
      <c r="AG113" s="138">
        <f t="shared" si="59"/>
        <v>8.75002088854432</v>
      </c>
      <c r="AH113" s="195">
        <f t="shared" si="60"/>
        <v>8.75002088854432</v>
      </c>
      <c r="AI113" s="138">
        <f t="shared" si="61"/>
        <v>105.00025066253184</v>
      </c>
      <c r="AJ113" s="132"/>
      <c r="AK113" s="196">
        <f t="shared" si="68"/>
        <v>2.5117109323357152</v>
      </c>
      <c r="AL113" s="198">
        <f t="shared" si="62"/>
        <v>263.73027748707165</v>
      </c>
      <c r="AM113" s="197"/>
      <c r="AN113" s="196">
        <f t="shared" si="69"/>
        <v>176.01004426566905</v>
      </c>
      <c r="AO113" s="198">
        <f t="shared" si="63"/>
        <v>18481.098767018575</v>
      </c>
      <c r="AP113" s="199">
        <f t="shared" si="64"/>
        <v>2.17</v>
      </c>
      <c r="AQ113" s="200">
        <f t="shared" si="65"/>
        <v>227.85054393769408</v>
      </c>
      <c r="AR113" s="132"/>
      <c r="AS113" s="201">
        <f t="shared" si="66"/>
        <v>175.66833333333332</v>
      </c>
      <c r="AT113" s="202">
        <f t="shared" si="67"/>
        <v>18445.219033469195</v>
      </c>
      <c r="AU113" s="132"/>
      <c r="AV113" s="132"/>
      <c r="AW113" s="132"/>
      <c r="AX113" s="132"/>
      <c r="AY113" s="132"/>
      <c r="AZ113" s="246"/>
    </row>
    <row r="114" spans="1:52" s="129" customFormat="1" ht="12" customHeight="1">
      <c r="A114" s="146" t="str">
        <f t="shared" si="55"/>
        <v>Grays Harbor WUTCCommercialFL006.0Y1W001</v>
      </c>
      <c r="B114" s="146">
        <f t="shared" ref="B114:B145" si="72">COUNTIF(C:C,C114)</f>
        <v>1</v>
      </c>
      <c r="C114" s="193" t="s">
        <v>323</v>
      </c>
      <c r="D114" s="193" t="s">
        <v>324</v>
      </c>
      <c r="E114" s="194">
        <v>448.05</v>
      </c>
      <c r="F114" s="194">
        <v>455.37333333333333</v>
      </c>
      <c r="G114" s="138">
        <v>4480.5</v>
      </c>
      <c r="H114" s="138">
        <v>5040.57</v>
      </c>
      <c r="I114" s="138">
        <v>6272.7</v>
      </c>
      <c r="J114" s="138">
        <v>7504.84</v>
      </c>
      <c r="K114" s="138">
        <v>6944.79</v>
      </c>
      <c r="L114" s="138">
        <v>7437.63</v>
      </c>
      <c r="M114" s="138">
        <v>7616.85</v>
      </c>
      <c r="N114" s="138">
        <v>6720.75</v>
      </c>
      <c r="O114" s="138">
        <v>4480.5</v>
      </c>
      <c r="P114" s="138">
        <v>4726.93</v>
      </c>
      <c r="Q114" s="138">
        <v>3642.96</v>
      </c>
      <c r="R114" s="138">
        <v>4098.33</v>
      </c>
      <c r="S114" s="139">
        <f t="shared" si="56"/>
        <v>68967.349999999991</v>
      </c>
      <c r="T114" s="132"/>
      <c r="U114" s="138">
        <f t="shared" si="71"/>
        <v>10</v>
      </c>
      <c r="V114" s="138">
        <f t="shared" si="71"/>
        <v>11.250016739203213</v>
      </c>
      <c r="W114" s="138">
        <f t="shared" si="71"/>
        <v>14</v>
      </c>
      <c r="X114" s="138">
        <f t="shared" si="71"/>
        <v>16.750005579734406</v>
      </c>
      <c r="Y114" s="138">
        <f t="shared" si="71"/>
        <v>15.500033478406428</v>
      </c>
      <c r="Z114" s="138">
        <f t="shared" si="70"/>
        <v>16.600000000000001</v>
      </c>
      <c r="AA114" s="138">
        <f t="shared" si="70"/>
        <v>17</v>
      </c>
      <c r="AB114" s="138">
        <f t="shared" si="70"/>
        <v>15</v>
      </c>
      <c r="AC114" s="138">
        <f t="shared" si="70"/>
        <v>10</v>
      </c>
      <c r="AD114" s="138">
        <f t="shared" si="70"/>
        <v>10.550005579734405</v>
      </c>
      <c r="AE114" s="138">
        <f t="shared" ref="AE114:AF139" si="73">IFERROR(Q114/$F114,0)</f>
        <v>7.9999414399906303</v>
      </c>
      <c r="AF114" s="138">
        <f t="shared" si="73"/>
        <v>8.9999341199894598</v>
      </c>
      <c r="AG114" s="138">
        <f t="shared" si="59"/>
        <v>12.804161411421546</v>
      </c>
      <c r="AH114" s="195">
        <f t="shared" si="60"/>
        <v>12.804161411421546</v>
      </c>
      <c r="AI114" s="138">
        <f t="shared" si="61"/>
        <v>153.64993693705856</v>
      </c>
      <c r="AJ114" s="132"/>
      <c r="AK114" s="196">
        <f t="shared" si="68"/>
        <v>6.5923756018452959</v>
      </c>
      <c r="AL114" s="198">
        <f t="shared" si="62"/>
        <v>1012.9180954889332</v>
      </c>
      <c r="AM114" s="197"/>
      <c r="AN114" s="196">
        <f t="shared" si="69"/>
        <v>461.96570893517861</v>
      </c>
      <c r="AO114" s="198">
        <f t="shared" si="63"/>
        <v>70981.002044973735</v>
      </c>
      <c r="AP114" s="199">
        <f t="shared" si="64"/>
        <v>5.69</v>
      </c>
      <c r="AQ114" s="200">
        <f t="shared" si="65"/>
        <v>874.26814117186325</v>
      </c>
      <c r="AR114" s="132"/>
      <c r="AS114" s="201">
        <f t="shared" si="66"/>
        <v>461.06333333333333</v>
      </c>
      <c r="AT114" s="202">
        <f t="shared" si="67"/>
        <v>70842.35209065667</v>
      </c>
      <c r="AU114" s="132"/>
      <c r="AV114" s="132"/>
      <c r="AW114" s="132"/>
      <c r="AX114" s="132"/>
      <c r="AY114" s="132"/>
      <c r="AZ114" s="246"/>
    </row>
    <row r="115" spans="1:52" s="129" customFormat="1" ht="12" customHeight="1">
      <c r="A115" s="146" t="str">
        <f t="shared" si="55"/>
        <v>Grays Harbor WUTCCommercialFL006.0Y2W001</v>
      </c>
      <c r="B115" s="146">
        <f t="shared" si="72"/>
        <v>1</v>
      </c>
      <c r="C115" s="193" t="s">
        <v>325</v>
      </c>
      <c r="D115" s="193" t="s">
        <v>326</v>
      </c>
      <c r="E115" s="194">
        <v>838.05</v>
      </c>
      <c r="F115" s="194">
        <v>852.6966666666666</v>
      </c>
      <c r="G115" s="138">
        <v>372.47</v>
      </c>
      <c r="H115" s="138">
        <v>209.51</v>
      </c>
      <c r="I115" s="138">
        <v>0</v>
      </c>
      <c r="J115" s="138">
        <v>651.82000000000005</v>
      </c>
      <c r="K115" s="138">
        <v>2514.15</v>
      </c>
      <c r="L115" s="138">
        <v>2514.15</v>
      </c>
      <c r="M115" s="138">
        <v>2514.15</v>
      </c>
      <c r="N115" s="138">
        <v>2514.15</v>
      </c>
      <c r="O115" s="138">
        <v>0</v>
      </c>
      <c r="P115" s="138">
        <v>0</v>
      </c>
      <c r="Q115" s="138">
        <v>0</v>
      </c>
      <c r="R115" s="138">
        <v>0</v>
      </c>
      <c r="S115" s="139">
        <f t="shared" si="56"/>
        <v>11290.4</v>
      </c>
      <c r="T115" s="132"/>
      <c r="U115" s="138">
        <f t="shared" si="71"/>
        <v>0.44444842193186568</v>
      </c>
      <c r="V115" s="138">
        <f t="shared" si="71"/>
        <v>0.2499970168844341</v>
      </c>
      <c r="W115" s="138">
        <f t="shared" si="71"/>
        <v>0</v>
      </c>
      <c r="X115" s="138">
        <f t="shared" si="71"/>
        <v>0.7777817552651991</v>
      </c>
      <c r="Y115" s="138">
        <f t="shared" si="71"/>
        <v>3.0000000000000004</v>
      </c>
      <c r="Z115" s="138">
        <f t="shared" si="70"/>
        <v>3.0000000000000004</v>
      </c>
      <c r="AA115" s="138">
        <f t="shared" si="70"/>
        <v>3.0000000000000004</v>
      </c>
      <c r="AB115" s="138">
        <f t="shared" si="70"/>
        <v>3.0000000000000004</v>
      </c>
      <c r="AC115" s="138">
        <f t="shared" si="70"/>
        <v>0</v>
      </c>
      <c r="AD115" s="138">
        <f t="shared" si="70"/>
        <v>0</v>
      </c>
      <c r="AE115" s="138">
        <f t="shared" si="73"/>
        <v>0</v>
      </c>
      <c r="AF115" s="138">
        <f t="shared" si="73"/>
        <v>0</v>
      </c>
      <c r="AG115" s="138">
        <f t="shared" si="59"/>
        <v>1.1226855995067917</v>
      </c>
      <c r="AH115" s="195">
        <f t="shared" si="60"/>
        <v>1.1226855995067917</v>
      </c>
      <c r="AI115" s="138">
        <f t="shared" si="61"/>
        <v>13.472227194081499</v>
      </c>
      <c r="AJ115" s="132"/>
      <c r="AK115" s="196">
        <f t="shared" si="68"/>
        <v>12.344369530732608</v>
      </c>
      <c r="AL115" s="198">
        <f t="shared" si="62"/>
        <v>166.30615088572694</v>
      </c>
      <c r="AM115" s="197"/>
      <c r="AN115" s="196">
        <f t="shared" si="69"/>
        <v>865.04103619739919</v>
      </c>
      <c r="AO115" s="198">
        <f t="shared" si="63"/>
        <v>11654.02937185504</v>
      </c>
      <c r="AP115" s="199">
        <f t="shared" si="64"/>
        <v>10.66</v>
      </c>
      <c r="AQ115" s="200">
        <f t="shared" si="65"/>
        <v>143.61394188890878</v>
      </c>
      <c r="AR115" s="132"/>
      <c r="AS115" s="201">
        <f t="shared" si="66"/>
        <v>863.35666666666657</v>
      </c>
      <c r="AT115" s="202">
        <f t="shared" si="67"/>
        <v>11631.337162858223</v>
      </c>
      <c r="AU115" s="132"/>
      <c r="AV115" s="132"/>
      <c r="AW115" s="132"/>
      <c r="AX115" s="132"/>
      <c r="AY115" s="132"/>
      <c r="AZ115" s="246"/>
    </row>
    <row r="116" spans="1:52" s="129" customFormat="1" ht="12" customHeight="1">
      <c r="A116" s="146" t="str">
        <f t="shared" si="55"/>
        <v>Grays Harbor WUTCCommercialFL006.0YEO001</v>
      </c>
      <c r="B116" s="146">
        <f t="shared" si="72"/>
        <v>1</v>
      </c>
      <c r="C116" s="193" t="s">
        <v>327</v>
      </c>
      <c r="D116" s="193" t="s">
        <v>328</v>
      </c>
      <c r="E116" s="194">
        <v>253.05</v>
      </c>
      <c r="F116" s="194">
        <v>256.71166666666664</v>
      </c>
      <c r="G116" s="138">
        <v>1265.25</v>
      </c>
      <c r="H116" s="138">
        <v>1644.83</v>
      </c>
      <c r="I116" s="138">
        <v>1552.04</v>
      </c>
      <c r="J116" s="138">
        <v>2277.4499999999998</v>
      </c>
      <c r="K116" s="138">
        <v>2277.4499999999998</v>
      </c>
      <c r="L116" s="138">
        <v>2530.5</v>
      </c>
      <c r="M116" s="138">
        <v>2530.5</v>
      </c>
      <c r="N116" s="138">
        <v>1518.3</v>
      </c>
      <c r="O116" s="138">
        <v>1897.88</v>
      </c>
      <c r="P116" s="138">
        <v>1897.88</v>
      </c>
      <c r="Q116" s="138">
        <v>1796.97</v>
      </c>
      <c r="R116" s="138">
        <v>1796.97</v>
      </c>
      <c r="S116" s="139">
        <f t="shared" si="56"/>
        <v>22986.020000000004</v>
      </c>
      <c r="T116" s="132"/>
      <c r="U116" s="138">
        <f t="shared" si="71"/>
        <v>5</v>
      </c>
      <c r="V116" s="138">
        <f t="shared" si="71"/>
        <v>6.5000197589409199</v>
      </c>
      <c r="W116" s="138">
        <f t="shared" si="71"/>
        <v>6.1333333333333329</v>
      </c>
      <c r="X116" s="138">
        <f t="shared" si="71"/>
        <v>8.9999999999999982</v>
      </c>
      <c r="Y116" s="138">
        <f t="shared" si="71"/>
        <v>8.9999999999999982</v>
      </c>
      <c r="Z116" s="138">
        <f t="shared" si="70"/>
        <v>10</v>
      </c>
      <c r="AA116" s="138">
        <f t="shared" si="70"/>
        <v>10</v>
      </c>
      <c r="AB116" s="138">
        <f t="shared" si="70"/>
        <v>5.9999999999999991</v>
      </c>
      <c r="AC116" s="138">
        <f t="shared" si="70"/>
        <v>7.5000197589409208</v>
      </c>
      <c r="AD116" s="138">
        <f t="shared" si="70"/>
        <v>7.5000197589409208</v>
      </c>
      <c r="AE116" s="138">
        <f t="shared" si="73"/>
        <v>6.9999545534224525</v>
      </c>
      <c r="AF116" s="138">
        <f t="shared" si="73"/>
        <v>6.9999545534224525</v>
      </c>
      <c r="AG116" s="138">
        <f t="shared" si="59"/>
        <v>7.5527751430834167</v>
      </c>
      <c r="AH116" s="195">
        <f t="shared" si="60"/>
        <v>7.5527751430834167</v>
      </c>
      <c r="AI116" s="138">
        <f t="shared" si="61"/>
        <v>90.633301717001004</v>
      </c>
      <c r="AJ116" s="132"/>
      <c r="AK116" s="196">
        <f t="shared" si="68"/>
        <v>3.7163786374016383</v>
      </c>
      <c r="AL116" s="198">
        <f t="shared" si="62"/>
        <v>336.82766633823974</v>
      </c>
      <c r="AM116" s="197"/>
      <c r="AN116" s="196">
        <f t="shared" si="69"/>
        <v>260.42804530406829</v>
      </c>
      <c r="AO116" s="198">
        <f t="shared" si="63"/>
        <v>23603.453605612427</v>
      </c>
      <c r="AP116" s="199">
        <f t="shared" si="64"/>
        <v>3.21</v>
      </c>
      <c r="AQ116" s="200">
        <f t="shared" si="65"/>
        <v>290.93289851157323</v>
      </c>
      <c r="AR116" s="132"/>
      <c r="AS116" s="201">
        <f t="shared" si="66"/>
        <v>259.92166666666662</v>
      </c>
      <c r="AT116" s="202">
        <f t="shared" si="67"/>
        <v>23557.55883778576</v>
      </c>
      <c r="AU116" s="132"/>
      <c r="AV116" s="132"/>
      <c r="AW116" s="132"/>
      <c r="AX116" s="132"/>
      <c r="AY116" s="132"/>
      <c r="AZ116" s="246"/>
    </row>
    <row r="117" spans="1:52" s="129" customFormat="1" ht="12" customHeight="1">
      <c r="A117" s="146" t="str">
        <f t="shared" si="55"/>
        <v>Grays Harbor WUTCCommercialFL006.0YXX001TEMPC</v>
      </c>
      <c r="B117" s="146">
        <f t="shared" si="72"/>
        <v>1</v>
      </c>
      <c r="C117" s="193" t="s">
        <v>530</v>
      </c>
      <c r="D117" s="193" t="s">
        <v>531</v>
      </c>
      <c r="E117" s="194">
        <v>123.33</v>
      </c>
      <c r="F117" s="194">
        <v>125.02</v>
      </c>
      <c r="G117" s="138">
        <v>0</v>
      </c>
      <c r="H117" s="138">
        <v>0</v>
      </c>
      <c r="I117" s="138">
        <v>0</v>
      </c>
      <c r="J117" s="138">
        <v>0</v>
      </c>
      <c r="K117" s="138">
        <v>0</v>
      </c>
      <c r="L117" s="138">
        <v>616.65</v>
      </c>
      <c r="M117" s="138">
        <v>0</v>
      </c>
      <c r="N117" s="138">
        <v>0</v>
      </c>
      <c r="O117" s="138">
        <v>0</v>
      </c>
      <c r="P117" s="138">
        <v>0</v>
      </c>
      <c r="Q117" s="138">
        <v>0</v>
      </c>
      <c r="R117" s="138">
        <v>0</v>
      </c>
      <c r="S117" s="139">
        <f t="shared" si="56"/>
        <v>616.65</v>
      </c>
      <c r="T117" s="132"/>
      <c r="U117" s="138">
        <f t="shared" si="71"/>
        <v>0</v>
      </c>
      <c r="V117" s="138">
        <f t="shared" si="71"/>
        <v>0</v>
      </c>
      <c r="W117" s="138">
        <f t="shared" si="71"/>
        <v>0</v>
      </c>
      <c r="X117" s="138">
        <f t="shared" si="71"/>
        <v>0</v>
      </c>
      <c r="Y117" s="138">
        <f t="shared" si="71"/>
        <v>0</v>
      </c>
      <c r="Z117" s="138">
        <f t="shared" si="70"/>
        <v>5</v>
      </c>
      <c r="AA117" s="138">
        <f t="shared" si="70"/>
        <v>0</v>
      </c>
      <c r="AB117" s="138">
        <f t="shared" si="70"/>
        <v>0</v>
      </c>
      <c r="AC117" s="138">
        <f t="shared" si="70"/>
        <v>0</v>
      </c>
      <c r="AD117" s="138">
        <f t="shared" si="70"/>
        <v>0</v>
      </c>
      <c r="AE117" s="138">
        <f t="shared" si="73"/>
        <v>0</v>
      </c>
      <c r="AF117" s="138">
        <f t="shared" si="73"/>
        <v>0</v>
      </c>
      <c r="AG117" s="138">
        <f t="shared" si="59"/>
        <v>0.41666666666666669</v>
      </c>
      <c r="AH117" s="195">
        <f t="shared" si="60"/>
        <v>0.41666666666666669</v>
      </c>
      <c r="AI117" s="138">
        <f t="shared" si="61"/>
        <v>5</v>
      </c>
      <c r="AJ117" s="132"/>
      <c r="AK117" s="196">
        <f t="shared" si="68"/>
        <v>1.8098969294264753</v>
      </c>
      <c r="AL117" s="198">
        <f t="shared" si="62"/>
        <v>9.0494846471323758</v>
      </c>
      <c r="AM117" s="197"/>
      <c r="AN117" s="196">
        <f t="shared" si="69"/>
        <v>126.82989692942647</v>
      </c>
      <c r="AO117" s="198">
        <f t="shared" si="63"/>
        <v>634.14948464713234</v>
      </c>
      <c r="AP117" s="199">
        <f t="shared" si="64"/>
        <v>1.56</v>
      </c>
      <c r="AQ117" s="200">
        <f t="shared" si="65"/>
        <v>7.8000000000000007</v>
      </c>
      <c r="AR117" s="132"/>
      <c r="AS117" s="201">
        <f t="shared" si="66"/>
        <v>126.58</v>
      </c>
      <c r="AT117" s="202">
        <f t="shared" si="67"/>
        <v>632.9</v>
      </c>
      <c r="AU117" s="132"/>
      <c r="AV117" s="132"/>
      <c r="AW117" s="132"/>
      <c r="AX117" s="132"/>
      <c r="AY117" s="132"/>
      <c r="AZ117" s="246"/>
    </row>
    <row r="118" spans="1:52" s="129" customFormat="1" ht="12" customHeight="1">
      <c r="A118" s="146" t="str">
        <f t="shared" si="55"/>
        <v>Grays Harbor WUTCCommercialFL008.0Y1W001</v>
      </c>
      <c r="B118" s="146">
        <f t="shared" si="72"/>
        <v>1</v>
      </c>
      <c r="C118" s="193" t="s">
        <v>329</v>
      </c>
      <c r="D118" s="193" t="s">
        <v>330</v>
      </c>
      <c r="E118" s="194">
        <v>548.08000000000004</v>
      </c>
      <c r="F118" s="194">
        <v>556.61666666666667</v>
      </c>
      <c r="G118" s="138">
        <v>3069.25</v>
      </c>
      <c r="H118" s="138">
        <v>3288.48</v>
      </c>
      <c r="I118" s="138">
        <v>4384.6400000000003</v>
      </c>
      <c r="J118" s="138">
        <v>4384.6400000000003</v>
      </c>
      <c r="K118" s="138">
        <v>4384.6400000000003</v>
      </c>
      <c r="L118" s="138">
        <v>5480.8</v>
      </c>
      <c r="M118" s="138">
        <v>4713.49</v>
      </c>
      <c r="N118" s="138">
        <v>3562.52</v>
      </c>
      <c r="O118" s="138">
        <v>3288.48</v>
      </c>
      <c r="P118" s="138">
        <v>2740.4</v>
      </c>
      <c r="Q118" s="138">
        <v>2783.1</v>
      </c>
      <c r="R118" s="138">
        <v>3339.72</v>
      </c>
      <c r="S118" s="139">
        <f t="shared" si="56"/>
        <v>45420.159999999996</v>
      </c>
      <c r="T118" s="132"/>
      <c r="U118" s="138">
        <f t="shared" si="71"/>
        <v>5.6000036491023204</v>
      </c>
      <c r="V118" s="138">
        <f t="shared" si="71"/>
        <v>6</v>
      </c>
      <c r="W118" s="138">
        <f t="shared" si="71"/>
        <v>8</v>
      </c>
      <c r="X118" s="138">
        <f t="shared" si="71"/>
        <v>8</v>
      </c>
      <c r="Y118" s="138">
        <f t="shared" si="71"/>
        <v>8</v>
      </c>
      <c r="Z118" s="138">
        <f t="shared" si="70"/>
        <v>10</v>
      </c>
      <c r="AA118" s="138">
        <f t="shared" si="70"/>
        <v>8.6000036491023195</v>
      </c>
      <c r="AB118" s="138">
        <f t="shared" si="70"/>
        <v>6.4999999999999991</v>
      </c>
      <c r="AC118" s="138">
        <f t="shared" si="70"/>
        <v>6</v>
      </c>
      <c r="AD118" s="138">
        <f t="shared" si="70"/>
        <v>5</v>
      </c>
      <c r="AE118" s="138">
        <f t="shared" si="73"/>
        <v>5.0000299428092339</v>
      </c>
      <c r="AF118" s="138">
        <f t="shared" si="73"/>
        <v>6.0000359313710812</v>
      </c>
      <c r="AG118" s="138">
        <f t="shared" si="59"/>
        <v>6.8916727643654134</v>
      </c>
      <c r="AH118" s="195">
        <f t="shared" si="60"/>
        <v>6.8916727643654134</v>
      </c>
      <c r="AI118" s="138">
        <f t="shared" si="61"/>
        <v>82.700073172384961</v>
      </c>
      <c r="AJ118" s="132"/>
      <c r="AK118" s="196">
        <f t="shared" si="68"/>
        <v>8.0580610771684533</v>
      </c>
      <c r="AL118" s="198">
        <f t="shared" si="62"/>
        <v>666.40224070937825</v>
      </c>
      <c r="AM118" s="197"/>
      <c r="AN118" s="196">
        <f t="shared" si="69"/>
        <v>564.67472774383509</v>
      </c>
      <c r="AO118" s="198">
        <f t="shared" si="63"/>
        <v>46698.641303011718</v>
      </c>
      <c r="AP118" s="199">
        <f t="shared" si="64"/>
        <v>6.96</v>
      </c>
      <c r="AQ118" s="200">
        <f t="shared" si="65"/>
        <v>575.59250927979929</v>
      </c>
      <c r="AR118" s="132"/>
      <c r="AS118" s="201">
        <f t="shared" si="66"/>
        <v>563.57666666666671</v>
      </c>
      <c r="AT118" s="202">
        <f t="shared" si="67"/>
        <v>46607.831571582145</v>
      </c>
      <c r="AU118" s="132"/>
      <c r="AV118" s="132"/>
      <c r="AW118" s="132"/>
      <c r="AX118" s="132"/>
      <c r="AY118" s="132"/>
      <c r="AZ118" s="246"/>
    </row>
    <row r="119" spans="1:52" s="129" customFormat="1" ht="12" customHeight="1">
      <c r="A119" s="146" t="str">
        <f t="shared" si="55"/>
        <v>Grays Harbor WUTCCommercialFL008.0YEO001</v>
      </c>
      <c r="B119" s="146">
        <f t="shared" si="72"/>
        <v>1</v>
      </c>
      <c r="C119" s="193" t="s">
        <v>331</v>
      </c>
      <c r="D119" s="193" t="s">
        <v>332</v>
      </c>
      <c r="E119" s="194">
        <v>308.23</v>
      </c>
      <c r="F119" s="194">
        <v>312.49833333333333</v>
      </c>
      <c r="G119" s="138">
        <v>308.23</v>
      </c>
      <c r="H119" s="138">
        <v>308.23</v>
      </c>
      <c r="I119" s="138">
        <v>308.23</v>
      </c>
      <c r="J119" s="138">
        <v>308.23</v>
      </c>
      <c r="K119" s="138">
        <v>308.23</v>
      </c>
      <c r="L119" s="138">
        <v>308.23</v>
      </c>
      <c r="M119" s="138">
        <v>462.35</v>
      </c>
      <c r="N119" s="138">
        <v>770.58</v>
      </c>
      <c r="O119" s="138">
        <v>616.46</v>
      </c>
      <c r="P119" s="138">
        <v>616.46</v>
      </c>
      <c r="Q119" s="138">
        <v>625</v>
      </c>
      <c r="R119" s="138">
        <v>312.5</v>
      </c>
      <c r="S119" s="139">
        <f t="shared" si="56"/>
        <v>5252.73</v>
      </c>
      <c r="T119" s="132"/>
      <c r="U119" s="138">
        <f t="shared" si="71"/>
        <v>1</v>
      </c>
      <c r="V119" s="138">
        <f t="shared" si="71"/>
        <v>1</v>
      </c>
      <c r="W119" s="138">
        <f t="shared" si="71"/>
        <v>1</v>
      </c>
      <c r="X119" s="138">
        <f t="shared" si="71"/>
        <v>1</v>
      </c>
      <c r="Y119" s="138">
        <f t="shared" si="71"/>
        <v>1</v>
      </c>
      <c r="Z119" s="138">
        <f t="shared" si="70"/>
        <v>1</v>
      </c>
      <c r="AA119" s="138">
        <f t="shared" si="70"/>
        <v>1.500016221652662</v>
      </c>
      <c r="AB119" s="138">
        <f t="shared" si="70"/>
        <v>2.500016221652662</v>
      </c>
      <c r="AC119" s="138">
        <f t="shared" si="70"/>
        <v>2</v>
      </c>
      <c r="AD119" s="138">
        <f t="shared" si="70"/>
        <v>2</v>
      </c>
      <c r="AE119" s="138">
        <f t="shared" si="73"/>
        <v>2.000010666723556</v>
      </c>
      <c r="AF119" s="138">
        <f t="shared" si="73"/>
        <v>1.000005333361778</v>
      </c>
      <c r="AG119" s="138">
        <f t="shared" si="59"/>
        <v>1.4166707036158881</v>
      </c>
      <c r="AH119" s="195">
        <f t="shared" si="60"/>
        <v>1.4166707036158881</v>
      </c>
      <c r="AI119" s="138">
        <f t="shared" si="61"/>
        <v>17.000048443390657</v>
      </c>
      <c r="AJ119" s="132"/>
      <c r="AK119" s="196">
        <f t="shared" si="68"/>
        <v>4.5239943525107282</v>
      </c>
      <c r="AL119" s="198">
        <f t="shared" si="62"/>
        <v>76.908123150308128</v>
      </c>
      <c r="AM119" s="197"/>
      <c r="AN119" s="196">
        <f t="shared" si="69"/>
        <v>317.02232768584406</v>
      </c>
      <c r="AO119" s="198">
        <f t="shared" si="63"/>
        <v>5389.3949282958165</v>
      </c>
      <c r="AP119" s="199">
        <f t="shared" si="64"/>
        <v>3.91</v>
      </c>
      <c r="AQ119" s="200">
        <f t="shared" si="65"/>
        <v>66.470189413657465</v>
      </c>
      <c r="AR119" s="132"/>
      <c r="AS119" s="201">
        <f t="shared" si="66"/>
        <v>316.40833333333336</v>
      </c>
      <c r="AT119" s="202">
        <f t="shared" si="67"/>
        <v>5378.9569945591657</v>
      </c>
      <c r="AU119" s="132"/>
      <c r="AV119" s="132"/>
      <c r="AW119" s="132"/>
      <c r="AX119" s="132"/>
      <c r="AY119" s="132"/>
      <c r="AZ119" s="246"/>
    </row>
    <row r="120" spans="1:52" s="129" customFormat="1" ht="12" customHeight="1">
      <c r="A120" s="146" t="str">
        <f t="shared" si="55"/>
        <v>Grays Harbor WUTCCommercialRL032.0G1W001COMM</v>
      </c>
      <c r="B120" s="146">
        <f t="shared" si="72"/>
        <v>1</v>
      </c>
      <c r="C120" s="193" t="s">
        <v>333</v>
      </c>
      <c r="D120" s="193" t="s">
        <v>334</v>
      </c>
      <c r="E120" s="194">
        <v>14.49</v>
      </c>
      <c r="F120" s="194">
        <v>14.74</v>
      </c>
      <c r="G120" s="138">
        <v>1521.45</v>
      </c>
      <c r="H120" s="138">
        <v>1535.94</v>
      </c>
      <c r="I120" s="138">
        <v>1535.94</v>
      </c>
      <c r="J120" s="138">
        <v>1535.94</v>
      </c>
      <c r="K120" s="138">
        <v>1553.34</v>
      </c>
      <c r="L120" s="138">
        <v>1608.71</v>
      </c>
      <c r="M120" s="138">
        <v>1637.37</v>
      </c>
      <c r="N120" s="138">
        <v>1637.37</v>
      </c>
      <c r="O120" s="138">
        <v>1676.52</v>
      </c>
      <c r="P120" s="138">
        <v>1724.31</v>
      </c>
      <c r="Q120" s="138">
        <v>1559.36</v>
      </c>
      <c r="R120" s="138">
        <v>1754.06</v>
      </c>
      <c r="S120" s="139">
        <f t="shared" si="56"/>
        <v>19280.309999999998</v>
      </c>
      <c r="T120" s="132"/>
      <c r="U120" s="138">
        <f t="shared" si="71"/>
        <v>105</v>
      </c>
      <c r="V120" s="138">
        <f t="shared" si="71"/>
        <v>106</v>
      </c>
      <c r="W120" s="138">
        <f t="shared" si="71"/>
        <v>106</v>
      </c>
      <c r="X120" s="138">
        <f t="shared" si="71"/>
        <v>106</v>
      </c>
      <c r="Y120" s="138">
        <f t="shared" si="71"/>
        <v>107.20082815734989</v>
      </c>
      <c r="Z120" s="138">
        <f t="shared" si="70"/>
        <v>111.02208419599724</v>
      </c>
      <c r="AA120" s="138">
        <f t="shared" si="70"/>
        <v>112.99999999999999</v>
      </c>
      <c r="AB120" s="138">
        <f t="shared" si="70"/>
        <v>112.99999999999999</v>
      </c>
      <c r="AC120" s="138">
        <f t="shared" si="70"/>
        <v>115.70186335403726</v>
      </c>
      <c r="AD120" s="138">
        <f t="shared" si="70"/>
        <v>119</v>
      </c>
      <c r="AE120" s="138">
        <f t="shared" si="73"/>
        <v>105.79104477611939</v>
      </c>
      <c r="AF120" s="138">
        <f t="shared" si="73"/>
        <v>119</v>
      </c>
      <c r="AG120" s="138">
        <f t="shared" si="59"/>
        <v>110.55965170695866</v>
      </c>
      <c r="AH120" s="195">
        <f t="shared" si="60"/>
        <v>110.55965170695866</v>
      </c>
      <c r="AI120" s="138">
        <f t="shared" si="61"/>
        <v>1326.7158204835039</v>
      </c>
      <c r="AJ120" s="132"/>
      <c r="AK120" s="196">
        <f t="shared" si="68"/>
        <v>0.21338890369337904</v>
      </c>
      <c r="AL120" s="198">
        <f t="shared" si="62"/>
        <v>283.10643444563675</v>
      </c>
      <c r="AM120" s="197"/>
      <c r="AN120" s="196">
        <f t="shared" si="69"/>
        <v>14.95338890369338</v>
      </c>
      <c r="AO120" s="198">
        <f t="shared" si="63"/>
        <v>19838.897628372484</v>
      </c>
      <c r="AP120" s="199">
        <f t="shared" si="64"/>
        <v>0.18</v>
      </c>
      <c r="AQ120" s="200">
        <f t="shared" si="65"/>
        <v>238.80884768703069</v>
      </c>
      <c r="AR120" s="132"/>
      <c r="AS120" s="201">
        <f t="shared" si="66"/>
        <v>14.92</v>
      </c>
      <c r="AT120" s="202">
        <f t="shared" si="67"/>
        <v>19794.600041613878</v>
      </c>
      <c r="AU120" s="132"/>
      <c r="AV120" s="132"/>
      <c r="AW120" s="132"/>
      <c r="AX120" s="132"/>
      <c r="AY120" s="132"/>
      <c r="AZ120" s="246"/>
    </row>
    <row r="121" spans="1:52" s="129" customFormat="1" ht="12" customHeight="1">
      <c r="A121" s="146" t="str">
        <f t="shared" si="55"/>
        <v>Grays Harbor WUTCCommercialRL032.0G1W001NORECC</v>
      </c>
      <c r="B121" s="146">
        <f t="shared" si="72"/>
        <v>1</v>
      </c>
      <c r="C121" s="193" t="s">
        <v>337</v>
      </c>
      <c r="D121" s="193" t="s">
        <v>338</v>
      </c>
      <c r="E121" s="194">
        <v>14.49</v>
      </c>
      <c r="F121" s="194">
        <v>14.74</v>
      </c>
      <c r="G121" s="138">
        <v>14.49</v>
      </c>
      <c r="H121" s="138">
        <v>14.49</v>
      </c>
      <c r="I121" s="138">
        <v>14.49</v>
      </c>
      <c r="J121" s="138">
        <v>14.49</v>
      </c>
      <c r="K121" s="138">
        <v>14.49</v>
      </c>
      <c r="L121" s="138">
        <v>14.49</v>
      </c>
      <c r="M121" s="138">
        <v>14.49</v>
      </c>
      <c r="N121" s="138">
        <v>14.49</v>
      </c>
      <c r="O121" s="138">
        <v>14.49</v>
      </c>
      <c r="P121" s="138">
        <v>14.49</v>
      </c>
      <c r="Q121" s="138">
        <v>14.74</v>
      </c>
      <c r="R121" s="138">
        <v>14.74</v>
      </c>
      <c r="S121" s="139">
        <f t="shared" si="56"/>
        <v>174.38000000000002</v>
      </c>
      <c r="T121" s="132"/>
      <c r="U121" s="138">
        <f t="shared" si="71"/>
        <v>1</v>
      </c>
      <c r="V121" s="138">
        <f t="shared" si="71"/>
        <v>1</v>
      </c>
      <c r="W121" s="138">
        <f t="shared" si="71"/>
        <v>1</v>
      </c>
      <c r="X121" s="138">
        <f t="shared" si="71"/>
        <v>1</v>
      </c>
      <c r="Y121" s="138">
        <f t="shared" si="71"/>
        <v>1</v>
      </c>
      <c r="Z121" s="138">
        <f t="shared" si="70"/>
        <v>1</v>
      </c>
      <c r="AA121" s="138">
        <f t="shared" si="70"/>
        <v>1</v>
      </c>
      <c r="AB121" s="138">
        <f t="shared" si="70"/>
        <v>1</v>
      </c>
      <c r="AC121" s="138">
        <f t="shared" si="70"/>
        <v>1</v>
      </c>
      <c r="AD121" s="138">
        <f t="shared" si="70"/>
        <v>1</v>
      </c>
      <c r="AE121" s="138">
        <f t="shared" si="73"/>
        <v>1</v>
      </c>
      <c r="AF121" s="138">
        <f t="shared" si="73"/>
        <v>1</v>
      </c>
      <c r="AG121" s="138">
        <f t="shared" si="59"/>
        <v>1</v>
      </c>
      <c r="AH121" s="195">
        <f t="shared" si="60"/>
        <v>1</v>
      </c>
      <c r="AI121" s="138">
        <f t="shared" si="61"/>
        <v>12</v>
      </c>
      <c r="AJ121" s="132"/>
      <c r="AK121" s="196">
        <f t="shared" si="68"/>
        <v>0.21338890369337904</v>
      </c>
      <c r="AL121" s="198">
        <f t="shared" si="62"/>
        <v>2.5606668443205485</v>
      </c>
      <c r="AM121" s="197"/>
      <c r="AN121" s="196">
        <f t="shared" si="69"/>
        <v>14.95338890369338</v>
      </c>
      <c r="AO121" s="198">
        <f t="shared" si="63"/>
        <v>179.44066684432056</v>
      </c>
      <c r="AP121" s="199">
        <f t="shared" si="64"/>
        <v>0.18</v>
      </c>
      <c r="AQ121" s="200">
        <f t="shared" si="65"/>
        <v>2.16</v>
      </c>
      <c r="AR121" s="132"/>
      <c r="AS121" s="201">
        <f t="shared" si="66"/>
        <v>14.92</v>
      </c>
      <c r="AT121" s="202">
        <f t="shared" si="67"/>
        <v>179.04</v>
      </c>
      <c r="AU121" s="132"/>
      <c r="AV121" s="132"/>
      <c r="AW121" s="132"/>
      <c r="AX121" s="132"/>
      <c r="AY121" s="132"/>
      <c r="AZ121" s="246"/>
    </row>
    <row r="122" spans="1:52" s="129" customFormat="1" ht="12" customHeight="1">
      <c r="A122" s="146" t="str">
        <f t="shared" si="55"/>
        <v>Grays Harbor WUTCCommercialRL032.0G1W001WRECC</v>
      </c>
      <c r="B122" s="146">
        <f t="shared" si="72"/>
        <v>1</v>
      </c>
      <c r="C122" s="193" t="s">
        <v>335</v>
      </c>
      <c r="D122" s="193" t="s">
        <v>336</v>
      </c>
      <c r="E122" s="194">
        <v>14.49</v>
      </c>
      <c r="F122" s="194">
        <v>14.74</v>
      </c>
      <c r="G122" s="138">
        <v>2086.56</v>
      </c>
      <c r="H122" s="138">
        <v>2086.56</v>
      </c>
      <c r="I122" s="138">
        <v>2082.94</v>
      </c>
      <c r="J122" s="138">
        <v>2072.0700000000002</v>
      </c>
      <c r="K122" s="138">
        <v>2072.0700000000002</v>
      </c>
      <c r="L122" s="138">
        <v>2072.0700000000002</v>
      </c>
      <c r="M122" s="138">
        <v>2057.58</v>
      </c>
      <c r="N122" s="138">
        <v>2043.09</v>
      </c>
      <c r="O122" s="138">
        <v>1932.21</v>
      </c>
      <c r="P122" s="138">
        <v>1898.19</v>
      </c>
      <c r="Q122" s="138">
        <v>1930.94</v>
      </c>
      <c r="R122" s="138">
        <v>1930.94</v>
      </c>
      <c r="S122" s="139">
        <f t="shared" si="56"/>
        <v>24265.219999999994</v>
      </c>
      <c r="T122" s="132"/>
      <c r="U122" s="138">
        <f t="shared" si="71"/>
        <v>144</v>
      </c>
      <c r="V122" s="138">
        <f t="shared" si="71"/>
        <v>144</v>
      </c>
      <c r="W122" s="138">
        <f t="shared" si="71"/>
        <v>143.75017253278122</v>
      </c>
      <c r="X122" s="138">
        <f t="shared" si="71"/>
        <v>143</v>
      </c>
      <c r="Y122" s="138">
        <f t="shared" si="71"/>
        <v>143</v>
      </c>
      <c r="Z122" s="138">
        <f t="shared" si="70"/>
        <v>143</v>
      </c>
      <c r="AA122" s="138">
        <f t="shared" si="70"/>
        <v>142</v>
      </c>
      <c r="AB122" s="138">
        <f t="shared" si="70"/>
        <v>141</v>
      </c>
      <c r="AC122" s="138">
        <f t="shared" si="70"/>
        <v>133.34782608695653</v>
      </c>
      <c r="AD122" s="138">
        <f t="shared" si="70"/>
        <v>131</v>
      </c>
      <c r="AE122" s="138">
        <f t="shared" si="73"/>
        <v>131</v>
      </c>
      <c r="AF122" s="138">
        <f t="shared" si="73"/>
        <v>131</v>
      </c>
      <c r="AG122" s="138">
        <f t="shared" si="59"/>
        <v>139.17483321831148</v>
      </c>
      <c r="AH122" s="195">
        <f t="shared" si="60"/>
        <v>139.17483321831148</v>
      </c>
      <c r="AI122" s="138">
        <f t="shared" si="61"/>
        <v>1670.0979986197376</v>
      </c>
      <c r="AJ122" s="132"/>
      <c r="AK122" s="196">
        <f t="shared" si="68"/>
        <v>0.21338890369337904</v>
      </c>
      <c r="AL122" s="198">
        <f t="shared" si="62"/>
        <v>356.38038098597229</v>
      </c>
      <c r="AM122" s="197"/>
      <c r="AN122" s="196">
        <f t="shared" si="69"/>
        <v>14.95338890369338</v>
      </c>
      <c r="AO122" s="198">
        <f t="shared" si="63"/>
        <v>24973.624880640906</v>
      </c>
      <c r="AP122" s="199">
        <f t="shared" si="64"/>
        <v>0.18</v>
      </c>
      <c r="AQ122" s="200">
        <f t="shared" si="65"/>
        <v>300.61763975155276</v>
      </c>
      <c r="AR122" s="132"/>
      <c r="AS122" s="201">
        <f t="shared" si="66"/>
        <v>14.92</v>
      </c>
      <c r="AT122" s="202">
        <f t="shared" si="67"/>
        <v>24917.862139406487</v>
      </c>
      <c r="AU122" s="132"/>
      <c r="AV122" s="132"/>
      <c r="AW122" s="132"/>
      <c r="AX122" s="132"/>
      <c r="AY122" s="132"/>
      <c r="AZ122" s="246"/>
    </row>
    <row r="123" spans="1:52" s="129" customFormat="1" ht="12" customHeight="1">
      <c r="A123" s="146" t="str">
        <f t="shared" si="55"/>
        <v>Grays Harbor WUTCCommercialRL032.0G1W002COMM</v>
      </c>
      <c r="B123" s="146">
        <f t="shared" si="72"/>
        <v>1</v>
      </c>
      <c r="C123" s="193" t="s">
        <v>339</v>
      </c>
      <c r="D123" s="193" t="s">
        <v>341</v>
      </c>
      <c r="E123" s="194">
        <v>27.65</v>
      </c>
      <c r="F123" s="194">
        <v>28.166666666666664</v>
      </c>
      <c r="G123" s="138">
        <v>27.65</v>
      </c>
      <c r="H123" s="138">
        <v>27.65</v>
      </c>
      <c r="I123" s="138">
        <v>27.65</v>
      </c>
      <c r="J123" s="138">
        <v>27.65</v>
      </c>
      <c r="K123" s="138">
        <v>27.65</v>
      </c>
      <c r="L123" s="138">
        <v>27.65</v>
      </c>
      <c r="M123" s="138">
        <v>27.65</v>
      </c>
      <c r="N123" s="138">
        <v>27.65</v>
      </c>
      <c r="O123" s="138">
        <v>27.65</v>
      </c>
      <c r="P123" s="138">
        <v>27.65</v>
      </c>
      <c r="Q123" s="138">
        <v>28.17</v>
      </c>
      <c r="R123" s="138">
        <v>28.17</v>
      </c>
      <c r="S123" s="139">
        <f t="shared" si="56"/>
        <v>332.84000000000003</v>
      </c>
      <c r="T123" s="132"/>
      <c r="U123" s="138">
        <f t="shared" si="71"/>
        <v>1</v>
      </c>
      <c r="V123" s="138">
        <f t="shared" si="71"/>
        <v>1</v>
      </c>
      <c r="W123" s="138">
        <f t="shared" si="71"/>
        <v>1</v>
      </c>
      <c r="X123" s="138">
        <f t="shared" si="71"/>
        <v>1</v>
      </c>
      <c r="Y123" s="138">
        <f t="shared" si="71"/>
        <v>1</v>
      </c>
      <c r="Z123" s="138">
        <f t="shared" si="70"/>
        <v>1</v>
      </c>
      <c r="AA123" s="138">
        <f t="shared" si="70"/>
        <v>1</v>
      </c>
      <c r="AB123" s="138">
        <f t="shared" si="70"/>
        <v>1</v>
      </c>
      <c r="AC123" s="138">
        <f t="shared" si="70"/>
        <v>1</v>
      </c>
      <c r="AD123" s="138">
        <f t="shared" si="70"/>
        <v>1</v>
      </c>
      <c r="AE123" s="138">
        <f t="shared" si="73"/>
        <v>1.0001183431952665</v>
      </c>
      <c r="AF123" s="138">
        <f t="shared" si="73"/>
        <v>1.0001183431952665</v>
      </c>
      <c r="AG123" s="138">
        <f t="shared" si="59"/>
        <v>1.0000197238658777</v>
      </c>
      <c r="AH123" s="195">
        <f t="shared" si="60"/>
        <v>1.0000197238658777</v>
      </c>
      <c r="AI123" s="138">
        <f t="shared" si="61"/>
        <v>12.000236686390533</v>
      </c>
      <c r="AJ123" s="132"/>
      <c r="AK123" s="196">
        <f t="shared" si="68"/>
        <v>0.4077648657189174</v>
      </c>
      <c r="AL123" s="198">
        <f t="shared" si="62"/>
        <v>4.8932749010212619</v>
      </c>
      <c r="AM123" s="197"/>
      <c r="AN123" s="196">
        <f t="shared" si="69"/>
        <v>28.574431532385582</v>
      </c>
      <c r="AO123" s="198">
        <f t="shared" si="63"/>
        <v>342.8999415676879</v>
      </c>
      <c r="AP123" s="199">
        <f t="shared" si="64"/>
        <v>0.35</v>
      </c>
      <c r="AQ123" s="200">
        <f t="shared" si="65"/>
        <v>4.2000828402366865</v>
      </c>
      <c r="AR123" s="132"/>
      <c r="AS123" s="201">
        <f t="shared" si="66"/>
        <v>28.516666666666666</v>
      </c>
      <c r="AT123" s="202">
        <f t="shared" si="67"/>
        <v>342.20674950690335</v>
      </c>
      <c r="AU123" s="132"/>
      <c r="AV123" s="132"/>
      <c r="AW123" s="132"/>
      <c r="AX123" s="132"/>
      <c r="AY123" s="132"/>
      <c r="AZ123" s="246"/>
    </row>
    <row r="124" spans="1:52" s="129" customFormat="1" ht="12" customHeight="1">
      <c r="A124" s="146" t="str">
        <f t="shared" si="55"/>
        <v>Grays Harbor WUTCCommercialRL032.0G1W002WRECC</v>
      </c>
      <c r="B124" s="146">
        <f t="shared" si="72"/>
        <v>1</v>
      </c>
      <c r="C124" s="193" t="s">
        <v>340</v>
      </c>
      <c r="D124" s="193" t="s">
        <v>341</v>
      </c>
      <c r="E124" s="194">
        <v>27.65</v>
      </c>
      <c r="F124" s="194">
        <v>28.166666666666664</v>
      </c>
      <c r="G124" s="138">
        <v>82.95</v>
      </c>
      <c r="H124" s="138">
        <v>82.95</v>
      </c>
      <c r="I124" s="138">
        <v>82.95</v>
      </c>
      <c r="J124" s="138">
        <v>82.95</v>
      </c>
      <c r="K124" s="138">
        <v>82.95</v>
      </c>
      <c r="L124" s="138">
        <v>82.95</v>
      </c>
      <c r="M124" s="138">
        <v>82.95</v>
      </c>
      <c r="N124" s="138">
        <v>82.95</v>
      </c>
      <c r="O124" s="138">
        <v>82.95</v>
      </c>
      <c r="P124" s="138">
        <v>82.95</v>
      </c>
      <c r="Q124" s="138">
        <v>84.51</v>
      </c>
      <c r="R124" s="138">
        <v>84.51</v>
      </c>
      <c r="S124" s="139">
        <f t="shared" si="56"/>
        <v>998.5200000000001</v>
      </c>
      <c r="T124" s="132"/>
      <c r="U124" s="138">
        <f t="shared" si="71"/>
        <v>3.0000000000000004</v>
      </c>
      <c r="V124" s="138">
        <f t="shared" si="71"/>
        <v>3.0000000000000004</v>
      </c>
      <c r="W124" s="138">
        <f t="shared" si="71"/>
        <v>3.0000000000000004</v>
      </c>
      <c r="X124" s="138">
        <f t="shared" si="71"/>
        <v>3.0000000000000004</v>
      </c>
      <c r="Y124" s="138">
        <f t="shared" si="71"/>
        <v>3.0000000000000004</v>
      </c>
      <c r="Z124" s="138">
        <f t="shared" si="70"/>
        <v>3.0000000000000004</v>
      </c>
      <c r="AA124" s="138">
        <f t="shared" si="70"/>
        <v>3.0000000000000004</v>
      </c>
      <c r="AB124" s="138">
        <f t="shared" si="70"/>
        <v>3.0000000000000004</v>
      </c>
      <c r="AC124" s="138">
        <f t="shared" si="70"/>
        <v>3.0000000000000004</v>
      </c>
      <c r="AD124" s="138">
        <f t="shared" si="70"/>
        <v>3.0000000000000004</v>
      </c>
      <c r="AE124" s="138">
        <f t="shared" si="73"/>
        <v>3.0003550295857995</v>
      </c>
      <c r="AF124" s="138">
        <f t="shared" si="73"/>
        <v>3.0003550295857995</v>
      </c>
      <c r="AG124" s="138">
        <f t="shared" si="59"/>
        <v>3.0000591715976337</v>
      </c>
      <c r="AH124" s="195">
        <f t="shared" si="60"/>
        <v>3.0000591715976337</v>
      </c>
      <c r="AI124" s="138">
        <f t="shared" si="61"/>
        <v>36.000710059171602</v>
      </c>
      <c r="AJ124" s="132"/>
      <c r="AK124" s="196">
        <f t="shared" si="68"/>
        <v>0.4077648657189174</v>
      </c>
      <c r="AL124" s="198">
        <f t="shared" si="62"/>
        <v>14.679824703063787</v>
      </c>
      <c r="AM124" s="197"/>
      <c r="AN124" s="196">
        <f t="shared" si="69"/>
        <v>28.574431532385582</v>
      </c>
      <c r="AO124" s="198">
        <f t="shared" si="63"/>
        <v>1028.6998247030638</v>
      </c>
      <c r="AP124" s="199">
        <f t="shared" si="64"/>
        <v>0.35</v>
      </c>
      <c r="AQ124" s="200">
        <f t="shared" si="65"/>
        <v>12.600248520710061</v>
      </c>
      <c r="AR124" s="132"/>
      <c r="AS124" s="201">
        <f t="shared" si="66"/>
        <v>28.516666666666666</v>
      </c>
      <c r="AT124" s="202">
        <f t="shared" si="67"/>
        <v>1026.6202485207102</v>
      </c>
      <c r="AU124" s="132"/>
      <c r="AV124" s="132"/>
      <c r="AW124" s="132"/>
      <c r="AX124" s="132"/>
      <c r="AY124" s="132"/>
      <c r="AZ124" s="246"/>
    </row>
    <row r="125" spans="1:52" s="129" customFormat="1" ht="12" customHeight="1">
      <c r="A125" s="146" t="str">
        <f t="shared" si="55"/>
        <v>Grays Harbor WUTCCommercialRL032.0G1W003WRECC</v>
      </c>
      <c r="B125" s="146">
        <f t="shared" si="72"/>
        <v>1</v>
      </c>
      <c r="C125" s="193" t="s">
        <v>342</v>
      </c>
      <c r="D125" s="193" t="s">
        <v>343</v>
      </c>
      <c r="E125" s="194">
        <v>41.47</v>
      </c>
      <c r="F125" s="194">
        <v>42.25</v>
      </c>
      <c r="G125" s="138">
        <v>41.47</v>
      </c>
      <c r="H125" s="138">
        <v>41.47</v>
      </c>
      <c r="I125" s="138">
        <v>41.47</v>
      </c>
      <c r="J125" s="138">
        <v>41.47</v>
      </c>
      <c r="K125" s="138">
        <v>41.47</v>
      </c>
      <c r="L125" s="138">
        <v>41.47</v>
      </c>
      <c r="M125" s="138">
        <v>41.47</v>
      </c>
      <c r="N125" s="138">
        <v>41.47</v>
      </c>
      <c r="O125" s="138">
        <v>41.47</v>
      </c>
      <c r="P125" s="138">
        <v>41.47</v>
      </c>
      <c r="Q125" s="138">
        <v>42.25</v>
      </c>
      <c r="R125" s="138">
        <v>42.25</v>
      </c>
      <c r="S125" s="139">
        <f t="shared" si="56"/>
        <v>499.20000000000005</v>
      </c>
      <c r="T125" s="132"/>
      <c r="U125" s="138">
        <f t="shared" si="71"/>
        <v>1</v>
      </c>
      <c r="V125" s="138">
        <f t="shared" si="71"/>
        <v>1</v>
      </c>
      <c r="W125" s="138">
        <f t="shared" si="71"/>
        <v>1</v>
      </c>
      <c r="X125" s="138">
        <f t="shared" si="71"/>
        <v>1</v>
      </c>
      <c r="Y125" s="138">
        <f t="shared" si="71"/>
        <v>1</v>
      </c>
      <c r="Z125" s="138">
        <f t="shared" si="70"/>
        <v>1</v>
      </c>
      <c r="AA125" s="138">
        <f t="shared" si="70"/>
        <v>1</v>
      </c>
      <c r="AB125" s="138">
        <f t="shared" si="70"/>
        <v>1</v>
      </c>
      <c r="AC125" s="138">
        <f t="shared" si="70"/>
        <v>1</v>
      </c>
      <c r="AD125" s="138">
        <f t="shared" si="70"/>
        <v>1</v>
      </c>
      <c r="AE125" s="138">
        <f t="shared" si="73"/>
        <v>1</v>
      </c>
      <c r="AF125" s="138">
        <f t="shared" si="73"/>
        <v>1</v>
      </c>
      <c r="AG125" s="138">
        <f t="shared" si="59"/>
        <v>1</v>
      </c>
      <c r="AH125" s="195">
        <f t="shared" si="60"/>
        <v>1</v>
      </c>
      <c r="AI125" s="138">
        <f t="shared" si="61"/>
        <v>12</v>
      </c>
      <c r="AJ125" s="132"/>
      <c r="AK125" s="196">
        <f t="shared" si="68"/>
        <v>0.61164729857837619</v>
      </c>
      <c r="AL125" s="198">
        <f t="shared" si="62"/>
        <v>7.3397675829405138</v>
      </c>
      <c r="AM125" s="197"/>
      <c r="AN125" s="196">
        <f t="shared" si="69"/>
        <v>42.861647298578376</v>
      </c>
      <c r="AO125" s="198">
        <f t="shared" si="63"/>
        <v>514.33976758294057</v>
      </c>
      <c r="AP125" s="199">
        <f t="shared" si="64"/>
        <v>0.53</v>
      </c>
      <c r="AQ125" s="200">
        <f t="shared" si="65"/>
        <v>6.36</v>
      </c>
      <c r="AR125" s="132"/>
      <c r="AS125" s="201">
        <f t="shared" si="66"/>
        <v>42.78</v>
      </c>
      <c r="AT125" s="202">
        <f t="shared" si="67"/>
        <v>513.36</v>
      </c>
      <c r="AU125" s="132"/>
      <c r="AV125" s="132"/>
      <c r="AW125" s="132"/>
      <c r="AX125" s="132"/>
      <c r="AY125" s="132"/>
      <c r="AZ125" s="246"/>
    </row>
    <row r="126" spans="1:52" s="129" customFormat="1" ht="12" customHeight="1">
      <c r="A126" s="146" t="str">
        <f t="shared" si="55"/>
        <v>Grays Harbor WUTCCommercialRL032.0G1W004COMM</v>
      </c>
      <c r="B126" s="146">
        <f t="shared" si="72"/>
        <v>1</v>
      </c>
      <c r="C126" s="193" t="s">
        <v>532</v>
      </c>
      <c r="D126" s="193" t="s">
        <v>533</v>
      </c>
      <c r="E126" s="194">
        <v>55.29</v>
      </c>
      <c r="F126" s="194">
        <v>56.333333333333329</v>
      </c>
      <c r="G126" s="138">
        <v>55.29</v>
      </c>
      <c r="H126" s="138">
        <v>55.29</v>
      </c>
      <c r="I126" s="138">
        <v>55.29</v>
      </c>
      <c r="J126" s="138">
        <v>55.29</v>
      </c>
      <c r="K126" s="138">
        <v>55.29</v>
      </c>
      <c r="L126" s="138">
        <v>55.29</v>
      </c>
      <c r="M126" s="138">
        <v>55.29</v>
      </c>
      <c r="N126" s="138">
        <v>55.29</v>
      </c>
      <c r="O126" s="138">
        <v>55.29</v>
      </c>
      <c r="P126" s="138">
        <v>55.29</v>
      </c>
      <c r="Q126" s="138">
        <v>56.33</v>
      </c>
      <c r="R126" s="138">
        <v>56.33</v>
      </c>
      <c r="S126" s="139">
        <f t="shared" si="56"/>
        <v>665.56000000000017</v>
      </c>
      <c r="T126" s="132"/>
      <c r="U126" s="138">
        <f t="shared" si="71"/>
        <v>1</v>
      </c>
      <c r="V126" s="138">
        <f t="shared" si="71"/>
        <v>1</v>
      </c>
      <c r="W126" s="138">
        <f t="shared" si="71"/>
        <v>1</v>
      </c>
      <c r="X126" s="138">
        <f t="shared" si="71"/>
        <v>1</v>
      </c>
      <c r="Y126" s="138">
        <f t="shared" si="71"/>
        <v>1</v>
      </c>
      <c r="Z126" s="138">
        <f t="shared" si="70"/>
        <v>1</v>
      </c>
      <c r="AA126" s="138">
        <f t="shared" si="70"/>
        <v>1</v>
      </c>
      <c r="AB126" s="138">
        <f t="shared" si="70"/>
        <v>1</v>
      </c>
      <c r="AC126" s="138">
        <f t="shared" si="70"/>
        <v>1</v>
      </c>
      <c r="AD126" s="138">
        <f t="shared" si="70"/>
        <v>1</v>
      </c>
      <c r="AE126" s="138">
        <f t="shared" si="73"/>
        <v>0.99994082840236687</v>
      </c>
      <c r="AF126" s="138">
        <f t="shared" si="73"/>
        <v>0.99994082840236687</v>
      </c>
      <c r="AG126" s="138">
        <f t="shared" si="59"/>
        <v>0.99999013806706127</v>
      </c>
      <c r="AH126" s="195">
        <f t="shared" si="60"/>
        <v>0.99999013806706127</v>
      </c>
      <c r="AI126" s="138">
        <f t="shared" si="61"/>
        <v>11.999881656804735</v>
      </c>
      <c r="AJ126" s="132"/>
      <c r="AK126" s="196">
        <f t="shared" si="68"/>
        <v>0.8155297314378348</v>
      </c>
      <c r="AL126" s="198">
        <f t="shared" si="62"/>
        <v>9.7862602648597665</v>
      </c>
      <c r="AM126" s="197"/>
      <c r="AN126" s="196">
        <f t="shared" si="69"/>
        <v>57.148863064771163</v>
      </c>
      <c r="AO126" s="198">
        <f t="shared" si="63"/>
        <v>685.77959359819317</v>
      </c>
      <c r="AP126" s="199">
        <f t="shared" si="64"/>
        <v>0.7</v>
      </c>
      <c r="AQ126" s="200">
        <f t="shared" si="65"/>
        <v>8.399917159763314</v>
      </c>
      <c r="AR126" s="132"/>
      <c r="AS126" s="201">
        <f t="shared" si="66"/>
        <v>57.033333333333331</v>
      </c>
      <c r="AT126" s="202">
        <f t="shared" si="67"/>
        <v>684.39325049309673</v>
      </c>
      <c r="AU126" s="132"/>
      <c r="AV126" s="132"/>
      <c r="AW126" s="132"/>
      <c r="AX126" s="132"/>
      <c r="AY126" s="132"/>
      <c r="AZ126" s="246"/>
    </row>
    <row r="127" spans="1:52" s="129" customFormat="1" ht="12" customHeight="1">
      <c r="A127" s="146" t="str">
        <f t="shared" si="55"/>
        <v>Grays Harbor WUTCCommercialRL032.0G1W006WRECC</v>
      </c>
      <c r="B127" s="146">
        <f t="shared" si="72"/>
        <v>1</v>
      </c>
      <c r="C127" s="193" t="s">
        <v>344</v>
      </c>
      <c r="D127" s="193" t="s">
        <v>345</v>
      </c>
      <c r="E127" s="194">
        <v>77.22</v>
      </c>
      <c r="F127" s="194">
        <v>78.78</v>
      </c>
      <c r="G127" s="138">
        <v>154.44</v>
      </c>
      <c r="H127" s="138">
        <v>154.44</v>
      </c>
      <c r="I127" s="138">
        <v>154.44</v>
      </c>
      <c r="J127" s="138">
        <v>154.44</v>
      </c>
      <c r="K127" s="138">
        <v>154.44</v>
      </c>
      <c r="L127" s="138">
        <v>154.44</v>
      </c>
      <c r="M127" s="138">
        <v>154.44</v>
      </c>
      <c r="N127" s="138">
        <v>154.44</v>
      </c>
      <c r="O127" s="138">
        <v>154.44</v>
      </c>
      <c r="P127" s="138">
        <v>154.44</v>
      </c>
      <c r="Q127" s="138">
        <v>157.56</v>
      </c>
      <c r="R127" s="138">
        <v>157.56</v>
      </c>
      <c r="S127" s="139">
        <f t="shared" si="56"/>
        <v>1859.5200000000002</v>
      </c>
      <c r="T127" s="132"/>
      <c r="U127" s="138">
        <f t="shared" si="71"/>
        <v>2</v>
      </c>
      <c r="V127" s="138">
        <f t="shared" si="71"/>
        <v>2</v>
      </c>
      <c r="W127" s="138">
        <f t="shared" si="71"/>
        <v>2</v>
      </c>
      <c r="X127" s="138">
        <f t="shared" si="71"/>
        <v>2</v>
      </c>
      <c r="Y127" s="138">
        <f t="shared" si="71"/>
        <v>2</v>
      </c>
      <c r="Z127" s="138">
        <f t="shared" si="70"/>
        <v>2</v>
      </c>
      <c r="AA127" s="138">
        <f t="shared" si="70"/>
        <v>2</v>
      </c>
      <c r="AB127" s="138">
        <f t="shared" si="70"/>
        <v>2</v>
      </c>
      <c r="AC127" s="138">
        <f t="shared" si="70"/>
        <v>2</v>
      </c>
      <c r="AD127" s="138">
        <f t="shared" si="70"/>
        <v>2</v>
      </c>
      <c r="AE127" s="138">
        <f t="shared" si="73"/>
        <v>2</v>
      </c>
      <c r="AF127" s="138">
        <f t="shared" si="73"/>
        <v>2</v>
      </c>
      <c r="AG127" s="138">
        <f t="shared" si="59"/>
        <v>2</v>
      </c>
      <c r="AH127" s="195">
        <f t="shared" si="60"/>
        <v>2</v>
      </c>
      <c r="AI127" s="138">
        <f t="shared" si="61"/>
        <v>24</v>
      </c>
      <c r="AJ127" s="132"/>
      <c r="AK127" s="196">
        <f t="shared" si="68"/>
        <v>1.1404869628876799</v>
      </c>
      <c r="AL127" s="198">
        <f t="shared" si="62"/>
        <v>27.371687109304318</v>
      </c>
      <c r="AM127" s="197"/>
      <c r="AN127" s="196">
        <f t="shared" si="69"/>
        <v>79.920486962887679</v>
      </c>
      <c r="AO127" s="198">
        <f t="shared" si="63"/>
        <v>1918.0916871093043</v>
      </c>
      <c r="AP127" s="199">
        <f t="shared" si="64"/>
        <v>0.99</v>
      </c>
      <c r="AQ127" s="200">
        <f t="shared" si="65"/>
        <v>23.759999999999998</v>
      </c>
      <c r="AR127" s="132"/>
      <c r="AS127" s="201">
        <f t="shared" si="66"/>
        <v>79.77</v>
      </c>
      <c r="AT127" s="202">
        <f t="shared" si="67"/>
        <v>1914.48</v>
      </c>
      <c r="AU127" s="132"/>
      <c r="AV127" s="132"/>
      <c r="AW127" s="132"/>
      <c r="AX127" s="132"/>
      <c r="AY127" s="132"/>
      <c r="AZ127" s="246"/>
    </row>
    <row r="128" spans="1:52" s="129" customFormat="1" ht="12" customHeight="1">
      <c r="A128" s="146" t="str">
        <f t="shared" si="55"/>
        <v>Grays Harbor WUTCCommercialSL065.0G1W001COMM</v>
      </c>
      <c r="B128" s="146">
        <f t="shared" si="72"/>
        <v>1</v>
      </c>
      <c r="C128" s="193" t="s">
        <v>346</v>
      </c>
      <c r="D128" s="193" t="s">
        <v>347</v>
      </c>
      <c r="E128" s="194">
        <v>28.3</v>
      </c>
      <c r="F128" s="194">
        <v>28.686666666666664</v>
      </c>
      <c r="G128" s="138">
        <v>580.15</v>
      </c>
      <c r="H128" s="138">
        <v>594.29999999999995</v>
      </c>
      <c r="I128" s="138">
        <v>645.24</v>
      </c>
      <c r="J128" s="138">
        <v>690.52</v>
      </c>
      <c r="K128" s="138">
        <v>707.5</v>
      </c>
      <c r="L128" s="138">
        <v>707.5</v>
      </c>
      <c r="M128" s="138">
        <v>657.98</v>
      </c>
      <c r="N128" s="138">
        <v>650.9</v>
      </c>
      <c r="O128" s="138">
        <v>650.9</v>
      </c>
      <c r="P128" s="138">
        <v>622.6</v>
      </c>
      <c r="Q128" s="138">
        <v>631.17999999999995</v>
      </c>
      <c r="R128" s="138">
        <v>602.49</v>
      </c>
      <c r="S128" s="139">
        <f t="shared" si="56"/>
        <v>7741.26</v>
      </c>
      <c r="T128" s="132"/>
      <c r="U128" s="138">
        <f t="shared" si="71"/>
        <v>20.5</v>
      </c>
      <c r="V128" s="138">
        <f t="shared" si="71"/>
        <v>20.999999999999996</v>
      </c>
      <c r="W128" s="138">
        <f t="shared" si="71"/>
        <v>22.8</v>
      </c>
      <c r="X128" s="138">
        <f t="shared" si="71"/>
        <v>24.4</v>
      </c>
      <c r="Y128" s="138">
        <f t="shared" si="71"/>
        <v>25</v>
      </c>
      <c r="Z128" s="138">
        <f t="shared" si="70"/>
        <v>25</v>
      </c>
      <c r="AA128" s="138">
        <f t="shared" si="70"/>
        <v>23.250176678445229</v>
      </c>
      <c r="AB128" s="138">
        <f t="shared" si="70"/>
        <v>23</v>
      </c>
      <c r="AC128" s="138">
        <f t="shared" si="70"/>
        <v>23</v>
      </c>
      <c r="AD128" s="138">
        <f t="shared" si="70"/>
        <v>22</v>
      </c>
      <c r="AE128" s="138">
        <f t="shared" si="73"/>
        <v>22.002556356030677</v>
      </c>
      <c r="AF128" s="138">
        <f t="shared" si="73"/>
        <v>21.002440158029284</v>
      </c>
      <c r="AG128" s="138">
        <f t="shared" si="59"/>
        <v>22.746264432708767</v>
      </c>
      <c r="AH128" s="195">
        <f t="shared" si="60"/>
        <v>22.746264432708767</v>
      </c>
      <c r="AI128" s="138">
        <f t="shared" si="61"/>
        <v>272.95517319250519</v>
      </c>
      <c r="AJ128" s="132"/>
      <c r="AK128" s="196">
        <f t="shared" si="68"/>
        <v>0.41529283247065124</v>
      </c>
      <c r="AL128" s="198">
        <f t="shared" si="62"/>
        <v>113.35632701263265</v>
      </c>
      <c r="AM128" s="197"/>
      <c r="AN128" s="196">
        <f t="shared" si="69"/>
        <v>29.101959499137315</v>
      </c>
      <c r="AO128" s="198">
        <f t="shared" si="63"/>
        <v>7943.5303953282973</v>
      </c>
      <c r="AP128" s="199">
        <f t="shared" si="64"/>
        <v>0.36</v>
      </c>
      <c r="AQ128" s="200">
        <f t="shared" si="65"/>
        <v>98.26386234930186</v>
      </c>
      <c r="AR128" s="132"/>
      <c r="AS128" s="201">
        <f t="shared" si="66"/>
        <v>29.046666666666663</v>
      </c>
      <c r="AT128" s="202">
        <f t="shared" si="67"/>
        <v>7928.4379306649662</v>
      </c>
      <c r="AU128" s="132"/>
      <c r="AV128" s="132"/>
      <c r="AW128" s="132"/>
      <c r="AX128" s="132"/>
      <c r="AY128" s="132"/>
      <c r="AZ128" s="246"/>
    </row>
    <row r="129" spans="1:52" s="129" customFormat="1" ht="12" customHeight="1">
      <c r="A129" s="146" t="str">
        <f t="shared" si="55"/>
        <v>Grays Harbor WUTCCommercialSL065.0G1W001NORECC</v>
      </c>
      <c r="B129" s="146">
        <f t="shared" si="72"/>
        <v>1</v>
      </c>
      <c r="C129" s="193" t="s">
        <v>534</v>
      </c>
      <c r="D129" s="193" t="s">
        <v>347</v>
      </c>
      <c r="E129" s="194">
        <v>28.3</v>
      </c>
      <c r="F129" s="194">
        <v>28.686666666666664</v>
      </c>
      <c r="G129" s="138">
        <v>28.3</v>
      </c>
      <c r="H129" s="138">
        <v>28.3</v>
      </c>
      <c r="I129" s="138">
        <v>28.3</v>
      </c>
      <c r="J129" s="138">
        <v>28.3</v>
      </c>
      <c r="K129" s="138">
        <v>28.3</v>
      </c>
      <c r="L129" s="138">
        <v>28.3</v>
      </c>
      <c r="M129" s="138">
        <v>28.3</v>
      </c>
      <c r="N129" s="138">
        <v>28.3</v>
      </c>
      <c r="O129" s="138">
        <v>28.3</v>
      </c>
      <c r="P129" s="138">
        <v>28.3</v>
      </c>
      <c r="Q129" s="138">
        <v>28.69</v>
      </c>
      <c r="R129" s="138">
        <v>28.69</v>
      </c>
      <c r="S129" s="139">
        <f t="shared" si="56"/>
        <v>340.38000000000005</v>
      </c>
      <c r="T129" s="132"/>
      <c r="U129" s="138">
        <f t="shared" si="71"/>
        <v>1</v>
      </c>
      <c r="V129" s="138">
        <f t="shared" si="71"/>
        <v>1</v>
      </c>
      <c r="W129" s="138">
        <f t="shared" si="71"/>
        <v>1</v>
      </c>
      <c r="X129" s="138">
        <f t="shared" si="71"/>
        <v>1</v>
      </c>
      <c r="Y129" s="138">
        <f t="shared" si="71"/>
        <v>1</v>
      </c>
      <c r="Z129" s="138">
        <f t="shared" si="70"/>
        <v>1</v>
      </c>
      <c r="AA129" s="138">
        <f t="shared" si="70"/>
        <v>1</v>
      </c>
      <c r="AB129" s="138">
        <f t="shared" si="70"/>
        <v>1</v>
      </c>
      <c r="AC129" s="138">
        <f t="shared" si="70"/>
        <v>1</v>
      </c>
      <c r="AD129" s="138">
        <f t="shared" si="70"/>
        <v>1</v>
      </c>
      <c r="AE129" s="138">
        <f t="shared" si="73"/>
        <v>1.0001161980013946</v>
      </c>
      <c r="AF129" s="138">
        <f t="shared" si="73"/>
        <v>1.0001161980013946</v>
      </c>
      <c r="AG129" s="138">
        <f t="shared" si="59"/>
        <v>1.0000193663335659</v>
      </c>
      <c r="AH129" s="195">
        <f t="shared" si="60"/>
        <v>1.0000193663335659</v>
      </c>
      <c r="AI129" s="138">
        <f t="shared" si="61"/>
        <v>12.00023239600279</v>
      </c>
      <c r="AJ129" s="132"/>
      <c r="AK129" s="196">
        <f t="shared" si="68"/>
        <v>0.41529283247065124</v>
      </c>
      <c r="AL129" s="198">
        <f t="shared" si="62"/>
        <v>4.9836105020420689</v>
      </c>
      <c r="AM129" s="197"/>
      <c r="AN129" s="196">
        <f t="shared" si="69"/>
        <v>29.101959499137315</v>
      </c>
      <c r="AO129" s="198">
        <f t="shared" si="63"/>
        <v>349.23027716870877</v>
      </c>
      <c r="AP129" s="199">
        <f t="shared" si="64"/>
        <v>0.36</v>
      </c>
      <c r="AQ129" s="200">
        <f t="shared" si="65"/>
        <v>4.3200836625610046</v>
      </c>
      <c r="AR129" s="132"/>
      <c r="AS129" s="201">
        <f t="shared" si="66"/>
        <v>29.046666666666663</v>
      </c>
      <c r="AT129" s="202">
        <f t="shared" si="67"/>
        <v>348.56675032922766</v>
      </c>
      <c r="AU129" s="132"/>
      <c r="AV129" s="132"/>
      <c r="AW129" s="132"/>
      <c r="AX129" s="132"/>
      <c r="AY129" s="132"/>
      <c r="AZ129" s="246"/>
    </row>
    <row r="130" spans="1:52" s="129" customFormat="1" ht="12" customHeight="1">
      <c r="A130" s="146" t="str">
        <f t="shared" si="55"/>
        <v>Grays Harbor WUTCCommercialSL065.0G1W001WRECC</v>
      </c>
      <c r="B130" s="146">
        <f t="shared" si="72"/>
        <v>1</v>
      </c>
      <c r="C130" s="193" t="s">
        <v>348</v>
      </c>
      <c r="D130" s="193" t="s">
        <v>349</v>
      </c>
      <c r="E130" s="194">
        <v>28.3</v>
      </c>
      <c r="F130" s="194">
        <v>28.686666666666664</v>
      </c>
      <c r="G130" s="138">
        <v>933.9</v>
      </c>
      <c r="H130" s="138">
        <v>933.9</v>
      </c>
      <c r="I130" s="138">
        <v>933.9</v>
      </c>
      <c r="J130" s="138">
        <v>905.6</v>
      </c>
      <c r="K130" s="138">
        <v>905.6</v>
      </c>
      <c r="L130" s="138">
        <v>905.6</v>
      </c>
      <c r="M130" s="138">
        <v>877.3</v>
      </c>
      <c r="N130" s="138">
        <v>877.3</v>
      </c>
      <c r="O130" s="138">
        <v>877.3</v>
      </c>
      <c r="P130" s="138">
        <v>877.3</v>
      </c>
      <c r="Q130" s="138">
        <v>889.39</v>
      </c>
      <c r="R130" s="138">
        <v>889.39</v>
      </c>
      <c r="S130" s="139">
        <f t="shared" si="56"/>
        <v>10806.48</v>
      </c>
      <c r="T130" s="132"/>
      <c r="U130" s="138">
        <f t="shared" si="71"/>
        <v>33</v>
      </c>
      <c r="V130" s="138">
        <f t="shared" si="71"/>
        <v>33</v>
      </c>
      <c r="W130" s="138">
        <f t="shared" si="71"/>
        <v>33</v>
      </c>
      <c r="X130" s="138">
        <f t="shared" si="71"/>
        <v>32</v>
      </c>
      <c r="Y130" s="138">
        <f t="shared" si="71"/>
        <v>32</v>
      </c>
      <c r="Z130" s="138">
        <f t="shared" si="70"/>
        <v>32</v>
      </c>
      <c r="AA130" s="138">
        <f t="shared" si="70"/>
        <v>30.999999999999996</v>
      </c>
      <c r="AB130" s="138">
        <f t="shared" si="70"/>
        <v>30.999999999999996</v>
      </c>
      <c r="AC130" s="138">
        <f t="shared" si="70"/>
        <v>30.999999999999996</v>
      </c>
      <c r="AD130" s="138">
        <f t="shared" si="70"/>
        <v>30.999999999999996</v>
      </c>
      <c r="AE130" s="138">
        <f t="shared" si="73"/>
        <v>31.003602138043227</v>
      </c>
      <c r="AF130" s="138">
        <f t="shared" si="73"/>
        <v>31.003602138043227</v>
      </c>
      <c r="AG130" s="138">
        <f t="shared" si="59"/>
        <v>31.750600356340538</v>
      </c>
      <c r="AH130" s="195">
        <f t="shared" si="60"/>
        <v>31.750600356340538</v>
      </c>
      <c r="AI130" s="138">
        <f t="shared" si="61"/>
        <v>381.00720427608644</v>
      </c>
      <c r="AJ130" s="132"/>
      <c r="AK130" s="196">
        <f t="shared" si="68"/>
        <v>0.41529283247065124</v>
      </c>
      <c r="AL130" s="198">
        <f t="shared" si="62"/>
        <v>158.22956105553996</v>
      </c>
      <c r="AM130" s="197"/>
      <c r="AN130" s="196">
        <f t="shared" si="69"/>
        <v>29.101959499137315</v>
      </c>
      <c r="AO130" s="198">
        <f t="shared" si="63"/>
        <v>11088.056227722205</v>
      </c>
      <c r="AP130" s="199">
        <f t="shared" si="64"/>
        <v>0.36</v>
      </c>
      <c r="AQ130" s="200">
        <f t="shared" si="65"/>
        <v>137.16259353939111</v>
      </c>
      <c r="AR130" s="132"/>
      <c r="AS130" s="201">
        <f t="shared" si="66"/>
        <v>29.046666666666663</v>
      </c>
      <c r="AT130" s="202">
        <f t="shared" si="67"/>
        <v>11066.989260206055</v>
      </c>
      <c r="AU130" s="132"/>
      <c r="AV130" s="132"/>
      <c r="AW130" s="132"/>
      <c r="AX130" s="132"/>
      <c r="AY130" s="132"/>
      <c r="AZ130" s="246"/>
    </row>
    <row r="131" spans="1:52" s="129" customFormat="1" ht="12" customHeight="1">
      <c r="A131" s="146" t="str">
        <f t="shared" si="55"/>
        <v>Grays Harbor WUTCCommercialSL065.0G1W002WRECC</v>
      </c>
      <c r="B131" s="146">
        <f t="shared" si="72"/>
        <v>1</v>
      </c>
      <c r="C131" s="193" t="s">
        <v>354</v>
      </c>
      <c r="D131" s="193" t="s">
        <v>355</v>
      </c>
      <c r="E131" s="194">
        <v>56.59</v>
      </c>
      <c r="F131" s="194">
        <v>57.373333333333328</v>
      </c>
      <c r="G131" s="138">
        <v>56.59</v>
      </c>
      <c r="H131" s="138">
        <v>56.59</v>
      </c>
      <c r="I131" s="138">
        <v>56.59</v>
      </c>
      <c r="J131" s="138">
        <v>56.59</v>
      </c>
      <c r="K131" s="138">
        <v>56.59</v>
      </c>
      <c r="L131" s="138">
        <v>56.59</v>
      </c>
      <c r="M131" s="138">
        <v>56.59</v>
      </c>
      <c r="N131" s="138">
        <v>56.59</v>
      </c>
      <c r="O131" s="138">
        <v>56.59</v>
      </c>
      <c r="P131" s="138">
        <v>56.59</v>
      </c>
      <c r="Q131" s="138">
        <v>57.37</v>
      </c>
      <c r="R131" s="138">
        <v>57.37</v>
      </c>
      <c r="S131" s="139">
        <f t="shared" si="56"/>
        <v>680.64000000000021</v>
      </c>
      <c r="T131" s="132"/>
      <c r="U131" s="138">
        <f t="shared" si="71"/>
        <v>1</v>
      </c>
      <c r="V131" s="138">
        <f t="shared" si="71"/>
        <v>1</v>
      </c>
      <c r="W131" s="138">
        <f t="shared" si="71"/>
        <v>1</v>
      </c>
      <c r="X131" s="138">
        <f t="shared" si="71"/>
        <v>1</v>
      </c>
      <c r="Y131" s="138">
        <f t="shared" si="71"/>
        <v>1</v>
      </c>
      <c r="Z131" s="138">
        <f t="shared" si="70"/>
        <v>1</v>
      </c>
      <c r="AA131" s="138">
        <f t="shared" si="70"/>
        <v>1</v>
      </c>
      <c r="AB131" s="138">
        <f t="shared" si="70"/>
        <v>1</v>
      </c>
      <c r="AC131" s="138">
        <f t="shared" si="70"/>
        <v>1</v>
      </c>
      <c r="AD131" s="138">
        <f t="shared" si="70"/>
        <v>1</v>
      </c>
      <c r="AE131" s="138">
        <f t="shared" si="73"/>
        <v>0.99994190099930291</v>
      </c>
      <c r="AF131" s="138">
        <f t="shared" si="73"/>
        <v>0.99994190099930291</v>
      </c>
      <c r="AG131" s="138">
        <f t="shared" si="59"/>
        <v>0.99999031683321726</v>
      </c>
      <c r="AH131" s="195">
        <f t="shared" si="60"/>
        <v>0.99999031683321726</v>
      </c>
      <c r="AI131" s="138">
        <f t="shared" si="61"/>
        <v>11.999883801998607</v>
      </c>
      <c r="AJ131" s="132"/>
      <c r="AK131" s="196">
        <f t="shared" si="68"/>
        <v>0.83058566494130248</v>
      </c>
      <c r="AL131" s="198">
        <f t="shared" si="62"/>
        <v>9.9669314669013769</v>
      </c>
      <c r="AM131" s="197"/>
      <c r="AN131" s="196">
        <f t="shared" si="69"/>
        <v>58.203918998274631</v>
      </c>
      <c r="AO131" s="198">
        <f t="shared" si="63"/>
        <v>698.44026480023467</v>
      </c>
      <c r="AP131" s="199">
        <f t="shared" si="64"/>
        <v>0.72</v>
      </c>
      <c r="AQ131" s="200">
        <f t="shared" si="65"/>
        <v>8.6399163374389971</v>
      </c>
      <c r="AR131" s="132"/>
      <c r="AS131" s="201">
        <f t="shared" si="66"/>
        <v>58.093333333333327</v>
      </c>
      <c r="AT131" s="202">
        <f t="shared" si="67"/>
        <v>697.11324967077235</v>
      </c>
      <c r="AU131" s="132"/>
      <c r="AV131" s="132"/>
      <c r="AW131" s="132"/>
      <c r="AX131" s="132"/>
      <c r="AY131" s="132"/>
      <c r="AZ131" s="246"/>
    </row>
    <row r="132" spans="1:52" s="129" customFormat="1" ht="12" customHeight="1">
      <c r="A132" s="146" t="str">
        <f t="shared" si="55"/>
        <v>Grays Harbor WUTCCommercialSL065.0GEO001COMM</v>
      </c>
      <c r="B132" s="146">
        <f t="shared" si="72"/>
        <v>1</v>
      </c>
      <c r="C132" s="193" t="s">
        <v>350</v>
      </c>
      <c r="D132" s="193" t="s">
        <v>351</v>
      </c>
      <c r="E132" s="194">
        <v>14.15</v>
      </c>
      <c r="F132" s="194">
        <v>14.343333333333332</v>
      </c>
      <c r="G132" s="138">
        <v>1669.71</v>
      </c>
      <c r="H132" s="138">
        <v>1683.85</v>
      </c>
      <c r="I132" s="138">
        <v>1678.19</v>
      </c>
      <c r="J132" s="138">
        <v>1669.7</v>
      </c>
      <c r="K132" s="138">
        <v>2030.76</v>
      </c>
      <c r="L132" s="138">
        <v>1366.65</v>
      </c>
      <c r="M132" s="138">
        <v>2462.6</v>
      </c>
      <c r="N132" s="138">
        <v>969.74000000000012</v>
      </c>
      <c r="O132" s="138">
        <v>1669.7</v>
      </c>
      <c r="P132" s="138">
        <v>1687.16</v>
      </c>
      <c r="Q132" s="138">
        <v>1708.85</v>
      </c>
      <c r="R132" s="138">
        <v>1692.12</v>
      </c>
      <c r="S132" s="139">
        <f t="shared" si="56"/>
        <v>20289.03</v>
      </c>
      <c r="T132" s="132"/>
      <c r="U132" s="138">
        <f t="shared" si="71"/>
        <v>118.00070671378091</v>
      </c>
      <c r="V132" s="138">
        <f t="shared" si="71"/>
        <v>118.99999999999999</v>
      </c>
      <c r="W132" s="138">
        <f t="shared" si="71"/>
        <v>118.6</v>
      </c>
      <c r="X132" s="138">
        <f t="shared" si="71"/>
        <v>118</v>
      </c>
      <c r="Y132" s="138">
        <f t="shared" si="71"/>
        <v>143.51660777385158</v>
      </c>
      <c r="Z132" s="138">
        <f t="shared" si="70"/>
        <v>96.583038869257948</v>
      </c>
      <c r="AA132" s="138">
        <f t="shared" si="70"/>
        <v>174.03533568904592</v>
      </c>
      <c r="AB132" s="138">
        <f t="shared" si="70"/>
        <v>68.532862190812722</v>
      </c>
      <c r="AC132" s="138">
        <f t="shared" si="70"/>
        <v>118</v>
      </c>
      <c r="AD132" s="138">
        <f t="shared" si="70"/>
        <v>119.2339222614841</v>
      </c>
      <c r="AE132" s="138">
        <f t="shared" si="73"/>
        <v>119.13897280966768</v>
      </c>
      <c r="AF132" s="138">
        <f t="shared" si="73"/>
        <v>117.97257727167093</v>
      </c>
      <c r="AG132" s="138">
        <f t="shared" si="59"/>
        <v>119.21783529829764</v>
      </c>
      <c r="AH132" s="195">
        <f t="shared" si="60"/>
        <v>119.21783529829764</v>
      </c>
      <c r="AI132" s="138">
        <f t="shared" si="61"/>
        <v>1430.6140235795717</v>
      </c>
      <c r="AJ132" s="132"/>
      <c r="AK132" s="196">
        <f t="shared" si="68"/>
        <v>0.20764641623532562</v>
      </c>
      <c r="AL132" s="198">
        <f t="shared" si="62"/>
        <v>297.06187501229772</v>
      </c>
      <c r="AM132" s="197"/>
      <c r="AN132" s="196">
        <f t="shared" si="69"/>
        <v>14.550979749568658</v>
      </c>
      <c r="AO132" s="198">
        <f t="shared" si="63"/>
        <v>20816.835686555285</v>
      </c>
      <c r="AP132" s="199">
        <f t="shared" si="64"/>
        <v>0.18</v>
      </c>
      <c r="AQ132" s="200">
        <f t="shared" si="65"/>
        <v>257.51052424432288</v>
      </c>
      <c r="AR132" s="132"/>
      <c r="AS132" s="201">
        <f t="shared" si="66"/>
        <v>14.523333333333332</v>
      </c>
      <c r="AT132" s="202">
        <f t="shared" si="67"/>
        <v>20777.28433578731</v>
      </c>
      <c r="AU132" s="132"/>
      <c r="AV132" s="132"/>
      <c r="AW132" s="132"/>
      <c r="AX132" s="132"/>
      <c r="AY132" s="132"/>
      <c r="AZ132" s="246"/>
    </row>
    <row r="133" spans="1:52" s="129" customFormat="1" ht="12" customHeight="1">
      <c r="A133" s="146" t="str">
        <f t="shared" si="55"/>
        <v>Grays Harbor WUTCCommercialSL065.0GEO001NORECC</v>
      </c>
      <c r="B133" s="146">
        <f t="shared" si="72"/>
        <v>1</v>
      </c>
      <c r="C133" s="193" t="s">
        <v>535</v>
      </c>
      <c r="D133" s="193" t="s">
        <v>351</v>
      </c>
      <c r="E133" s="194">
        <v>14.15</v>
      </c>
      <c r="F133" s="194">
        <v>14.343333333333332</v>
      </c>
      <c r="G133" s="138">
        <v>14.15</v>
      </c>
      <c r="H133" s="138">
        <v>14.15</v>
      </c>
      <c r="I133" s="138">
        <v>0</v>
      </c>
      <c r="J133" s="138">
        <v>0</v>
      </c>
      <c r="K133" s="138">
        <v>0</v>
      </c>
      <c r="L133" s="138">
        <v>0</v>
      </c>
      <c r="M133" s="138">
        <v>0</v>
      </c>
      <c r="N133" s="138">
        <v>0</v>
      </c>
      <c r="O133" s="138">
        <v>0</v>
      </c>
      <c r="P133" s="138">
        <v>0</v>
      </c>
      <c r="Q133" s="138">
        <v>0</v>
      </c>
      <c r="R133" s="138">
        <v>0</v>
      </c>
      <c r="S133" s="139">
        <f t="shared" si="56"/>
        <v>28.3</v>
      </c>
      <c r="T133" s="132"/>
      <c r="U133" s="138">
        <f t="shared" si="71"/>
        <v>1</v>
      </c>
      <c r="V133" s="138">
        <f t="shared" si="71"/>
        <v>1</v>
      </c>
      <c r="W133" s="138">
        <f t="shared" si="71"/>
        <v>0</v>
      </c>
      <c r="X133" s="138">
        <f t="shared" si="71"/>
        <v>0</v>
      </c>
      <c r="Y133" s="138">
        <f t="shared" si="71"/>
        <v>0</v>
      </c>
      <c r="Z133" s="138">
        <f t="shared" si="70"/>
        <v>0</v>
      </c>
      <c r="AA133" s="138">
        <f t="shared" si="70"/>
        <v>0</v>
      </c>
      <c r="AB133" s="138">
        <f t="shared" si="70"/>
        <v>0</v>
      </c>
      <c r="AC133" s="138">
        <f t="shared" si="70"/>
        <v>0</v>
      </c>
      <c r="AD133" s="138">
        <f t="shared" si="70"/>
        <v>0</v>
      </c>
      <c r="AE133" s="138">
        <f t="shared" si="73"/>
        <v>0</v>
      </c>
      <c r="AF133" s="138">
        <f t="shared" si="73"/>
        <v>0</v>
      </c>
      <c r="AG133" s="138">
        <f t="shared" si="59"/>
        <v>0.16666666666666666</v>
      </c>
      <c r="AH133" s="195">
        <f t="shared" si="60"/>
        <v>0.16666666666666666</v>
      </c>
      <c r="AI133" s="138">
        <f t="shared" si="61"/>
        <v>2</v>
      </c>
      <c r="AJ133" s="132"/>
      <c r="AK133" s="196">
        <f t="shared" si="68"/>
        <v>0.20764641623532562</v>
      </c>
      <c r="AL133" s="198">
        <f t="shared" si="62"/>
        <v>0.41529283247065124</v>
      </c>
      <c r="AM133" s="197"/>
      <c r="AN133" s="196">
        <f t="shared" si="69"/>
        <v>14.550979749568658</v>
      </c>
      <c r="AO133" s="198">
        <f t="shared" si="63"/>
        <v>29.101959499137315</v>
      </c>
      <c r="AP133" s="199">
        <f t="shared" si="64"/>
        <v>0.18</v>
      </c>
      <c r="AQ133" s="200">
        <f t="shared" si="65"/>
        <v>0.36</v>
      </c>
      <c r="AR133" s="132"/>
      <c r="AS133" s="201">
        <f t="shared" si="66"/>
        <v>14.523333333333332</v>
      </c>
      <c r="AT133" s="202">
        <f t="shared" si="67"/>
        <v>29.046666666666663</v>
      </c>
      <c r="AU133" s="132"/>
      <c r="AV133" s="132"/>
      <c r="AW133" s="132"/>
      <c r="AX133" s="132"/>
      <c r="AY133" s="132"/>
      <c r="AZ133" s="246"/>
    </row>
    <row r="134" spans="1:52" s="129" customFormat="1" ht="12" customHeight="1">
      <c r="A134" s="146" t="str">
        <f t="shared" si="55"/>
        <v>Grays Harbor WUTCCommercialSL065.0GEO001WRECC</v>
      </c>
      <c r="B134" s="146">
        <f t="shared" si="72"/>
        <v>1</v>
      </c>
      <c r="C134" s="193" t="s">
        <v>352</v>
      </c>
      <c r="D134" s="193" t="s">
        <v>353</v>
      </c>
      <c r="E134" s="194">
        <v>14.15</v>
      </c>
      <c r="F134" s="194">
        <v>14.343333333333332</v>
      </c>
      <c r="G134" s="138">
        <v>99.05</v>
      </c>
      <c r="H134" s="138">
        <v>99.05</v>
      </c>
      <c r="I134" s="138">
        <v>99.05</v>
      </c>
      <c r="J134" s="138">
        <v>99.05</v>
      </c>
      <c r="K134" s="138">
        <v>99.05</v>
      </c>
      <c r="L134" s="138">
        <v>89.62</v>
      </c>
      <c r="M134" s="138">
        <v>84.9</v>
      </c>
      <c r="N134" s="138">
        <v>84.9</v>
      </c>
      <c r="O134" s="138">
        <v>84.9</v>
      </c>
      <c r="P134" s="138">
        <v>84.9</v>
      </c>
      <c r="Q134" s="138">
        <v>71.7</v>
      </c>
      <c r="R134" s="138">
        <v>88.19</v>
      </c>
      <c r="S134" s="139">
        <f t="shared" si="56"/>
        <v>1084.3599999999999</v>
      </c>
      <c r="T134" s="132"/>
      <c r="U134" s="138">
        <f t="shared" si="71"/>
        <v>7</v>
      </c>
      <c r="V134" s="138">
        <f t="shared" si="71"/>
        <v>7</v>
      </c>
      <c r="W134" s="138">
        <f t="shared" si="71"/>
        <v>7</v>
      </c>
      <c r="X134" s="138">
        <f t="shared" si="71"/>
        <v>7</v>
      </c>
      <c r="Y134" s="138">
        <f t="shared" si="71"/>
        <v>7</v>
      </c>
      <c r="Z134" s="138">
        <f t="shared" si="70"/>
        <v>6.3335689045936396</v>
      </c>
      <c r="AA134" s="138">
        <f t="shared" si="70"/>
        <v>6</v>
      </c>
      <c r="AB134" s="138">
        <f t="shared" si="70"/>
        <v>6</v>
      </c>
      <c r="AC134" s="138">
        <f t="shared" si="70"/>
        <v>6</v>
      </c>
      <c r="AD134" s="138">
        <f t="shared" si="70"/>
        <v>6</v>
      </c>
      <c r="AE134" s="138">
        <f t="shared" si="73"/>
        <v>4.9988380199860574</v>
      </c>
      <c r="AF134" s="138">
        <f t="shared" si="73"/>
        <v>6.1485010457820133</v>
      </c>
      <c r="AG134" s="138">
        <f t="shared" si="59"/>
        <v>6.3734089975301425</v>
      </c>
      <c r="AH134" s="195">
        <f t="shared" si="60"/>
        <v>6.3734089975301425</v>
      </c>
      <c r="AI134" s="138">
        <f t="shared" si="61"/>
        <v>76.480907970361713</v>
      </c>
      <c r="AJ134" s="132"/>
      <c r="AK134" s="196">
        <f t="shared" si="68"/>
        <v>0.20764641623532562</v>
      </c>
      <c r="AL134" s="198">
        <f t="shared" si="62"/>
        <v>15.880986450469361</v>
      </c>
      <c r="AM134" s="197"/>
      <c r="AN134" s="196">
        <f t="shared" si="69"/>
        <v>14.550979749568658</v>
      </c>
      <c r="AO134" s="198">
        <f t="shared" si="63"/>
        <v>1112.8721431053575</v>
      </c>
      <c r="AP134" s="199">
        <f t="shared" si="64"/>
        <v>0.18</v>
      </c>
      <c r="AQ134" s="200">
        <f t="shared" si="65"/>
        <v>13.766563434665107</v>
      </c>
      <c r="AR134" s="132"/>
      <c r="AS134" s="201">
        <f t="shared" si="66"/>
        <v>14.523333333333332</v>
      </c>
      <c r="AT134" s="202">
        <f t="shared" si="67"/>
        <v>1110.7577200895532</v>
      </c>
      <c r="AU134" s="132"/>
      <c r="AV134" s="132"/>
      <c r="AW134" s="132"/>
      <c r="AX134" s="132"/>
      <c r="AY134" s="132"/>
      <c r="AZ134" s="246"/>
    </row>
    <row r="135" spans="1:52" s="129" customFormat="1" ht="12" customHeight="1">
      <c r="A135" s="146" t="str">
        <f t="shared" si="55"/>
        <v>Grays Harbor WUTCCommercialSL095.0G1W001COMM</v>
      </c>
      <c r="B135" s="146">
        <f t="shared" si="72"/>
        <v>1</v>
      </c>
      <c r="C135" s="193" t="s">
        <v>356</v>
      </c>
      <c r="D135" s="193" t="s">
        <v>357</v>
      </c>
      <c r="E135" s="194">
        <v>40.69</v>
      </c>
      <c r="F135" s="194">
        <v>41.29666666666666</v>
      </c>
      <c r="G135" s="138">
        <v>523.13</v>
      </c>
      <c r="H135" s="138">
        <v>640.87</v>
      </c>
      <c r="I135" s="138">
        <v>699.87</v>
      </c>
      <c r="J135" s="138">
        <v>789.39</v>
      </c>
      <c r="K135" s="138">
        <v>915.53</v>
      </c>
      <c r="L135" s="138">
        <v>813.8</v>
      </c>
      <c r="M135" s="138">
        <v>793.46</v>
      </c>
      <c r="N135" s="138">
        <v>783.28</v>
      </c>
      <c r="O135" s="138">
        <v>783.28</v>
      </c>
      <c r="P135" s="138">
        <v>773.11</v>
      </c>
      <c r="Q135" s="138">
        <v>784.7</v>
      </c>
      <c r="R135" s="138">
        <v>764.05</v>
      </c>
      <c r="S135" s="139">
        <f t="shared" si="56"/>
        <v>9064.4699999999993</v>
      </c>
      <c r="T135" s="132"/>
      <c r="U135" s="138">
        <f t="shared" si="71"/>
        <v>12.85647579257803</v>
      </c>
      <c r="V135" s="138">
        <f t="shared" si="71"/>
        <v>15.750061440157287</v>
      </c>
      <c r="W135" s="138">
        <f t="shared" si="71"/>
        <v>17.200049152125832</v>
      </c>
      <c r="X135" s="138">
        <f t="shared" si="71"/>
        <v>19.40009830425166</v>
      </c>
      <c r="Y135" s="138">
        <f t="shared" si="71"/>
        <v>22.500122880314574</v>
      </c>
      <c r="Z135" s="138">
        <f t="shared" si="70"/>
        <v>20</v>
      </c>
      <c r="AA135" s="138">
        <f t="shared" si="70"/>
        <v>19.500122880314574</v>
      </c>
      <c r="AB135" s="138">
        <f t="shared" si="70"/>
        <v>19.249938559842715</v>
      </c>
      <c r="AC135" s="138">
        <f t="shared" si="70"/>
        <v>19.249938559842715</v>
      </c>
      <c r="AD135" s="138">
        <f t="shared" si="70"/>
        <v>19</v>
      </c>
      <c r="AE135" s="138">
        <f t="shared" si="73"/>
        <v>19.001533618532573</v>
      </c>
      <c r="AF135" s="138">
        <f t="shared" si="73"/>
        <v>18.501493260150134</v>
      </c>
      <c r="AG135" s="138">
        <f t="shared" si="59"/>
        <v>18.517486204009174</v>
      </c>
      <c r="AH135" s="195">
        <f t="shared" si="60"/>
        <v>18.517486204009174</v>
      </c>
      <c r="AI135" s="138">
        <f t="shared" si="61"/>
        <v>222.20983444811009</v>
      </c>
      <c r="AJ135" s="132"/>
      <c r="AK135" s="196">
        <f t="shared" si="68"/>
        <v>0.59784602620019733</v>
      </c>
      <c r="AL135" s="198">
        <f t="shared" si="62"/>
        <v>132.84726650740635</v>
      </c>
      <c r="AM135" s="197"/>
      <c r="AN135" s="196">
        <f t="shared" si="69"/>
        <v>41.894512692866854</v>
      </c>
      <c r="AO135" s="198">
        <f t="shared" si="63"/>
        <v>9309.3727297661899</v>
      </c>
      <c r="AP135" s="199">
        <f t="shared" si="64"/>
        <v>0.52</v>
      </c>
      <c r="AQ135" s="200">
        <f t="shared" si="65"/>
        <v>115.54911391301725</v>
      </c>
      <c r="AR135" s="132"/>
      <c r="AS135" s="201">
        <f t="shared" si="66"/>
        <v>41.816666666666663</v>
      </c>
      <c r="AT135" s="202">
        <f t="shared" si="67"/>
        <v>9292.074577171803</v>
      </c>
      <c r="AU135" s="132"/>
      <c r="AV135" s="132"/>
      <c r="AW135" s="132"/>
      <c r="AX135" s="132"/>
      <c r="AY135" s="132"/>
      <c r="AZ135" s="246"/>
    </row>
    <row r="136" spans="1:52" s="129" customFormat="1" ht="12" customHeight="1">
      <c r="A136" s="146" t="str">
        <f t="shared" si="55"/>
        <v>Grays Harbor WUTCCommercialSL095.0G1W001WRECC</v>
      </c>
      <c r="B136" s="146">
        <f t="shared" si="72"/>
        <v>1</v>
      </c>
      <c r="C136" s="193" t="s">
        <v>358</v>
      </c>
      <c r="D136" s="193" t="s">
        <v>359</v>
      </c>
      <c r="E136" s="194">
        <v>40.69</v>
      </c>
      <c r="F136" s="194">
        <v>41.29666666666666</v>
      </c>
      <c r="G136" s="138">
        <v>81.38</v>
      </c>
      <c r="H136" s="138">
        <v>81.38</v>
      </c>
      <c r="I136" s="138">
        <v>81.38</v>
      </c>
      <c r="J136" s="138">
        <v>81.38</v>
      </c>
      <c r="K136" s="138">
        <v>81.38</v>
      </c>
      <c r="L136" s="138">
        <v>81.38</v>
      </c>
      <c r="M136" s="138">
        <v>81.38</v>
      </c>
      <c r="N136" s="138">
        <v>81.38</v>
      </c>
      <c r="O136" s="138">
        <v>81.38</v>
      </c>
      <c r="P136" s="138">
        <v>81.38</v>
      </c>
      <c r="Q136" s="138">
        <v>82.6</v>
      </c>
      <c r="R136" s="138">
        <v>82.6</v>
      </c>
      <c r="S136" s="139">
        <f t="shared" si="56"/>
        <v>979</v>
      </c>
      <c r="T136" s="226"/>
      <c r="U136" s="138">
        <f t="shared" si="71"/>
        <v>2</v>
      </c>
      <c r="V136" s="138">
        <f t="shared" si="71"/>
        <v>2</v>
      </c>
      <c r="W136" s="138">
        <f t="shared" si="71"/>
        <v>2</v>
      </c>
      <c r="X136" s="138">
        <f t="shared" si="71"/>
        <v>2</v>
      </c>
      <c r="Y136" s="138">
        <f t="shared" si="71"/>
        <v>2</v>
      </c>
      <c r="Z136" s="138">
        <f t="shared" si="70"/>
        <v>2</v>
      </c>
      <c r="AA136" s="138">
        <f t="shared" si="70"/>
        <v>2</v>
      </c>
      <c r="AB136" s="138">
        <f t="shared" si="70"/>
        <v>2</v>
      </c>
      <c r="AC136" s="138">
        <f t="shared" si="70"/>
        <v>2</v>
      </c>
      <c r="AD136" s="138">
        <f t="shared" si="70"/>
        <v>2</v>
      </c>
      <c r="AE136" s="138">
        <f t="shared" si="73"/>
        <v>2.0001614335297444</v>
      </c>
      <c r="AF136" s="138">
        <f t="shared" si="73"/>
        <v>2.0001614335297444</v>
      </c>
      <c r="AG136" s="138">
        <f t="shared" si="59"/>
        <v>2.0000269055882907</v>
      </c>
      <c r="AH136" s="195">
        <f t="shared" si="60"/>
        <v>2.0000269055882907</v>
      </c>
      <c r="AI136" s="138">
        <f t="shared" si="61"/>
        <v>24.000322867059488</v>
      </c>
      <c r="AJ136" s="132"/>
      <c r="AK136" s="196">
        <f t="shared" si="68"/>
        <v>0.59784602620019733</v>
      </c>
      <c r="AL136" s="198">
        <f t="shared" si="62"/>
        <v>14.348497653593242</v>
      </c>
      <c r="AM136" s="197"/>
      <c r="AN136" s="196">
        <f t="shared" si="69"/>
        <v>41.894512692866854</v>
      </c>
      <c r="AO136" s="198">
        <f t="shared" si="63"/>
        <v>1005.4818309869263</v>
      </c>
      <c r="AP136" s="199">
        <f t="shared" si="64"/>
        <v>0.52</v>
      </c>
      <c r="AQ136" s="200">
        <f t="shared" si="65"/>
        <v>12.480167890870934</v>
      </c>
      <c r="AR136" s="132"/>
      <c r="AS136" s="201">
        <f t="shared" si="66"/>
        <v>41.816666666666663</v>
      </c>
      <c r="AT136" s="202">
        <f t="shared" si="67"/>
        <v>1003.6135012242041</v>
      </c>
      <c r="AU136" s="132"/>
      <c r="AV136" s="132"/>
      <c r="AW136" s="132"/>
      <c r="AX136" s="132"/>
      <c r="AY136" s="132"/>
      <c r="AZ136" s="246"/>
    </row>
    <row r="137" spans="1:52" s="129" customFormat="1" ht="12" customHeight="1">
      <c r="A137" s="146" t="str">
        <f t="shared" si="55"/>
        <v>Grays Harbor WUTCCommercialSL095.0G1W002COMM</v>
      </c>
      <c r="B137" s="146">
        <f t="shared" si="72"/>
        <v>1</v>
      </c>
      <c r="C137" s="193" t="s">
        <v>360</v>
      </c>
      <c r="D137" s="193" t="s">
        <v>361</v>
      </c>
      <c r="E137" s="194">
        <v>81.38</v>
      </c>
      <c r="F137" s="194">
        <v>82.59333333333332</v>
      </c>
      <c r="G137" s="138">
        <v>81.38</v>
      </c>
      <c r="H137" s="138">
        <v>81.38</v>
      </c>
      <c r="I137" s="138">
        <v>81.38</v>
      </c>
      <c r="J137" s="138">
        <v>81.38</v>
      </c>
      <c r="K137" s="138">
        <v>0</v>
      </c>
      <c r="L137" s="138">
        <v>0</v>
      </c>
      <c r="M137" s="138">
        <v>0</v>
      </c>
      <c r="N137" s="138">
        <v>0</v>
      </c>
      <c r="O137" s="138">
        <v>0</v>
      </c>
      <c r="P137" s="138">
        <v>0</v>
      </c>
      <c r="Q137" s="138">
        <v>0</v>
      </c>
      <c r="R137" s="138">
        <v>0</v>
      </c>
      <c r="S137" s="139">
        <f t="shared" si="56"/>
        <v>325.52</v>
      </c>
      <c r="T137" s="132"/>
      <c r="U137" s="138">
        <f t="shared" si="71"/>
        <v>1</v>
      </c>
      <c r="V137" s="138">
        <f t="shared" si="71"/>
        <v>1</v>
      </c>
      <c r="W137" s="138">
        <f t="shared" si="71"/>
        <v>1</v>
      </c>
      <c r="X137" s="138">
        <f t="shared" si="71"/>
        <v>1</v>
      </c>
      <c r="Y137" s="138">
        <f t="shared" si="71"/>
        <v>0</v>
      </c>
      <c r="Z137" s="138">
        <f t="shared" si="70"/>
        <v>0</v>
      </c>
      <c r="AA137" s="138">
        <f t="shared" si="70"/>
        <v>0</v>
      </c>
      <c r="AB137" s="138">
        <f t="shared" si="70"/>
        <v>0</v>
      </c>
      <c r="AC137" s="138">
        <f t="shared" si="70"/>
        <v>0</v>
      </c>
      <c r="AD137" s="138">
        <f t="shared" si="70"/>
        <v>0</v>
      </c>
      <c r="AE137" s="138">
        <f t="shared" si="73"/>
        <v>0</v>
      </c>
      <c r="AF137" s="138">
        <f t="shared" si="73"/>
        <v>0</v>
      </c>
      <c r="AG137" s="138">
        <f t="shared" si="59"/>
        <v>0.33333333333333331</v>
      </c>
      <c r="AH137" s="195">
        <f t="shared" si="60"/>
        <v>0.33333333333333331</v>
      </c>
      <c r="AI137" s="138">
        <f t="shared" si="61"/>
        <v>4</v>
      </c>
      <c r="AJ137" s="132"/>
      <c r="AK137" s="196">
        <f t="shared" si="68"/>
        <v>1.1956920524003947</v>
      </c>
      <c r="AL137" s="198">
        <f t="shared" si="62"/>
        <v>4.7827682096015787</v>
      </c>
      <c r="AM137" s="197"/>
      <c r="AN137" s="196">
        <f t="shared" si="69"/>
        <v>83.789025385733709</v>
      </c>
      <c r="AO137" s="198">
        <f t="shared" si="63"/>
        <v>335.15610154293483</v>
      </c>
      <c r="AP137" s="199">
        <f t="shared" si="64"/>
        <v>1.03</v>
      </c>
      <c r="AQ137" s="200">
        <f t="shared" si="65"/>
        <v>4.12</v>
      </c>
      <c r="AR137" s="132"/>
      <c r="AS137" s="201">
        <f t="shared" si="66"/>
        <v>83.623333333333321</v>
      </c>
      <c r="AT137" s="202">
        <f t="shared" si="67"/>
        <v>334.49333333333328</v>
      </c>
      <c r="AU137" s="132"/>
      <c r="AV137" s="132"/>
      <c r="AW137" s="132"/>
      <c r="AX137" s="132"/>
      <c r="AY137" s="132"/>
      <c r="AZ137" s="246"/>
    </row>
    <row r="138" spans="1:52" s="129" customFormat="1" ht="12" customHeight="1">
      <c r="A138" s="146" t="str">
        <f t="shared" si="55"/>
        <v>Grays Harbor WUTCCommercialSL095.0GEO001NORECC</v>
      </c>
      <c r="B138" s="146">
        <f t="shared" si="72"/>
        <v>1</v>
      </c>
      <c r="C138" s="193" t="s">
        <v>362</v>
      </c>
      <c r="D138" s="193" t="s">
        <v>363</v>
      </c>
      <c r="E138" s="194">
        <v>20.350000000000001</v>
      </c>
      <c r="F138" s="194">
        <v>20.64833333333333</v>
      </c>
      <c r="G138" s="138">
        <v>152.63</v>
      </c>
      <c r="H138" s="138">
        <v>183.15</v>
      </c>
      <c r="I138" s="138">
        <v>162.80000000000001</v>
      </c>
      <c r="J138" s="138">
        <v>162.80000000000001</v>
      </c>
      <c r="K138" s="138">
        <v>142.44999999999999</v>
      </c>
      <c r="L138" s="138">
        <v>142.44999999999999</v>
      </c>
      <c r="M138" s="138">
        <v>152.63</v>
      </c>
      <c r="N138" s="138">
        <v>162.80000000000001</v>
      </c>
      <c r="O138" s="138">
        <v>162.80000000000001</v>
      </c>
      <c r="P138" s="138">
        <v>162.80000000000001</v>
      </c>
      <c r="Q138" s="138">
        <v>165.2</v>
      </c>
      <c r="R138" s="138">
        <v>196.18</v>
      </c>
      <c r="S138" s="139">
        <f t="shared" si="56"/>
        <v>1948.6899999999998</v>
      </c>
      <c r="T138" s="132"/>
      <c r="U138" s="138">
        <f t="shared" si="71"/>
        <v>7.5002457002456993</v>
      </c>
      <c r="V138" s="138">
        <f t="shared" si="71"/>
        <v>9</v>
      </c>
      <c r="W138" s="138">
        <f t="shared" si="71"/>
        <v>8</v>
      </c>
      <c r="X138" s="138">
        <f t="shared" si="71"/>
        <v>8</v>
      </c>
      <c r="Y138" s="138">
        <f t="shared" si="71"/>
        <v>6.9999999999999991</v>
      </c>
      <c r="Z138" s="138">
        <f t="shared" si="70"/>
        <v>6.9999999999999991</v>
      </c>
      <c r="AA138" s="138">
        <f t="shared" si="70"/>
        <v>7.5002457002456993</v>
      </c>
      <c r="AB138" s="138">
        <f t="shared" si="70"/>
        <v>8</v>
      </c>
      <c r="AC138" s="138">
        <f t="shared" si="70"/>
        <v>8</v>
      </c>
      <c r="AD138" s="138">
        <f t="shared" si="70"/>
        <v>8</v>
      </c>
      <c r="AE138" s="138">
        <f t="shared" si="73"/>
        <v>8.0006457341189776</v>
      </c>
      <c r="AF138" s="138">
        <f t="shared" si="73"/>
        <v>9.5010089595609024</v>
      </c>
      <c r="AG138" s="138">
        <f t="shared" si="59"/>
        <v>7.9585121745142731</v>
      </c>
      <c r="AH138" s="195">
        <f t="shared" si="60"/>
        <v>7.9585121745142731</v>
      </c>
      <c r="AI138" s="138">
        <f t="shared" si="61"/>
        <v>95.50214609417128</v>
      </c>
      <c r="AJ138" s="132"/>
      <c r="AK138" s="196">
        <f t="shared" si="68"/>
        <v>0.29892301310009867</v>
      </c>
      <c r="AL138" s="198">
        <f t="shared" si="62"/>
        <v>28.547789267995498</v>
      </c>
      <c r="AM138" s="197"/>
      <c r="AN138" s="196">
        <f t="shared" si="69"/>
        <v>20.947256346433427</v>
      </c>
      <c r="AO138" s="198">
        <f t="shared" si="63"/>
        <v>2000.5079358691416</v>
      </c>
      <c r="AP138" s="199">
        <f t="shared" si="64"/>
        <v>0.26</v>
      </c>
      <c r="AQ138" s="200">
        <f t="shared" si="65"/>
        <v>24.830557984484535</v>
      </c>
      <c r="AR138" s="132"/>
      <c r="AS138" s="201">
        <f t="shared" si="66"/>
        <v>20.908333333333331</v>
      </c>
      <c r="AT138" s="202">
        <f t="shared" si="67"/>
        <v>1996.7907045856309</v>
      </c>
      <c r="AU138" s="132"/>
      <c r="AV138" s="132"/>
      <c r="AW138" s="132"/>
      <c r="AX138" s="132"/>
      <c r="AY138" s="132"/>
      <c r="AZ138" s="246"/>
    </row>
    <row r="139" spans="1:52" s="129" customFormat="1" ht="12" customHeight="1">
      <c r="A139" s="146" t="str">
        <f t="shared" si="55"/>
        <v>Grays Harbor WUTCCommercialSL095.0GEO001WRECC</v>
      </c>
      <c r="B139" s="146">
        <f t="shared" si="72"/>
        <v>1</v>
      </c>
      <c r="C139" s="193" t="s">
        <v>364</v>
      </c>
      <c r="D139" s="193" t="s">
        <v>365</v>
      </c>
      <c r="E139" s="194">
        <v>20.350000000000001</v>
      </c>
      <c r="F139" s="194">
        <v>20.64833333333333</v>
      </c>
      <c r="G139" s="138">
        <v>81.400000000000006</v>
      </c>
      <c r="H139" s="138">
        <v>81.400000000000006</v>
      </c>
      <c r="I139" s="138">
        <v>81.400000000000006</v>
      </c>
      <c r="J139" s="138">
        <v>61.05</v>
      </c>
      <c r="K139" s="138">
        <v>61.05</v>
      </c>
      <c r="L139" s="138">
        <v>61.05</v>
      </c>
      <c r="M139" s="138">
        <v>61.05</v>
      </c>
      <c r="N139" s="138">
        <v>61.05</v>
      </c>
      <c r="O139" s="138">
        <v>61.05</v>
      </c>
      <c r="P139" s="138">
        <v>61.05</v>
      </c>
      <c r="Q139" s="138">
        <v>61.95</v>
      </c>
      <c r="R139" s="138">
        <v>61.95</v>
      </c>
      <c r="S139" s="139">
        <f t="shared" si="56"/>
        <v>795.45</v>
      </c>
      <c r="T139" s="132"/>
      <c r="U139" s="138">
        <f t="shared" si="71"/>
        <v>4</v>
      </c>
      <c r="V139" s="138">
        <f t="shared" si="71"/>
        <v>4</v>
      </c>
      <c r="W139" s="138">
        <f t="shared" si="71"/>
        <v>4</v>
      </c>
      <c r="X139" s="138">
        <f t="shared" si="71"/>
        <v>2.9999999999999996</v>
      </c>
      <c r="Y139" s="138">
        <f t="shared" si="71"/>
        <v>2.9999999999999996</v>
      </c>
      <c r="Z139" s="138">
        <f t="shared" si="71"/>
        <v>2.9999999999999996</v>
      </c>
      <c r="AA139" s="138">
        <f t="shared" si="71"/>
        <v>2.9999999999999996</v>
      </c>
      <c r="AB139" s="138">
        <f t="shared" si="71"/>
        <v>2.9999999999999996</v>
      </c>
      <c r="AC139" s="138">
        <f t="shared" si="71"/>
        <v>2.9999999999999996</v>
      </c>
      <c r="AD139" s="138">
        <f t="shared" si="71"/>
        <v>2.9999999999999996</v>
      </c>
      <c r="AE139" s="138">
        <f t="shared" si="73"/>
        <v>3.0002421502946168</v>
      </c>
      <c r="AF139" s="138">
        <f t="shared" si="73"/>
        <v>3.0002421502946168</v>
      </c>
      <c r="AG139" s="138">
        <f t="shared" si="59"/>
        <v>3.2500403583824364</v>
      </c>
      <c r="AH139" s="195">
        <f t="shared" si="60"/>
        <v>3.2500403583824364</v>
      </c>
      <c r="AI139" s="138">
        <f t="shared" si="61"/>
        <v>39.000484300589235</v>
      </c>
      <c r="AJ139" s="132"/>
      <c r="AK139" s="196">
        <f t="shared" si="68"/>
        <v>0.29892301310009867</v>
      </c>
      <c r="AL139" s="198">
        <f t="shared" si="62"/>
        <v>11.658142279495229</v>
      </c>
      <c r="AM139" s="197"/>
      <c r="AN139" s="196">
        <f t="shared" si="69"/>
        <v>20.947256346433427</v>
      </c>
      <c r="AO139" s="198">
        <f t="shared" si="63"/>
        <v>816.95314227949507</v>
      </c>
      <c r="AP139" s="199">
        <f t="shared" si="64"/>
        <v>0.26</v>
      </c>
      <c r="AQ139" s="200">
        <f t="shared" si="65"/>
        <v>10.140125918153201</v>
      </c>
      <c r="AR139" s="132"/>
      <c r="AS139" s="201">
        <f t="shared" si="66"/>
        <v>20.908333333333331</v>
      </c>
      <c r="AT139" s="202">
        <f t="shared" si="67"/>
        <v>815.43512591815318</v>
      </c>
      <c r="AU139" s="132"/>
      <c r="AV139" s="132"/>
      <c r="AW139" s="132"/>
      <c r="AX139" s="132"/>
      <c r="AY139" s="132"/>
      <c r="AZ139" s="246"/>
    </row>
    <row r="140" spans="1:52" s="129" customFormat="1" ht="12" customHeight="1">
      <c r="A140" s="146" t="str">
        <f t="shared" si="55"/>
        <v>Grays Harbor WUTCCommercialSL095.0GEO001COMM</v>
      </c>
      <c r="B140" s="146">
        <f t="shared" si="72"/>
        <v>1</v>
      </c>
      <c r="C140" s="193" t="s">
        <v>536</v>
      </c>
      <c r="D140" s="193" t="s">
        <v>363</v>
      </c>
      <c r="E140" s="194">
        <v>20.350000000000001</v>
      </c>
      <c r="F140" s="194">
        <v>20.64833333333333</v>
      </c>
      <c r="G140" s="138">
        <v>30.57</v>
      </c>
      <c r="H140" s="138">
        <v>0</v>
      </c>
      <c r="I140" s="138">
        <v>0</v>
      </c>
      <c r="J140" s="138">
        <v>0</v>
      </c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9">
        <f t="shared" si="56"/>
        <v>30.57</v>
      </c>
      <c r="T140" s="132"/>
      <c r="U140" s="138">
        <f t="shared" ref="U140:AD151" si="74">IFERROR(G140/$E140,0)</f>
        <v>1.5022113022113022</v>
      </c>
      <c r="V140" s="138">
        <f t="shared" si="74"/>
        <v>0</v>
      </c>
      <c r="W140" s="138">
        <f t="shared" si="74"/>
        <v>0</v>
      </c>
      <c r="X140" s="138">
        <f t="shared" si="74"/>
        <v>0</v>
      </c>
      <c r="Y140" s="138">
        <f t="shared" si="74"/>
        <v>0</v>
      </c>
      <c r="Z140" s="138">
        <f t="shared" si="74"/>
        <v>0</v>
      </c>
      <c r="AA140" s="138">
        <f t="shared" si="74"/>
        <v>0</v>
      </c>
      <c r="AB140" s="138">
        <f t="shared" si="74"/>
        <v>0</v>
      </c>
      <c r="AC140" s="138">
        <f t="shared" si="74"/>
        <v>0</v>
      </c>
      <c r="AD140" s="138">
        <f t="shared" si="74"/>
        <v>0</v>
      </c>
      <c r="AE140" s="138">
        <f t="shared" ref="AE140:AF151" si="75">IFERROR(Q140/$F140,0)</f>
        <v>0</v>
      </c>
      <c r="AF140" s="138">
        <f t="shared" si="75"/>
        <v>0</v>
      </c>
      <c r="AG140" s="138"/>
      <c r="AH140" s="195">
        <f t="shared" si="60"/>
        <v>0.12518427518427519</v>
      </c>
      <c r="AI140" s="138">
        <f t="shared" si="61"/>
        <v>1.5022113022113022</v>
      </c>
      <c r="AJ140" s="132"/>
      <c r="AK140" s="196">
        <f t="shared" si="68"/>
        <v>0.29892301310009867</v>
      </c>
      <c r="AL140" s="198">
        <f t="shared" si="62"/>
        <v>0.44904552877002535</v>
      </c>
      <c r="AM140" s="197"/>
      <c r="AN140" s="196">
        <f t="shared" si="69"/>
        <v>20.947256346433427</v>
      </c>
      <c r="AO140" s="198">
        <f t="shared" si="63"/>
        <v>31.467205233929722</v>
      </c>
      <c r="AP140" s="199">
        <f t="shared" si="64"/>
        <v>0.26</v>
      </c>
      <c r="AQ140" s="200">
        <f t="shared" si="65"/>
        <v>0.39057493857493858</v>
      </c>
      <c r="AR140" s="132"/>
      <c r="AS140" s="201">
        <f t="shared" si="66"/>
        <v>20.908333333333331</v>
      </c>
      <c r="AT140" s="202">
        <f t="shared" si="67"/>
        <v>31.40873464373464</v>
      </c>
      <c r="AU140" s="132"/>
      <c r="AV140" s="132"/>
      <c r="AW140" s="132"/>
      <c r="AX140" s="132"/>
      <c r="AY140" s="132"/>
      <c r="AZ140" s="246"/>
    </row>
    <row r="141" spans="1:52" s="129" customFormat="1" ht="12" customHeight="1">
      <c r="A141" s="142" t="str">
        <f t="shared" si="55"/>
        <v>Grays Harbor WUTCCommercialCANCOUNT-COMM</v>
      </c>
      <c r="B141" s="142">
        <f t="shared" si="72"/>
        <v>1</v>
      </c>
      <c r="C141" s="209" t="s">
        <v>387</v>
      </c>
      <c r="D141" s="209" t="s">
        <v>388</v>
      </c>
      <c r="E141" s="137">
        <v>3.19</v>
      </c>
      <c r="F141" s="137">
        <v>3.25</v>
      </c>
      <c r="G141" s="138">
        <v>3056.02</v>
      </c>
      <c r="H141" s="138">
        <v>2536.0500000000002</v>
      </c>
      <c r="I141" s="138">
        <v>2765.73</v>
      </c>
      <c r="J141" s="138">
        <v>3132.58</v>
      </c>
      <c r="K141" s="138">
        <v>2459.4899999999998</v>
      </c>
      <c r="L141" s="138">
        <v>2201.1</v>
      </c>
      <c r="M141" s="138">
        <v>3256.99</v>
      </c>
      <c r="N141" s="138">
        <v>2555.19</v>
      </c>
      <c r="O141" s="138">
        <v>2035.22</v>
      </c>
      <c r="P141" s="138">
        <v>2526.48</v>
      </c>
      <c r="Q141" s="138">
        <v>3281.45</v>
      </c>
      <c r="R141" s="138">
        <v>2663.12</v>
      </c>
      <c r="S141" s="139">
        <f t="shared" si="56"/>
        <v>32469.42</v>
      </c>
      <c r="T141" s="132"/>
      <c r="U141" s="138">
        <f t="shared" si="74"/>
        <v>958</v>
      </c>
      <c r="V141" s="138">
        <f t="shared" si="74"/>
        <v>795.00000000000011</v>
      </c>
      <c r="W141" s="138">
        <f t="shared" si="74"/>
        <v>867</v>
      </c>
      <c r="X141" s="138">
        <f t="shared" si="74"/>
        <v>982</v>
      </c>
      <c r="Y141" s="138">
        <f t="shared" si="74"/>
        <v>771</v>
      </c>
      <c r="Z141" s="138">
        <f t="shared" si="74"/>
        <v>690</v>
      </c>
      <c r="AA141" s="138">
        <f t="shared" si="74"/>
        <v>1021</v>
      </c>
      <c r="AB141" s="138">
        <f t="shared" si="74"/>
        <v>801</v>
      </c>
      <c r="AC141" s="138">
        <f t="shared" si="74"/>
        <v>638</v>
      </c>
      <c r="AD141" s="138">
        <f t="shared" si="74"/>
        <v>792</v>
      </c>
      <c r="AE141" s="138">
        <f t="shared" si="75"/>
        <v>1009.676923076923</v>
      </c>
      <c r="AF141" s="138">
        <f t="shared" si="75"/>
        <v>819.42153846153838</v>
      </c>
      <c r="AG141" s="138">
        <f>AVERAGE(U141:AF141)</f>
        <v>845.34153846153833</v>
      </c>
      <c r="AH141" s="195">
        <f t="shared" si="60"/>
        <v>845.34153846153833</v>
      </c>
      <c r="AI141" s="138">
        <f t="shared" si="61"/>
        <v>10144.09846153846</v>
      </c>
      <c r="AJ141" s="132"/>
      <c r="AK141" s="196">
        <f t="shared" si="68"/>
        <v>4.7049792198336625E-2</v>
      </c>
      <c r="AL141" s="198">
        <f t="shared" si="62"/>
        <v>477.27772465485083</v>
      </c>
      <c r="AM141" s="197"/>
      <c r="AN141" s="196">
        <f t="shared" si="69"/>
        <v>3.2970497921983366</v>
      </c>
      <c r="AO141" s="198">
        <f t="shared" si="63"/>
        <v>33445.59772465485</v>
      </c>
      <c r="AP141" s="199">
        <f t="shared" si="64"/>
        <v>0.04</v>
      </c>
      <c r="AQ141" s="200">
        <f t="shared" si="65"/>
        <v>405.76393846153843</v>
      </c>
      <c r="AR141" s="132"/>
      <c r="AS141" s="201">
        <f t="shared" si="66"/>
        <v>3.29</v>
      </c>
      <c r="AT141" s="202">
        <f t="shared" si="67"/>
        <v>33374.083938461532</v>
      </c>
      <c r="AU141" s="132"/>
      <c r="AV141" s="132"/>
      <c r="AW141" s="132"/>
      <c r="AX141" s="132"/>
      <c r="AY141" s="132"/>
      <c r="AZ141" s="246"/>
    </row>
    <row r="142" spans="1:52" s="129" customFormat="1" ht="12" customHeight="1">
      <c r="A142" s="142" t="str">
        <f t="shared" si="55"/>
        <v>Grays Harbor WUTCCommercialSP1.5-COMM</v>
      </c>
      <c r="B142" s="142">
        <f t="shared" si="72"/>
        <v>1</v>
      </c>
      <c r="C142" s="209" t="s">
        <v>373</v>
      </c>
      <c r="D142" s="209" t="s">
        <v>374</v>
      </c>
      <c r="E142" s="137">
        <v>41.57</v>
      </c>
      <c r="F142" s="137">
        <v>42.07</v>
      </c>
      <c r="G142" s="138">
        <v>0</v>
      </c>
      <c r="H142" s="138">
        <v>41.57</v>
      </c>
      <c r="I142" s="138">
        <v>0</v>
      </c>
      <c r="J142" s="138">
        <v>124.71</v>
      </c>
      <c r="K142" s="138">
        <v>0</v>
      </c>
      <c r="L142" s="138">
        <v>0</v>
      </c>
      <c r="M142" s="138">
        <v>0</v>
      </c>
      <c r="N142" s="138">
        <v>0</v>
      </c>
      <c r="O142" s="138">
        <v>0</v>
      </c>
      <c r="P142" s="138">
        <v>0</v>
      </c>
      <c r="Q142" s="138">
        <v>42.07</v>
      </c>
      <c r="R142" s="138">
        <v>0</v>
      </c>
      <c r="S142" s="139">
        <f t="shared" si="56"/>
        <v>208.35</v>
      </c>
      <c r="T142" s="132"/>
      <c r="U142" s="138">
        <f t="shared" si="74"/>
        <v>0</v>
      </c>
      <c r="V142" s="138">
        <f t="shared" si="74"/>
        <v>1</v>
      </c>
      <c r="W142" s="138">
        <f t="shared" si="74"/>
        <v>0</v>
      </c>
      <c r="X142" s="138">
        <f t="shared" si="74"/>
        <v>3</v>
      </c>
      <c r="Y142" s="138">
        <f t="shared" si="74"/>
        <v>0</v>
      </c>
      <c r="Z142" s="138">
        <f t="shared" si="74"/>
        <v>0</v>
      </c>
      <c r="AA142" s="138">
        <f t="shared" si="74"/>
        <v>0</v>
      </c>
      <c r="AB142" s="138">
        <f t="shared" si="74"/>
        <v>0</v>
      </c>
      <c r="AC142" s="138">
        <f t="shared" si="74"/>
        <v>0</v>
      </c>
      <c r="AD142" s="138">
        <f t="shared" si="74"/>
        <v>0</v>
      </c>
      <c r="AE142" s="138">
        <f t="shared" si="75"/>
        <v>1</v>
      </c>
      <c r="AF142" s="138">
        <f t="shared" si="75"/>
        <v>0</v>
      </c>
      <c r="AG142" s="138"/>
      <c r="AH142" s="195">
        <f t="shared" si="60"/>
        <v>0.41666666666666669</v>
      </c>
      <c r="AI142" s="138">
        <f t="shared" si="61"/>
        <v>5</v>
      </c>
      <c r="AJ142" s="132"/>
      <c r="AK142" s="196">
        <f t="shared" si="68"/>
        <v>0.60904146393354519</v>
      </c>
      <c r="AL142" s="198">
        <f t="shared" si="62"/>
        <v>3.0452073196677261</v>
      </c>
      <c r="AM142" s="197"/>
      <c r="AN142" s="196">
        <f t="shared" si="69"/>
        <v>42.679041463933544</v>
      </c>
      <c r="AO142" s="198">
        <f t="shared" si="63"/>
        <v>213.39520731966772</v>
      </c>
      <c r="AP142" s="199">
        <f t="shared" si="64"/>
        <v>0.53</v>
      </c>
      <c r="AQ142" s="200">
        <f t="shared" si="65"/>
        <v>2.6500000000000004</v>
      </c>
      <c r="AR142" s="132"/>
      <c r="AS142" s="201">
        <f t="shared" si="66"/>
        <v>42.6</v>
      </c>
      <c r="AT142" s="202">
        <f t="shared" si="67"/>
        <v>213</v>
      </c>
      <c r="AU142" s="132"/>
      <c r="AV142" s="132"/>
      <c r="AW142" s="132"/>
      <c r="AX142" s="132"/>
      <c r="AY142" s="132"/>
      <c r="AZ142" s="246"/>
    </row>
    <row r="143" spans="1:52" s="129" customFormat="1" ht="12" customHeight="1">
      <c r="A143" s="142" t="str">
        <f t="shared" si="55"/>
        <v>Grays Harbor WUTCCommercialSP1-COMM</v>
      </c>
      <c r="B143" s="142">
        <f t="shared" si="72"/>
        <v>1</v>
      </c>
      <c r="C143" s="209" t="s">
        <v>371</v>
      </c>
      <c r="D143" s="209" t="s">
        <v>372</v>
      </c>
      <c r="E143" s="137">
        <v>29.34</v>
      </c>
      <c r="F143" s="137">
        <v>29.69</v>
      </c>
      <c r="G143" s="138">
        <v>58.68</v>
      </c>
      <c r="H143" s="138">
        <v>88.02</v>
      </c>
      <c r="I143" s="138">
        <v>29.34</v>
      </c>
      <c r="J143" s="138">
        <v>117.36</v>
      </c>
      <c r="K143" s="138">
        <v>146.69999999999999</v>
      </c>
      <c r="L143" s="138">
        <v>117.36</v>
      </c>
      <c r="M143" s="138">
        <v>88.02</v>
      </c>
      <c r="N143" s="138">
        <v>88.02</v>
      </c>
      <c r="O143" s="138">
        <v>88.02</v>
      </c>
      <c r="P143" s="138">
        <v>88.02</v>
      </c>
      <c r="Q143" s="138">
        <v>29.69</v>
      </c>
      <c r="R143" s="138">
        <v>148.44999999999999</v>
      </c>
      <c r="S143" s="139">
        <f t="shared" si="56"/>
        <v>1087.6799999999998</v>
      </c>
      <c r="T143" s="132"/>
      <c r="U143" s="138">
        <f t="shared" si="74"/>
        <v>2</v>
      </c>
      <c r="V143" s="138">
        <f t="shared" si="74"/>
        <v>3</v>
      </c>
      <c r="W143" s="138">
        <f t="shared" si="74"/>
        <v>1</v>
      </c>
      <c r="X143" s="138">
        <f t="shared" si="74"/>
        <v>4</v>
      </c>
      <c r="Y143" s="138">
        <f t="shared" si="74"/>
        <v>5</v>
      </c>
      <c r="Z143" s="138">
        <f t="shared" si="74"/>
        <v>4</v>
      </c>
      <c r="AA143" s="138">
        <f t="shared" si="74"/>
        <v>3</v>
      </c>
      <c r="AB143" s="138">
        <f t="shared" si="74"/>
        <v>3</v>
      </c>
      <c r="AC143" s="138">
        <f t="shared" si="74"/>
        <v>3</v>
      </c>
      <c r="AD143" s="138">
        <f t="shared" si="74"/>
        <v>3</v>
      </c>
      <c r="AE143" s="138">
        <f t="shared" si="75"/>
        <v>1</v>
      </c>
      <c r="AF143" s="138">
        <f t="shared" si="75"/>
        <v>4.9999999999999991</v>
      </c>
      <c r="AG143" s="138"/>
      <c r="AH143" s="195">
        <f t="shared" si="60"/>
        <v>3.0833333333333335</v>
      </c>
      <c r="AI143" s="138">
        <f t="shared" si="61"/>
        <v>37</v>
      </c>
      <c r="AJ143" s="132"/>
      <c r="AK143" s="196">
        <f t="shared" si="68"/>
        <v>0.42981794780572752</v>
      </c>
      <c r="AL143" s="198">
        <f t="shared" si="62"/>
        <v>15.903264068811918</v>
      </c>
      <c r="AM143" s="197"/>
      <c r="AN143" s="196">
        <f t="shared" si="69"/>
        <v>30.119817947805728</v>
      </c>
      <c r="AO143" s="198">
        <f t="shared" si="63"/>
        <v>1114.4332640688119</v>
      </c>
      <c r="AP143" s="199">
        <f t="shared" si="64"/>
        <v>0.37</v>
      </c>
      <c r="AQ143" s="200">
        <f t="shared" si="65"/>
        <v>13.69</v>
      </c>
      <c r="AR143" s="132"/>
      <c r="AS143" s="201">
        <f t="shared" si="66"/>
        <v>30.060000000000002</v>
      </c>
      <c r="AT143" s="202">
        <f t="shared" si="67"/>
        <v>1112.22</v>
      </c>
      <c r="AU143" s="132"/>
      <c r="AV143" s="132"/>
      <c r="AW143" s="132"/>
      <c r="AX143" s="132"/>
      <c r="AY143" s="132"/>
      <c r="AZ143" s="246"/>
    </row>
    <row r="144" spans="1:52" s="129" customFormat="1" ht="12" customHeight="1">
      <c r="A144" s="142" t="str">
        <f t="shared" si="55"/>
        <v>Grays Harbor WUTCCommercialSP2-COMM</v>
      </c>
      <c r="B144" s="142">
        <f t="shared" si="72"/>
        <v>1</v>
      </c>
      <c r="C144" s="209" t="s">
        <v>375</v>
      </c>
      <c r="D144" s="209" t="s">
        <v>376</v>
      </c>
      <c r="E144" s="137">
        <v>53.49</v>
      </c>
      <c r="F144" s="137">
        <v>54.14</v>
      </c>
      <c r="G144" s="138">
        <v>106.98</v>
      </c>
      <c r="H144" s="138">
        <v>160.47</v>
      </c>
      <c r="I144" s="138">
        <v>160.47</v>
      </c>
      <c r="J144" s="138">
        <v>106.98</v>
      </c>
      <c r="K144" s="138">
        <v>106.98</v>
      </c>
      <c r="L144" s="138">
        <v>213.96</v>
      </c>
      <c r="M144" s="138">
        <v>0</v>
      </c>
      <c r="N144" s="138">
        <v>0</v>
      </c>
      <c r="O144" s="138">
        <v>160.47</v>
      </c>
      <c r="P144" s="138">
        <v>0</v>
      </c>
      <c r="Q144" s="138">
        <v>0</v>
      </c>
      <c r="R144" s="138">
        <v>0</v>
      </c>
      <c r="S144" s="139">
        <f t="shared" si="56"/>
        <v>1016.3100000000001</v>
      </c>
      <c r="T144" s="132"/>
      <c r="U144" s="138">
        <f t="shared" si="74"/>
        <v>2</v>
      </c>
      <c r="V144" s="138">
        <f t="shared" si="74"/>
        <v>3</v>
      </c>
      <c r="W144" s="138">
        <f t="shared" si="74"/>
        <v>3</v>
      </c>
      <c r="X144" s="138">
        <f t="shared" si="74"/>
        <v>2</v>
      </c>
      <c r="Y144" s="138">
        <f t="shared" si="74"/>
        <v>2</v>
      </c>
      <c r="Z144" s="138">
        <f t="shared" si="74"/>
        <v>4</v>
      </c>
      <c r="AA144" s="138">
        <f t="shared" si="74"/>
        <v>0</v>
      </c>
      <c r="AB144" s="138">
        <f t="shared" si="74"/>
        <v>0</v>
      </c>
      <c r="AC144" s="138">
        <f t="shared" si="74"/>
        <v>3</v>
      </c>
      <c r="AD144" s="138">
        <f t="shared" si="74"/>
        <v>0</v>
      </c>
      <c r="AE144" s="138">
        <f t="shared" si="75"/>
        <v>0</v>
      </c>
      <c r="AF144" s="138">
        <f t="shared" si="75"/>
        <v>0</v>
      </c>
      <c r="AG144" s="138"/>
      <c r="AH144" s="195">
        <f t="shared" si="60"/>
        <v>1.5833333333333333</v>
      </c>
      <c r="AI144" s="138">
        <f t="shared" si="61"/>
        <v>19</v>
      </c>
      <c r="AJ144" s="132"/>
      <c r="AK144" s="196">
        <f t="shared" si="68"/>
        <v>0.78377715372859846</v>
      </c>
      <c r="AL144" s="198">
        <f t="shared" si="62"/>
        <v>14.891765920843371</v>
      </c>
      <c r="AM144" s="197"/>
      <c r="AN144" s="196">
        <f t="shared" si="69"/>
        <v>54.923777153728601</v>
      </c>
      <c r="AO144" s="198">
        <f t="shared" si="63"/>
        <v>1043.5517659208433</v>
      </c>
      <c r="AP144" s="199">
        <f t="shared" si="64"/>
        <v>0.68</v>
      </c>
      <c r="AQ144" s="200">
        <f t="shared" si="65"/>
        <v>12.920000000000002</v>
      </c>
      <c r="AR144" s="132"/>
      <c r="AS144" s="201">
        <f t="shared" si="66"/>
        <v>54.82</v>
      </c>
      <c r="AT144" s="202">
        <f t="shared" si="67"/>
        <v>1041.58</v>
      </c>
      <c r="AU144" s="132"/>
      <c r="AV144" s="132"/>
      <c r="AW144" s="132"/>
      <c r="AX144" s="132"/>
      <c r="AY144" s="132"/>
      <c r="AZ144" s="246"/>
    </row>
    <row r="145" spans="1:52" s="129" customFormat="1" ht="12" customHeight="1">
      <c r="A145" s="142" t="str">
        <f t="shared" si="55"/>
        <v>Grays Harbor WUTCCommercialSP3-COMM</v>
      </c>
      <c r="B145" s="142">
        <f t="shared" si="72"/>
        <v>1</v>
      </c>
      <c r="C145" s="209" t="s">
        <v>377</v>
      </c>
      <c r="D145" s="209" t="s">
        <v>378</v>
      </c>
      <c r="E145" s="137">
        <v>71.94</v>
      </c>
      <c r="F145" s="137">
        <v>72.89</v>
      </c>
      <c r="G145" s="138">
        <v>0</v>
      </c>
      <c r="H145" s="138">
        <v>71.94</v>
      </c>
      <c r="I145" s="138">
        <v>71.94</v>
      </c>
      <c r="J145" s="138">
        <v>143.88</v>
      </c>
      <c r="K145" s="138">
        <v>71.94</v>
      </c>
      <c r="L145" s="138">
        <v>143.88</v>
      </c>
      <c r="M145" s="138">
        <v>71.94</v>
      </c>
      <c r="N145" s="138">
        <v>71.94</v>
      </c>
      <c r="O145" s="138">
        <v>287.76</v>
      </c>
      <c r="P145" s="138">
        <v>143.88</v>
      </c>
      <c r="Q145" s="138">
        <v>145.78</v>
      </c>
      <c r="R145" s="138">
        <v>145.78</v>
      </c>
      <c r="S145" s="139">
        <f t="shared" si="56"/>
        <v>1370.6599999999999</v>
      </c>
      <c r="T145" s="132"/>
      <c r="U145" s="138">
        <f t="shared" si="74"/>
        <v>0</v>
      </c>
      <c r="V145" s="138">
        <f t="shared" si="74"/>
        <v>1</v>
      </c>
      <c r="W145" s="138">
        <f t="shared" si="74"/>
        <v>1</v>
      </c>
      <c r="X145" s="138">
        <f t="shared" si="74"/>
        <v>2</v>
      </c>
      <c r="Y145" s="138">
        <f t="shared" si="74"/>
        <v>1</v>
      </c>
      <c r="Z145" s="138">
        <f t="shared" si="74"/>
        <v>2</v>
      </c>
      <c r="AA145" s="138">
        <f t="shared" si="74"/>
        <v>1</v>
      </c>
      <c r="AB145" s="138">
        <f t="shared" si="74"/>
        <v>1</v>
      </c>
      <c r="AC145" s="138">
        <f t="shared" si="74"/>
        <v>4</v>
      </c>
      <c r="AD145" s="138">
        <f t="shared" si="74"/>
        <v>2</v>
      </c>
      <c r="AE145" s="138">
        <f t="shared" si="75"/>
        <v>2</v>
      </c>
      <c r="AF145" s="138">
        <f t="shared" si="75"/>
        <v>2</v>
      </c>
      <c r="AG145" s="138"/>
      <c r="AH145" s="195">
        <f t="shared" si="60"/>
        <v>1.5833333333333333</v>
      </c>
      <c r="AI145" s="138">
        <f t="shared" si="61"/>
        <v>19</v>
      </c>
      <c r="AJ145" s="132"/>
      <c r="AK145" s="196">
        <f t="shared" si="68"/>
        <v>1.0552182625651558</v>
      </c>
      <c r="AL145" s="198">
        <f t="shared" si="62"/>
        <v>20.049146988737959</v>
      </c>
      <c r="AM145" s="197"/>
      <c r="AN145" s="196">
        <f t="shared" si="69"/>
        <v>73.945218262565163</v>
      </c>
      <c r="AO145" s="198">
        <f t="shared" si="63"/>
        <v>1404.9591469887382</v>
      </c>
      <c r="AP145" s="199">
        <f t="shared" si="64"/>
        <v>0.91</v>
      </c>
      <c r="AQ145" s="200">
        <f t="shared" si="65"/>
        <v>17.29</v>
      </c>
      <c r="AR145" s="132"/>
      <c r="AS145" s="201">
        <f t="shared" si="66"/>
        <v>73.8</v>
      </c>
      <c r="AT145" s="202">
        <f t="shared" si="67"/>
        <v>1402.2</v>
      </c>
      <c r="AU145" s="132"/>
      <c r="AV145" s="132"/>
      <c r="AW145" s="132"/>
      <c r="AX145" s="132"/>
      <c r="AY145" s="132"/>
      <c r="AZ145" s="246"/>
    </row>
    <row r="146" spans="1:52" s="129" customFormat="1" ht="12" customHeight="1">
      <c r="A146" s="142" t="str">
        <f t="shared" si="55"/>
        <v>Grays Harbor WUTCCommercialSP4-COMM</v>
      </c>
      <c r="B146" s="142">
        <f t="shared" ref="B146:B152" si="76">COUNTIF(C:C,C146)</f>
        <v>1</v>
      </c>
      <c r="C146" s="209" t="s">
        <v>379</v>
      </c>
      <c r="D146" s="209" t="s">
        <v>380</v>
      </c>
      <c r="E146" s="137">
        <v>94.75</v>
      </c>
      <c r="F146" s="137">
        <v>95.98</v>
      </c>
      <c r="G146" s="138">
        <v>0</v>
      </c>
      <c r="H146" s="138">
        <v>0</v>
      </c>
      <c r="I146" s="138">
        <v>0</v>
      </c>
      <c r="J146" s="138">
        <v>94.75</v>
      </c>
      <c r="K146" s="138">
        <v>189.5</v>
      </c>
      <c r="L146" s="138">
        <v>189.5</v>
      </c>
      <c r="M146" s="138">
        <v>189.5</v>
      </c>
      <c r="N146" s="138">
        <v>0</v>
      </c>
      <c r="O146" s="138">
        <v>0</v>
      </c>
      <c r="P146" s="138">
        <v>94.75</v>
      </c>
      <c r="Q146" s="138">
        <v>0</v>
      </c>
      <c r="R146" s="138">
        <v>95.98</v>
      </c>
      <c r="S146" s="139">
        <f t="shared" si="56"/>
        <v>853.98</v>
      </c>
      <c r="T146" s="132"/>
      <c r="U146" s="138">
        <f t="shared" si="74"/>
        <v>0</v>
      </c>
      <c r="V146" s="138">
        <f t="shared" si="74"/>
        <v>0</v>
      </c>
      <c r="W146" s="138">
        <f t="shared" si="74"/>
        <v>0</v>
      </c>
      <c r="X146" s="138">
        <f t="shared" si="74"/>
        <v>1</v>
      </c>
      <c r="Y146" s="138">
        <f t="shared" si="74"/>
        <v>2</v>
      </c>
      <c r="Z146" s="138">
        <f t="shared" si="74"/>
        <v>2</v>
      </c>
      <c r="AA146" s="138">
        <f t="shared" si="74"/>
        <v>2</v>
      </c>
      <c r="AB146" s="138">
        <f t="shared" si="74"/>
        <v>0</v>
      </c>
      <c r="AC146" s="138">
        <f t="shared" si="74"/>
        <v>0</v>
      </c>
      <c r="AD146" s="138">
        <f t="shared" si="74"/>
        <v>1</v>
      </c>
      <c r="AE146" s="138">
        <f t="shared" si="75"/>
        <v>0</v>
      </c>
      <c r="AF146" s="138">
        <f t="shared" si="75"/>
        <v>1</v>
      </c>
      <c r="AG146" s="138"/>
      <c r="AH146" s="195">
        <f t="shared" si="60"/>
        <v>0.75</v>
      </c>
      <c r="AI146" s="138">
        <f t="shared" si="61"/>
        <v>9</v>
      </c>
      <c r="AJ146" s="132"/>
      <c r="AK146" s="196">
        <f t="shared" si="68"/>
        <v>1.3894889400604153</v>
      </c>
      <c r="AL146" s="198">
        <f t="shared" si="62"/>
        <v>12.505400460543738</v>
      </c>
      <c r="AM146" s="197"/>
      <c r="AN146" s="196">
        <f t="shared" si="69"/>
        <v>97.369488940060421</v>
      </c>
      <c r="AO146" s="198">
        <f t="shared" si="63"/>
        <v>876.32540046054373</v>
      </c>
      <c r="AP146" s="199">
        <f t="shared" si="64"/>
        <v>1.2</v>
      </c>
      <c r="AQ146" s="200">
        <f t="shared" si="65"/>
        <v>10.799999999999999</v>
      </c>
      <c r="AR146" s="132"/>
      <c r="AS146" s="201">
        <f t="shared" si="66"/>
        <v>97.18</v>
      </c>
      <c r="AT146" s="202">
        <f t="shared" si="67"/>
        <v>874.62000000000012</v>
      </c>
      <c r="AU146" s="132"/>
      <c r="AV146" s="132"/>
      <c r="AW146" s="132"/>
      <c r="AX146" s="132"/>
      <c r="AY146" s="132"/>
      <c r="AZ146" s="246"/>
    </row>
    <row r="147" spans="1:52" s="129" customFormat="1" ht="12" customHeight="1">
      <c r="A147" s="142" t="str">
        <f t="shared" si="55"/>
        <v>Grays Harbor WUTCCommercialSP6-COMM</v>
      </c>
      <c r="B147" s="142">
        <f t="shared" si="76"/>
        <v>1</v>
      </c>
      <c r="C147" s="209" t="s">
        <v>381</v>
      </c>
      <c r="D147" s="209" t="s">
        <v>382</v>
      </c>
      <c r="E147" s="137">
        <v>123.33</v>
      </c>
      <c r="F147" s="137">
        <v>125.02</v>
      </c>
      <c r="G147" s="138">
        <v>0</v>
      </c>
      <c r="H147" s="138">
        <v>0</v>
      </c>
      <c r="I147" s="138">
        <v>0</v>
      </c>
      <c r="J147" s="138">
        <v>0</v>
      </c>
      <c r="K147" s="138">
        <v>739.98</v>
      </c>
      <c r="L147" s="138">
        <v>493.32</v>
      </c>
      <c r="M147" s="138">
        <v>493.32</v>
      </c>
      <c r="N147" s="138">
        <v>0</v>
      </c>
      <c r="O147" s="138">
        <v>0</v>
      </c>
      <c r="P147" s="138">
        <v>0</v>
      </c>
      <c r="Q147" s="138">
        <v>0</v>
      </c>
      <c r="R147" s="138">
        <v>0</v>
      </c>
      <c r="S147" s="139">
        <f t="shared" si="56"/>
        <v>1726.62</v>
      </c>
      <c r="T147" s="132"/>
      <c r="U147" s="138">
        <f t="shared" si="74"/>
        <v>0</v>
      </c>
      <c r="V147" s="138">
        <f t="shared" si="74"/>
        <v>0</v>
      </c>
      <c r="W147" s="138">
        <f t="shared" si="74"/>
        <v>0</v>
      </c>
      <c r="X147" s="138">
        <f t="shared" si="74"/>
        <v>0</v>
      </c>
      <c r="Y147" s="138">
        <f t="shared" si="74"/>
        <v>6</v>
      </c>
      <c r="Z147" s="138">
        <f t="shared" si="74"/>
        <v>4</v>
      </c>
      <c r="AA147" s="138">
        <f t="shared" si="74"/>
        <v>4</v>
      </c>
      <c r="AB147" s="138">
        <f t="shared" si="74"/>
        <v>0</v>
      </c>
      <c r="AC147" s="138">
        <f t="shared" si="74"/>
        <v>0</v>
      </c>
      <c r="AD147" s="138">
        <f t="shared" si="74"/>
        <v>0</v>
      </c>
      <c r="AE147" s="138">
        <f t="shared" si="75"/>
        <v>0</v>
      </c>
      <c r="AF147" s="138">
        <f t="shared" si="75"/>
        <v>0</v>
      </c>
      <c r="AG147" s="138"/>
      <c r="AH147" s="195">
        <f t="shared" si="60"/>
        <v>1.1666666666666667</v>
      </c>
      <c r="AI147" s="138">
        <f t="shared" si="61"/>
        <v>14</v>
      </c>
      <c r="AJ147" s="132"/>
      <c r="AK147" s="196">
        <f t="shared" si="68"/>
        <v>1.8098969294264753</v>
      </c>
      <c r="AL147" s="198">
        <f t="shared" si="62"/>
        <v>25.338557011970654</v>
      </c>
      <c r="AM147" s="197"/>
      <c r="AN147" s="196">
        <f t="shared" si="69"/>
        <v>126.82989692942647</v>
      </c>
      <c r="AO147" s="198">
        <f t="shared" si="63"/>
        <v>1775.6185570119706</v>
      </c>
      <c r="AP147" s="199">
        <f t="shared" si="64"/>
        <v>1.56</v>
      </c>
      <c r="AQ147" s="200">
        <f t="shared" si="65"/>
        <v>21.84</v>
      </c>
      <c r="AR147" s="132"/>
      <c r="AS147" s="201">
        <f t="shared" si="66"/>
        <v>126.58</v>
      </c>
      <c r="AT147" s="202">
        <f t="shared" si="67"/>
        <v>1772.12</v>
      </c>
      <c r="AU147" s="132"/>
      <c r="AV147" s="132"/>
      <c r="AW147" s="132"/>
      <c r="AX147" s="132"/>
      <c r="AY147" s="132"/>
      <c r="AZ147" s="246"/>
    </row>
    <row r="148" spans="1:52" s="129" customFormat="1" ht="12" customHeight="1">
      <c r="A148" s="142" t="str">
        <f t="shared" si="55"/>
        <v>Grays Harbor WUTCCommercialSPCL95-COMM</v>
      </c>
      <c r="B148" s="142">
        <f t="shared" si="76"/>
        <v>1</v>
      </c>
      <c r="C148" s="209" t="s">
        <v>537</v>
      </c>
      <c r="D148" s="209" t="s">
        <v>538</v>
      </c>
      <c r="E148" s="194">
        <v>12.52</v>
      </c>
      <c r="F148" s="137">
        <v>12.58</v>
      </c>
      <c r="G148" s="138">
        <v>12.52</v>
      </c>
      <c r="H148" s="138">
        <v>0</v>
      </c>
      <c r="I148" s="138">
        <v>0</v>
      </c>
      <c r="J148" s="138">
        <v>0</v>
      </c>
      <c r="K148" s="138">
        <v>0</v>
      </c>
      <c r="L148" s="138">
        <v>0</v>
      </c>
      <c r="M148" s="138">
        <v>0</v>
      </c>
      <c r="N148" s="138">
        <v>0</v>
      </c>
      <c r="O148" s="138">
        <v>0</v>
      </c>
      <c r="P148" s="138">
        <v>0</v>
      </c>
      <c r="Q148" s="138">
        <v>0</v>
      </c>
      <c r="R148" s="138">
        <v>0</v>
      </c>
      <c r="S148" s="139">
        <f t="shared" si="56"/>
        <v>12.52</v>
      </c>
      <c r="T148" s="132"/>
      <c r="U148" s="138">
        <f t="shared" si="74"/>
        <v>1</v>
      </c>
      <c r="V148" s="138">
        <f t="shared" si="74"/>
        <v>0</v>
      </c>
      <c r="W148" s="138">
        <f t="shared" si="74"/>
        <v>0</v>
      </c>
      <c r="X148" s="138">
        <f t="shared" si="74"/>
        <v>0</v>
      </c>
      <c r="Y148" s="138">
        <f t="shared" si="74"/>
        <v>0</v>
      </c>
      <c r="Z148" s="138">
        <f t="shared" si="74"/>
        <v>0</v>
      </c>
      <c r="AA148" s="138">
        <f t="shared" si="74"/>
        <v>0</v>
      </c>
      <c r="AB148" s="138">
        <f t="shared" si="74"/>
        <v>0</v>
      </c>
      <c r="AC148" s="138">
        <f t="shared" si="74"/>
        <v>0</v>
      </c>
      <c r="AD148" s="138">
        <f t="shared" si="74"/>
        <v>0</v>
      </c>
      <c r="AE148" s="138">
        <f t="shared" si="75"/>
        <v>0</v>
      </c>
      <c r="AF148" s="138">
        <f t="shared" si="75"/>
        <v>0</v>
      </c>
      <c r="AG148" s="138"/>
      <c r="AH148" s="195">
        <f t="shared" si="60"/>
        <v>8.3333333333333329E-2</v>
      </c>
      <c r="AI148" s="138">
        <f t="shared" si="61"/>
        <v>1</v>
      </c>
      <c r="AJ148" s="132"/>
      <c r="AK148" s="196">
        <f t="shared" si="68"/>
        <v>0.18211888795540762</v>
      </c>
      <c r="AL148" s="198">
        <f t="shared" si="62"/>
        <v>0.18211888795540762</v>
      </c>
      <c r="AM148" s="197"/>
      <c r="AN148" s="196">
        <f t="shared" si="69"/>
        <v>12.762118887955408</v>
      </c>
      <c r="AO148" s="198">
        <f t="shared" si="63"/>
        <v>12.762118887955408</v>
      </c>
      <c r="AP148" s="199">
        <f t="shared" si="64"/>
        <v>0.16</v>
      </c>
      <c r="AQ148" s="200">
        <f t="shared" si="65"/>
        <v>0.16</v>
      </c>
      <c r="AR148" s="132"/>
      <c r="AS148" s="201">
        <f t="shared" si="66"/>
        <v>12.74</v>
      </c>
      <c r="AT148" s="202">
        <f t="shared" si="67"/>
        <v>12.74</v>
      </c>
      <c r="AU148" s="132"/>
      <c r="AV148" s="132"/>
      <c r="AW148" s="132"/>
      <c r="AX148" s="132"/>
      <c r="AY148" s="132"/>
      <c r="AZ148" s="246"/>
    </row>
    <row r="149" spans="1:52" s="129" customFormat="1" ht="12" customHeight="1">
      <c r="A149" s="142" t="str">
        <f>$A$1&amp;"Commercial"&amp;C149</f>
        <v>Grays Harbor WUTCCommercialAPPLIANCEC</v>
      </c>
      <c r="B149" s="142">
        <f t="shared" si="76"/>
        <v>1</v>
      </c>
      <c r="C149" s="209" t="s">
        <v>421</v>
      </c>
      <c r="D149" s="193" t="s">
        <v>422</v>
      </c>
      <c r="E149" s="137">
        <v>30</v>
      </c>
      <c r="F149" s="137">
        <v>32.31</v>
      </c>
      <c r="G149" s="138">
        <v>360</v>
      </c>
      <c r="H149" s="138">
        <v>60</v>
      </c>
      <c r="I149" s="138">
        <v>60</v>
      </c>
      <c r="J149" s="138">
        <v>30</v>
      </c>
      <c r="K149" s="138">
        <v>30</v>
      </c>
      <c r="L149" s="138">
        <v>180</v>
      </c>
      <c r="M149" s="138">
        <v>60</v>
      </c>
      <c r="N149" s="138">
        <v>0</v>
      </c>
      <c r="O149" s="138">
        <v>0</v>
      </c>
      <c r="P149" s="138">
        <v>210</v>
      </c>
      <c r="Q149" s="138">
        <v>32.31</v>
      </c>
      <c r="R149" s="138">
        <v>193.86</v>
      </c>
      <c r="S149" s="139">
        <f t="shared" ref="S149:S151" si="77">+SUM(G149:R149)</f>
        <v>1216.17</v>
      </c>
      <c r="T149" s="132"/>
      <c r="U149" s="138">
        <f t="shared" si="74"/>
        <v>12</v>
      </c>
      <c r="V149" s="138">
        <f t="shared" si="74"/>
        <v>2</v>
      </c>
      <c r="W149" s="138">
        <f t="shared" si="74"/>
        <v>2</v>
      </c>
      <c r="X149" s="138">
        <f t="shared" si="74"/>
        <v>1</v>
      </c>
      <c r="Y149" s="138">
        <f t="shared" si="74"/>
        <v>1</v>
      </c>
      <c r="Z149" s="138">
        <f t="shared" si="74"/>
        <v>6</v>
      </c>
      <c r="AA149" s="138">
        <f t="shared" si="74"/>
        <v>2</v>
      </c>
      <c r="AB149" s="138">
        <f t="shared" si="74"/>
        <v>0</v>
      </c>
      <c r="AC149" s="138">
        <f t="shared" si="74"/>
        <v>0</v>
      </c>
      <c r="AD149" s="138">
        <f t="shared" si="74"/>
        <v>7</v>
      </c>
      <c r="AE149" s="138">
        <f t="shared" si="75"/>
        <v>1</v>
      </c>
      <c r="AF149" s="138">
        <f t="shared" si="75"/>
        <v>6</v>
      </c>
      <c r="AG149" s="138"/>
      <c r="AH149" s="195">
        <f t="shared" si="60"/>
        <v>3.3333333333333335</v>
      </c>
      <c r="AI149" s="138">
        <f t="shared" si="61"/>
        <v>40</v>
      </c>
      <c r="AJ149" s="132"/>
      <c r="AK149" s="196">
        <f t="shared" si="68"/>
        <v>0.46774731874715586</v>
      </c>
      <c r="AL149" s="198">
        <f t="shared" si="62"/>
        <v>18.709892749886233</v>
      </c>
      <c r="AM149" s="197"/>
      <c r="AN149" s="196">
        <f t="shared" si="69"/>
        <v>32.77774731874716</v>
      </c>
      <c r="AO149" s="198">
        <f t="shared" si="63"/>
        <v>1311.1098927498865</v>
      </c>
      <c r="AP149" s="199">
        <f t="shared" si="64"/>
        <v>0.4</v>
      </c>
      <c r="AQ149" s="200">
        <f t="shared" si="65"/>
        <v>16</v>
      </c>
      <c r="AR149" s="132"/>
      <c r="AS149" s="201">
        <f t="shared" si="66"/>
        <v>32.71</v>
      </c>
      <c r="AT149" s="202">
        <f t="shared" si="67"/>
        <v>1308.4000000000001</v>
      </c>
      <c r="AU149" s="132"/>
      <c r="AV149" s="132"/>
      <c r="AW149" s="132"/>
      <c r="AX149" s="132"/>
      <c r="AY149" s="132"/>
      <c r="AZ149" s="246"/>
    </row>
    <row r="150" spans="1:52" s="129" customFormat="1" ht="12" customHeight="1">
      <c r="A150" s="142" t="str">
        <f t="shared" ref="A150:A177" si="78">$A$1&amp;"Commercial"&amp;C150</f>
        <v>Grays Harbor WUTCCommercialEXTRA-COMM</v>
      </c>
      <c r="B150" s="142">
        <f t="shared" si="76"/>
        <v>1</v>
      </c>
      <c r="C150" s="209" t="s">
        <v>383</v>
      </c>
      <c r="D150" s="193" t="s">
        <v>384</v>
      </c>
      <c r="E150" s="137">
        <v>3.19</v>
      </c>
      <c r="F150" s="137">
        <v>3.25</v>
      </c>
      <c r="G150" s="138">
        <v>236.06</v>
      </c>
      <c r="H150" s="138">
        <v>303.05</v>
      </c>
      <c r="I150" s="138">
        <v>334.95</v>
      </c>
      <c r="J150" s="138">
        <v>341.33</v>
      </c>
      <c r="K150" s="138">
        <v>718.68000000000006</v>
      </c>
      <c r="L150" s="138">
        <v>766.06</v>
      </c>
      <c r="M150" s="138">
        <v>422.37</v>
      </c>
      <c r="N150" s="138">
        <v>408.32</v>
      </c>
      <c r="O150" s="138">
        <v>293.48</v>
      </c>
      <c r="P150" s="138">
        <v>385.99</v>
      </c>
      <c r="Q150" s="138">
        <v>421.78</v>
      </c>
      <c r="R150" s="138">
        <v>325</v>
      </c>
      <c r="S150" s="139">
        <f t="shared" si="77"/>
        <v>4957.07</v>
      </c>
      <c r="T150" s="132"/>
      <c r="U150" s="138">
        <f t="shared" si="74"/>
        <v>74</v>
      </c>
      <c r="V150" s="138">
        <f t="shared" si="74"/>
        <v>95</v>
      </c>
      <c r="W150" s="138">
        <f t="shared" si="74"/>
        <v>105</v>
      </c>
      <c r="X150" s="138">
        <f t="shared" si="74"/>
        <v>107</v>
      </c>
      <c r="Y150" s="138">
        <f t="shared" si="74"/>
        <v>225.29153605015676</v>
      </c>
      <c r="Z150" s="138">
        <f t="shared" si="74"/>
        <v>240.14420062695925</v>
      </c>
      <c r="AA150" s="138">
        <f t="shared" si="74"/>
        <v>132.40438871473356</v>
      </c>
      <c r="AB150" s="138">
        <f t="shared" si="74"/>
        <v>128</v>
      </c>
      <c r="AC150" s="138">
        <f t="shared" si="74"/>
        <v>92.000000000000014</v>
      </c>
      <c r="AD150" s="138">
        <f t="shared" si="74"/>
        <v>121</v>
      </c>
      <c r="AE150" s="138">
        <f t="shared" si="75"/>
        <v>129.77846153846153</v>
      </c>
      <c r="AF150" s="138">
        <f t="shared" si="75"/>
        <v>100</v>
      </c>
      <c r="AG150" s="138"/>
      <c r="AH150" s="195">
        <f t="shared" si="60"/>
        <v>129.1348822441926</v>
      </c>
      <c r="AI150" s="138">
        <f t="shared" ref="AI150:AI177" si="79">+SUM(U150:AF150)</f>
        <v>1549.618586930311</v>
      </c>
      <c r="AJ150" s="132"/>
      <c r="AK150" s="196">
        <f t="shared" si="68"/>
        <v>4.7049792198336625E-2</v>
      </c>
      <c r="AL150" s="198">
        <f t="shared" ref="AL150:AL177" si="80">AK150*AI150</f>
        <v>72.909232501751177</v>
      </c>
      <c r="AM150" s="197"/>
      <c r="AN150" s="196">
        <f t="shared" si="69"/>
        <v>3.2970497921983366</v>
      </c>
      <c r="AO150" s="198">
        <f t="shared" ref="AO150:AO177" si="81">AI150*AN150</f>
        <v>5109.1696400252622</v>
      </c>
      <c r="AP150" s="199">
        <f t="shared" ref="AP150:AP177" si="82">ROUND(F150*$AS$3,2)</f>
        <v>0.04</v>
      </c>
      <c r="AQ150" s="200">
        <f t="shared" ref="AQ150:AQ177" si="83">AP150*AI150</f>
        <v>61.98474347721244</v>
      </c>
      <c r="AR150" s="132"/>
      <c r="AS150" s="201">
        <f t="shared" ref="AS150:AS177" si="84">AP150+F150</f>
        <v>3.29</v>
      </c>
      <c r="AT150" s="202">
        <f t="shared" ref="AT150:AT177" si="85">AS150*AI150</f>
        <v>5098.2451510007231</v>
      </c>
      <c r="AU150" s="132"/>
      <c r="AV150" s="132"/>
      <c r="AW150" s="132"/>
      <c r="AX150" s="132"/>
      <c r="AY150" s="132"/>
      <c r="AZ150" s="246"/>
    </row>
    <row r="151" spans="1:52" s="129" customFormat="1" ht="12" customHeight="1">
      <c r="A151" s="142" t="str">
        <f t="shared" si="78"/>
        <v>Grays Harbor WUTCCommercialEXTRAYDG-COM</v>
      </c>
      <c r="B151" s="142">
        <f t="shared" si="76"/>
        <v>1</v>
      </c>
      <c r="C151" s="209" t="s">
        <v>385</v>
      </c>
      <c r="D151" s="193" t="s">
        <v>386</v>
      </c>
      <c r="E151" s="137">
        <v>24.08</v>
      </c>
      <c r="F151" s="137">
        <v>24.33</v>
      </c>
      <c r="G151" s="138">
        <v>192.64</v>
      </c>
      <c r="H151" s="138">
        <v>120.4</v>
      </c>
      <c r="I151" s="138">
        <v>264.88</v>
      </c>
      <c r="J151" s="138">
        <v>192.64</v>
      </c>
      <c r="K151" s="138">
        <v>433.44</v>
      </c>
      <c r="L151" s="138">
        <v>505.67999999999995</v>
      </c>
      <c r="M151" s="138">
        <v>144.47999999999999</v>
      </c>
      <c r="N151" s="138">
        <v>96.32</v>
      </c>
      <c r="O151" s="138">
        <v>24.08</v>
      </c>
      <c r="P151" s="138">
        <v>72.239999999999995</v>
      </c>
      <c r="Q151" s="138">
        <v>72.739999999999995</v>
      </c>
      <c r="R151" s="138">
        <v>97.32</v>
      </c>
      <c r="S151" s="139">
        <f t="shared" si="77"/>
        <v>2216.8599999999997</v>
      </c>
      <c r="T151" s="132"/>
      <c r="U151" s="138">
        <f t="shared" si="74"/>
        <v>8</v>
      </c>
      <c r="V151" s="138">
        <f t="shared" si="74"/>
        <v>5.0000000000000009</v>
      </c>
      <c r="W151" s="138">
        <f t="shared" si="74"/>
        <v>11</v>
      </c>
      <c r="X151" s="138">
        <f t="shared" si="74"/>
        <v>8</v>
      </c>
      <c r="Y151" s="138">
        <f t="shared" si="74"/>
        <v>18</v>
      </c>
      <c r="Z151" s="138">
        <f t="shared" si="74"/>
        <v>21</v>
      </c>
      <c r="AA151" s="138">
        <f t="shared" si="74"/>
        <v>6</v>
      </c>
      <c r="AB151" s="138">
        <f t="shared" si="74"/>
        <v>4</v>
      </c>
      <c r="AC151" s="138">
        <f t="shared" si="74"/>
        <v>1</v>
      </c>
      <c r="AD151" s="138">
        <f t="shared" si="74"/>
        <v>3</v>
      </c>
      <c r="AE151" s="138">
        <f t="shared" si="75"/>
        <v>2.9897246198109331</v>
      </c>
      <c r="AF151" s="138">
        <f t="shared" si="75"/>
        <v>4</v>
      </c>
      <c r="AG151" s="138"/>
      <c r="AH151" s="195">
        <f t="shared" ref="AH151" si="86">+AI151/12</f>
        <v>7.6658103849842441</v>
      </c>
      <c r="AI151" s="138">
        <f t="shared" si="79"/>
        <v>91.989724619810929</v>
      </c>
      <c r="AJ151" s="132"/>
      <c r="AK151" s="196">
        <f t="shared" ref="AK151:AK177" si="87">F151*$AM$2</f>
        <v>0.35222198282631695</v>
      </c>
      <c r="AL151" s="198">
        <f t="shared" si="80"/>
        <v>32.40080320523667</v>
      </c>
      <c r="AM151" s="197"/>
      <c r="AN151" s="196">
        <f t="shared" ref="AN151:AN177" si="88">F151+AK151</f>
        <v>24.682221982826317</v>
      </c>
      <c r="AO151" s="198">
        <f t="shared" si="81"/>
        <v>2270.5108032052367</v>
      </c>
      <c r="AP151" s="199">
        <f t="shared" si="82"/>
        <v>0.3</v>
      </c>
      <c r="AQ151" s="200">
        <f t="shared" si="83"/>
        <v>27.596917385943279</v>
      </c>
      <c r="AR151" s="132"/>
      <c r="AS151" s="201">
        <f t="shared" si="84"/>
        <v>24.63</v>
      </c>
      <c r="AT151" s="202">
        <f t="shared" si="85"/>
        <v>2265.7069173859431</v>
      </c>
      <c r="AU151" s="132"/>
      <c r="AV151" s="132"/>
      <c r="AW151" s="132"/>
      <c r="AX151" s="132"/>
      <c r="AY151" s="132"/>
      <c r="AZ151" s="246"/>
    </row>
    <row r="152" spans="1:52" s="129" customFormat="1" ht="12" customHeight="1">
      <c r="A152" s="142" t="str">
        <f t="shared" si="78"/>
        <v>Grays Harbor WUTCCommercialTotal Count</v>
      </c>
      <c r="B152" s="142">
        <f t="shared" si="76"/>
        <v>1</v>
      </c>
      <c r="C152" s="209" t="s">
        <v>660</v>
      </c>
      <c r="D152" s="193"/>
      <c r="E152" s="137"/>
      <c r="F152" s="137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9"/>
      <c r="T152" s="132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>
        <f>SUM(AH87:AH151)</f>
        <v>1947.8428448127058</v>
      </c>
      <c r="AI152" s="138">
        <f>SUM(AI87:AI151)</f>
        <v>23374.114137752473</v>
      </c>
      <c r="AJ152" s="132"/>
      <c r="AK152" s="196"/>
      <c r="AL152" s="198"/>
      <c r="AM152" s="197"/>
      <c r="AN152" s="196"/>
      <c r="AO152" s="198"/>
      <c r="AP152" s="199"/>
      <c r="AQ152" s="200"/>
      <c r="AR152" s="132"/>
      <c r="AS152" s="201"/>
      <c r="AT152" s="202"/>
      <c r="AU152" s="132"/>
      <c r="AV152" s="132"/>
      <c r="AW152" s="132"/>
      <c r="AX152" s="132"/>
      <c r="AY152" s="132"/>
      <c r="AZ152" s="246"/>
    </row>
    <row r="153" spans="1:52" s="129" customFormat="1" ht="12" customHeight="1">
      <c r="A153" s="142"/>
      <c r="B153" s="142"/>
      <c r="C153" s="209"/>
      <c r="D153" s="193"/>
      <c r="E153" s="137"/>
      <c r="F153" s="137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9"/>
      <c r="T153" s="132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2"/>
      <c r="AK153" s="196"/>
      <c r="AL153" s="198"/>
      <c r="AM153" s="197"/>
      <c r="AN153" s="196"/>
      <c r="AO153" s="198"/>
      <c r="AP153" s="199"/>
      <c r="AQ153" s="200"/>
      <c r="AR153" s="132"/>
      <c r="AS153" s="201"/>
      <c r="AT153" s="202"/>
      <c r="AU153" s="132"/>
      <c r="AV153" s="132"/>
      <c r="AW153" s="132"/>
      <c r="AX153" s="132"/>
      <c r="AY153" s="132"/>
      <c r="AZ153" s="246"/>
    </row>
    <row r="154" spans="1:52" s="129" customFormat="1" ht="12" customHeight="1">
      <c r="A154" s="142"/>
      <c r="B154" s="142"/>
      <c r="C154" s="227" t="s">
        <v>658</v>
      </c>
      <c r="D154" s="193"/>
      <c r="E154" s="137"/>
      <c r="F154" s="137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9"/>
      <c r="T154" s="132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2"/>
      <c r="AK154" s="196"/>
      <c r="AL154" s="198"/>
      <c r="AM154" s="197"/>
      <c r="AN154" s="196"/>
      <c r="AO154" s="198"/>
      <c r="AP154" s="199"/>
      <c r="AQ154" s="200"/>
      <c r="AR154" s="132"/>
      <c r="AS154" s="201"/>
      <c r="AT154" s="202"/>
      <c r="AU154" s="132"/>
      <c r="AV154" s="132"/>
      <c r="AW154" s="132"/>
      <c r="AX154" s="132"/>
      <c r="AY154" s="132"/>
      <c r="AZ154" s="246"/>
    </row>
    <row r="155" spans="1:52" s="129" customFormat="1" ht="12" customHeight="1">
      <c r="A155" s="142" t="str">
        <f>$A$1&amp;"Commercial"&amp;C155</f>
        <v>Grays Harbor WUTCCommercialSP-COMM</v>
      </c>
      <c r="B155" s="142">
        <f t="shared" ref="B155:B177" si="89">COUNTIF(C:C,C155)</f>
        <v>1</v>
      </c>
      <c r="C155" s="209" t="s">
        <v>539</v>
      </c>
      <c r="D155" s="209" t="s">
        <v>540</v>
      </c>
      <c r="E155" s="137">
        <v>125</v>
      </c>
      <c r="F155" s="137">
        <v>125</v>
      </c>
      <c r="G155" s="138">
        <v>0</v>
      </c>
      <c r="H155" s="138">
        <v>0</v>
      </c>
      <c r="I155" s="138">
        <v>0</v>
      </c>
      <c r="J155" s="138">
        <v>0</v>
      </c>
      <c r="K155" s="138">
        <v>0</v>
      </c>
      <c r="L155" s="138">
        <v>94.75</v>
      </c>
      <c r="M155" s="138">
        <v>0</v>
      </c>
      <c r="N155" s="138">
        <v>0</v>
      </c>
      <c r="O155" s="138">
        <v>0</v>
      </c>
      <c r="P155" s="138">
        <v>0</v>
      </c>
      <c r="Q155" s="138">
        <v>0</v>
      </c>
      <c r="R155" s="138">
        <v>0</v>
      </c>
      <c r="S155" s="139">
        <f t="shared" ref="S155" si="90">+SUM(G155:R155)</f>
        <v>94.75</v>
      </c>
      <c r="T155" s="132"/>
      <c r="U155" s="138">
        <f t="shared" ref="U155:AD155" si="91">IFERROR(G155/$E155,0)</f>
        <v>0</v>
      </c>
      <c r="V155" s="138">
        <f t="shared" si="91"/>
        <v>0</v>
      </c>
      <c r="W155" s="138">
        <f t="shared" si="91"/>
        <v>0</v>
      </c>
      <c r="X155" s="138">
        <f t="shared" si="91"/>
        <v>0</v>
      </c>
      <c r="Y155" s="138">
        <f t="shared" si="91"/>
        <v>0</v>
      </c>
      <c r="Z155" s="138">
        <f t="shared" si="91"/>
        <v>0.75800000000000001</v>
      </c>
      <c r="AA155" s="138">
        <f t="shared" si="91"/>
        <v>0</v>
      </c>
      <c r="AB155" s="138">
        <f t="shared" si="91"/>
        <v>0</v>
      </c>
      <c r="AC155" s="138">
        <f t="shared" si="91"/>
        <v>0</v>
      </c>
      <c r="AD155" s="138">
        <f t="shared" si="91"/>
        <v>0</v>
      </c>
      <c r="AE155" s="138">
        <f>IFERROR(Q155/$F155,0)</f>
        <v>0</v>
      </c>
      <c r="AF155" s="138">
        <f>IFERROR(R155/$F155,0)</f>
        <v>0</v>
      </c>
      <c r="AG155" s="138"/>
      <c r="AH155" s="138"/>
      <c r="AI155" s="138">
        <f>+SUM(U155:AF155)</f>
        <v>0.75800000000000001</v>
      </c>
      <c r="AJ155" s="132"/>
      <c r="AK155" s="196">
        <f>F155*$AM$2</f>
        <v>1.8096073922437164</v>
      </c>
      <c r="AL155" s="198">
        <f>AK155*AI155</f>
        <v>1.3716824033207371</v>
      </c>
      <c r="AM155" s="197"/>
      <c r="AN155" s="196">
        <f>F155+AK155</f>
        <v>126.80960739224372</v>
      </c>
      <c r="AO155" s="198">
        <f>AI155*AN155</f>
        <v>96.121682403320747</v>
      </c>
      <c r="AP155" s="199">
        <f>ROUND(F155*$AS$3,2)</f>
        <v>1.56</v>
      </c>
      <c r="AQ155" s="200">
        <f>AP155*AI155</f>
        <v>1.18248</v>
      </c>
      <c r="AR155" s="132"/>
      <c r="AS155" s="201">
        <f>AP155+F155</f>
        <v>126.56</v>
      </c>
      <c r="AT155" s="202">
        <f>AS155*AI155</f>
        <v>95.932479999999998</v>
      </c>
      <c r="AU155" s="132"/>
      <c r="AV155" s="132"/>
      <c r="AW155" s="132"/>
      <c r="AX155" s="132"/>
      <c r="AY155" s="132"/>
      <c r="AZ155" s="246"/>
    </row>
    <row r="156" spans="1:52" s="129" customFormat="1" ht="12" customHeight="1">
      <c r="A156" s="142" t="str">
        <f t="shared" si="78"/>
        <v>Grays Harbor WUTCCommercialACCESS2W-COMM</v>
      </c>
      <c r="B156" s="142">
        <f t="shared" si="89"/>
        <v>1</v>
      </c>
      <c r="C156" s="209" t="s">
        <v>415</v>
      </c>
      <c r="D156" s="209" t="s">
        <v>416</v>
      </c>
      <c r="E156" s="137">
        <v>17.32</v>
      </c>
      <c r="F156" s="137">
        <v>17.333333333333332</v>
      </c>
      <c r="G156" s="138">
        <v>17.32</v>
      </c>
      <c r="H156" s="138">
        <v>17.32</v>
      </c>
      <c r="I156" s="138">
        <v>17.32</v>
      </c>
      <c r="J156" s="138">
        <v>17.32</v>
      </c>
      <c r="K156" s="138">
        <v>25.98</v>
      </c>
      <c r="L156" s="138">
        <v>34.64</v>
      </c>
      <c r="M156" s="138">
        <v>34.64</v>
      </c>
      <c r="N156" s="138">
        <v>34.64</v>
      </c>
      <c r="O156" s="138">
        <v>17.32</v>
      </c>
      <c r="P156" s="138">
        <v>17.32</v>
      </c>
      <c r="Q156" s="138">
        <v>17.32</v>
      </c>
      <c r="R156" s="138">
        <v>17.32</v>
      </c>
      <c r="S156" s="139">
        <f t="shared" ref="S156:S174" si="92">+SUM(G156:R156)</f>
        <v>268.45999999999998</v>
      </c>
      <c r="T156" s="132"/>
      <c r="U156" s="138">
        <f t="shared" si="40"/>
        <v>1</v>
      </c>
      <c r="V156" s="138">
        <f t="shared" si="40"/>
        <v>1</v>
      </c>
      <c r="W156" s="138">
        <f t="shared" si="40"/>
        <v>1</v>
      </c>
      <c r="X156" s="138">
        <f t="shared" si="40"/>
        <v>1</v>
      </c>
      <c r="Y156" s="138">
        <f t="shared" si="40"/>
        <v>1.5</v>
      </c>
      <c r="Z156" s="138">
        <f t="shared" si="40"/>
        <v>2</v>
      </c>
      <c r="AA156" s="138">
        <f t="shared" si="40"/>
        <v>2</v>
      </c>
      <c r="AB156" s="138">
        <f t="shared" si="40"/>
        <v>2</v>
      </c>
      <c r="AC156" s="138">
        <f t="shared" si="40"/>
        <v>1</v>
      </c>
      <c r="AD156" s="138">
        <f t="shared" si="40"/>
        <v>1</v>
      </c>
      <c r="AE156" s="138">
        <f t="shared" si="41"/>
        <v>0.99923076923076937</v>
      </c>
      <c r="AF156" s="138">
        <f t="shared" si="41"/>
        <v>0.99923076923076937</v>
      </c>
      <c r="AG156" s="138"/>
      <c r="AH156" s="138"/>
      <c r="AI156" s="138">
        <f t="shared" si="79"/>
        <v>15.498461538461537</v>
      </c>
      <c r="AJ156" s="132"/>
      <c r="AK156" s="196">
        <f t="shared" si="87"/>
        <v>0.25093222505779533</v>
      </c>
      <c r="AL156" s="198">
        <f t="shared" si="80"/>
        <v>3.8890634388188152</v>
      </c>
      <c r="AM156" s="197"/>
      <c r="AN156" s="196">
        <f t="shared" si="88"/>
        <v>17.584265558391127</v>
      </c>
      <c r="AO156" s="198">
        <f t="shared" si="81"/>
        <v>272.52906343881875</v>
      </c>
      <c r="AP156" s="199">
        <f t="shared" si="82"/>
        <v>0.22</v>
      </c>
      <c r="AQ156" s="200">
        <f t="shared" si="83"/>
        <v>3.4096615384615383</v>
      </c>
      <c r="AR156" s="132"/>
      <c r="AS156" s="201">
        <f t="shared" si="84"/>
        <v>17.553333333333331</v>
      </c>
      <c r="AT156" s="202">
        <f t="shared" si="85"/>
        <v>272.04966153846146</v>
      </c>
      <c r="AU156" s="132"/>
      <c r="AV156" s="132"/>
      <c r="AW156" s="132"/>
      <c r="AX156" s="132"/>
      <c r="AY156" s="132"/>
      <c r="AZ156" s="246"/>
    </row>
    <row r="157" spans="1:52" s="129" customFormat="1" ht="12" customHeight="1">
      <c r="A157" s="142" t="str">
        <f t="shared" si="78"/>
        <v>Grays Harbor WUTCCommercialACCESSEOW-COMM</v>
      </c>
      <c r="B157" s="142">
        <f t="shared" si="89"/>
        <v>1</v>
      </c>
      <c r="C157" s="209" t="s">
        <v>541</v>
      </c>
      <c r="D157" s="209" t="s">
        <v>542</v>
      </c>
      <c r="E157" s="194">
        <v>4.33</v>
      </c>
      <c r="F157" s="137">
        <v>4.333333333333333</v>
      </c>
      <c r="G157" s="138">
        <v>0</v>
      </c>
      <c r="H157" s="138">
        <v>0</v>
      </c>
      <c r="I157" s="138">
        <v>0</v>
      </c>
      <c r="J157" s="138">
        <v>4.33</v>
      </c>
      <c r="K157" s="138">
        <v>4.33</v>
      </c>
      <c r="L157" s="138">
        <v>8.66</v>
      </c>
      <c r="M157" s="138">
        <v>12.99</v>
      </c>
      <c r="N157" s="138">
        <v>8.66</v>
      </c>
      <c r="O157" s="138">
        <v>10.83</v>
      </c>
      <c r="P157" s="138">
        <v>12.99</v>
      </c>
      <c r="Q157" s="138">
        <v>21.65</v>
      </c>
      <c r="R157" s="138">
        <v>21.65</v>
      </c>
      <c r="S157" s="139">
        <f t="shared" si="92"/>
        <v>106.09</v>
      </c>
      <c r="T157" s="132"/>
      <c r="U157" s="138">
        <f t="shared" si="40"/>
        <v>0</v>
      </c>
      <c r="V157" s="138">
        <f t="shared" si="40"/>
        <v>0</v>
      </c>
      <c r="W157" s="138">
        <f t="shared" si="40"/>
        <v>0</v>
      </c>
      <c r="X157" s="138">
        <f t="shared" si="40"/>
        <v>1</v>
      </c>
      <c r="Y157" s="138">
        <f t="shared" si="40"/>
        <v>1</v>
      </c>
      <c r="Z157" s="138">
        <f t="shared" si="40"/>
        <v>2</v>
      </c>
      <c r="AA157" s="138">
        <f t="shared" si="40"/>
        <v>3</v>
      </c>
      <c r="AB157" s="138">
        <f t="shared" si="40"/>
        <v>2</v>
      </c>
      <c r="AC157" s="138">
        <f t="shared" si="40"/>
        <v>2.5011547344110854</v>
      </c>
      <c r="AD157" s="138">
        <f t="shared" si="40"/>
        <v>3</v>
      </c>
      <c r="AE157" s="138">
        <f t="shared" si="41"/>
        <v>4.9961538461538462</v>
      </c>
      <c r="AF157" s="138">
        <f t="shared" si="41"/>
        <v>4.9961538461538462</v>
      </c>
      <c r="AG157" s="138"/>
      <c r="AH157" s="138"/>
      <c r="AI157" s="138">
        <f t="shared" si="79"/>
        <v>24.493462426718775</v>
      </c>
      <c r="AJ157" s="132"/>
      <c r="AK157" s="196">
        <f t="shared" si="87"/>
        <v>6.2733056264448833E-2</v>
      </c>
      <c r="AL157" s="198">
        <f t="shared" si="80"/>
        <v>1.5365497565265123</v>
      </c>
      <c r="AM157" s="197"/>
      <c r="AN157" s="196">
        <f t="shared" si="88"/>
        <v>4.3960663895977818</v>
      </c>
      <c r="AO157" s="198">
        <f t="shared" si="81"/>
        <v>107.67488693897452</v>
      </c>
      <c r="AP157" s="199">
        <f t="shared" si="82"/>
        <v>0.05</v>
      </c>
      <c r="AQ157" s="200">
        <f t="shared" si="83"/>
        <v>1.2246731213359388</v>
      </c>
      <c r="AR157" s="132"/>
      <c r="AS157" s="201">
        <f t="shared" si="84"/>
        <v>4.3833333333333329</v>
      </c>
      <c r="AT157" s="202">
        <f t="shared" si="85"/>
        <v>107.36301030378395</v>
      </c>
      <c r="AU157" s="132"/>
      <c r="AV157" s="132"/>
      <c r="AW157" s="132"/>
      <c r="AX157" s="132"/>
      <c r="AY157" s="132"/>
      <c r="AZ157" s="246"/>
    </row>
    <row r="158" spans="1:52" s="129" customFormat="1" ht="12" customHeight="1">
      <c r="A158" s="142" t="str">
        <f t="shared" si="78"/>
        <v>Grays Harbor WUTCCommercialACCESS-COMM</v>
      </c>
      <c r="B158" s="142">
        <f t="shared" si="89"/>
        <v>1</v>
      </c>
      <c r="C158" s="209" t="s">
        <v>413</v>
      </c>
      <c r="D158" s="209" t="s">
        <v>414</v>
      </c>
      <c r="E158" s="194">
        <v>8.66</v>
      </c>
      <c r="F158" s="137">
        <v>8.6666666666666661</v>
      </c>
      <c r="G158" s="138">
        <v>355.34</v>
      </c>
      <c r="H158" s="138">
        <v>355.06</v>
      </c>
      <c r="I158" s="138">
        <v>335.43</v>
      </c>
      <c r="J158" s="138">
        <v>334.85</v>
      </c>
      <c r="K158" s="138">
        <v>350.73</v>
      </c>
      <c r="L158" s="138">
        <v>329.08</v>
      </c>
      <c r="M158" s="138">
        <v>322.58999999999997</v>
      </c>
      <c r="N158" s="138">
        <v>318.26</v>
      </c>
      <c r="O158" s="138">
        <v>329.08</v>
      </c>
      <c r="P158" s="138">
        <v>329.08</v>
      </c>
      <c r="Q158" s="138">
        <v>329.08</v>
      </c>
      <c r="R158" s="138">
        <v>322.61</v>
      </c>
      <c r="S158" s="139">
        <f t="shared" si="92"/>
        <v>4011.19</v>
      </c>
      <c r="T158" s="132"/>
      <c r="U158" s="138">
        <f t="shared" si="40"/>
        <v>41.032332563510387</v>
      </c>
      <c r="V158" s="138">
        <f t="shared" si="40"/>
        <v>41</v>
      </c>
      <c r="W158" s="138">
        <f t="shared" si="40"/>
        <v>38.733256351039259</v>
      </c>
      <c r="X158" s="138">
        <f t="shared" si="40"/>
        <v>38.666281755196309</v>
      </c>
      <c r="Y158" s="138">
        <f t="shared" si="40"/>
        <v>40.5</v>
      </c>
      <c r="Z158" s="138">
        <f t="shared" si="40"/>
        <v>38</v>
      </c>
      <c r="AA158" s="138">
        <f t="shared" si="40"/>
        <v>37.250577367205537</v>
      </c>
      <c r="AB158" s="138">
        <f t="shared" si="40"/>
        <v>36.750577367205544</v>
      </c>
      <c r="AC158" s="138">
        <f t="shared" si="40"/>
        <v>38</v>
      </c>
      <c r="AD158" s="138">
        <f t="shared" si="40"/>
        <v>38</v>
      </c>
      <c r="AE158" s="138">
        <f t="shared" si="41"/>
        <v>37.970769230769228</v>
      </c>
      <c r="AF158" s="138">
        <f t="shared" si="41"/>
        <v>37.224230769230772</v>
      </c>
      <c r="AG158" s="138"/>
      <c r="AH158" s="138"/>
      <c r="AI158" s="138">
        <f t="shared" si="79"/>
        <v>463.12802540415703</v>
      </c>
      <c r="AJ158" s="132"/>
      <c r="AK158" s="196">
        <f t="shared" si="87"/>
        <v>0.12546611252889767</v>
      </c>
      <c r="AL158" s="198">
        <f t="shared" si="80"/>
        <v>58.106872950644146</v>
      </c>
      <c r="AM158" s="197"/>
      <c r="AN158" s="196">
        <f t="shared" si="88"/>
        <v>8.7921327791955637</v>
      </c>
      <c r="AO158" s="198">
        <f t="shared" si="81"/>
        <v>4071.8830931200046</v>
      </c>
      <c r="AP158" s="199">
        <f t="shared" si="82"/>
        <v>0.11</v>
      </c>
      <c r="AQ158" s="200">
        <f t="shared" si="83"/>
        <v>50.944082794457273</v>
      </c>
      <c r="AR158" s="132"/>
      <c r="AS158" s="201">
        <f t="shared" si="84"/>
        <v>8.7766666666666655</v>
      </c>
      <c r="AT158" s="202">
        <f t="shared" si="85"/>
        <v>4064.7203029638176</v>
      </c>
      <c r="AU158" s="132"/>
      <c r="AV158" s="132"/>
      <c r="AW158" s="132"/>
      <c r="AX158" s="132"/>
      <c r="AY158" s="132"/>
      <c r="AZ158" s="246"/>
    </row>
    <row r="159" spans="1:52" s="129" customFormat="1" ht="12" customHeight="1">
      <c r="A159" s="142" t="str">
        <f t="shared" si="78"/>
        <v>Grays Harbor WUTCCommercialDEL1.5TEMP-COMM</v>
      </c>
      <c r="B159" s="142">
        <f t="shared" si="89"/>
        <v>1</v>
      </c>
      <c r="C159" s="209" t="s">
        <v>399</v>
      </c>
      <c r="D159" s="209" t="s">
        <v>400</v>
      </c>
      <c r="E159" s="137">
        <v>45.8</v>
      </c>
      <c r="F159" s="137">
        <v>45.8</v>
      </c>
      <c r="G159" s="138">
        <v>0</v>
      </c>
      <c r="H159" s="138">
        <v>0</v>
      </c>
      <c r="I159" s="138">
        <v>45.8</v>
      </c>
      <c r="J159" s="138">
        <v>0</v>
      </c>
      <c r="K159" s="138">
        <v>137.39999999999998</v>
      </c>
      <c r="L159" s="138">
        <v>137.4</v>
      </c>
      <c r="M159" s="138">
        <v>0</v>
      </c>
      <c r="N159" s="138">
        <v>0</v>
      </c>
      <c r="O159" s="138">
        <v>0</v>
      </c>
      <c r="P159" s="138">
        <v>0</v>
      </c>
      <c r="Q159" s="138">
        <v>0</v>
      </c>
      <c r="R159" s="138">
        <v>0</v>
      </c>
      <c r="S159" s="139">
        <f t="shared" si="92"/>
        <v>320.60000000000002</v>
      </c>
      <c r="T159" s="132"/>
      <c r="U159" s="138">
        <f t="shared" si="40"/>
        <v>0</v>
      </c>
      <c r="V159" s="138">
        <f t="shared" si="40"/>
        <v>0</v>
      </c>
      <c r="W159" s="138">
        <f t="shared" si="40"/>
        <v>1</v>
      </c>
      <c r="X159" s="138">
        <f t="shared" si="40"/>
        <v>0</v>
      </c>
      <c r="Y159" s="138">
        <f t="shared" si="40"/>
        <v>2.9999999999999996</v>
      </c>
      <c r="Z159" s="138">
        <f t="shared" si="40"/>
        <v>3.0000000000000004</v>
      </c>
      <c r="AA159" s="138">
        <f t="shared" si="40"/>
        <v>0</v>
      </c>
      <c r="AB159" s="138">
        <f t="shared" si="40"/>
        <v>0</v>
      </c>
      <c r="AC159" s="138">
        <f t="shared" si="40"/>
        <v>0</v>
      </c>
      <c r="AD159" s="138">
        <f t="shared" si="40"/>
        <v>0</v>
      </c>
      <c r="AE159" s="138">
        <f t="shared" si="41"/>
        <v>0</v>
      </c>
      <c r="AF159" s="138">
        <f t="shared" si="41"/>
        <v>0</v>
      </c>
      <c r="AG159" s="138"/>
      <c r="AH159" s="138"/>
      <c r="AI159" s="138">
        <f t="shared" si="79"/>
        <v>7</v>
      </c>
      <c r="AJ159" s="132"/>
      <c r="AK159" s="196">
        <f t="shared" si="87"/>
        <v>0.66304014851809767</v>
      </c>
      <c r="AL159" s="198">
        <f t="shared" si="80"/>
        <v>4.6412810396266835</v>
      </c>
      <c r="AM159" s="197"/>
      <c r="AN159" s="196">
        <f t="shared" si="88"/>
        <v>46.463040148518097</v>
      </c>
      <c r="AO159" s="198">
        <f t="shared" si="81"/>
        <v>325.2412810396267</v>
      </c>
      <c r="AP159" s="199">
        <f t="shared" si="82"/>
        <v>0.56999999999999995</v>
      </c>
      <c r="AQ159" s="200">
        <f t="shared" si="83"/>
        <v>3.9899999999999998</v>
      </c>
      <c r="AR159" s="132"/>
      <c r="AS159" s="201">
        <f t="shared" si="84"/>
        <v>46.37</v>
      </c>
      <c r="AT159" s="202">
        <f t="shared" si="85"/>
        <v>324.58999999999997</v>
      </c>
      <c r="AU159" s="132"/>
      <c r="AV159" s="132"/>
      <c r="AW159" s="132"/>
      <c r="AX159" s="132"/>
      <c r="AY159" s="132"/>
      <c r="AZ159" s="246"/>
    </row>
    <row r="160" spans="1:52" s="129" customFormat="1" ht="12" customHeight="1">
      <c r="A160" s="142" t="str">
        <f t="shared" si="78"/>
        <v>Grays Harbor WUTCCommercialDEL1TEMP-COMM</v>
      </c>
      <c r="B160" s="142">
        <f t="shared" si="89"/>
        <v>1</v>
      </c>
      <c r="C160" s="209" t="s">
        <v>397</v>
      </c>
      <c r="D160" s="209" t="s">
        <v>398</v>
      </c>
      <c r="E160" s="137">
        <v>45.8</v>
      </c>
      <c r="F160" s="137">
        <v>45.8</v>
      </c>
      <c r="G160" s="138">
        <v>91.6</v>
      </c>
      <c r="H160" s="138">
        <v>45.8</v>
      </c>
      <c r="I160" s="138">
        <v>0</v>
      </c>
      <c r="J160" s="138">
        <v>0</v>
      </c>
      <c r="K160" s="138">
        <v>45.8</v>
      </c>
      <c r="L160" s="138">
        <v>45.8</v>
      </c>
      <c r="M160" s="138">
        <v>45.8</v>
      </c>
      <c r="N160" s="138">
        <v>45.8</v>
      </c>
      <c r="O160" s="138">
        <v>45.8</v>
      </c>
      <c r="P160" s="138">
        <v>45.8</v>
      </c>
      <c r="Q160" s="138">
        <v>0</v>
      </c>
      <c r="R160" s="138">
        <v>0</v>
      </c>
      <c r="S160" s="139">
        <f t="shared" si="92"/>
        <v>412.20000000000005</v>
      </c>
      <c r="T160" s="132"/>
      <c r="U160" s="138">
        <f t="shared" si="40"/>
        <v>2</v>
      </c>
      <c r="V160" s="138">
        <f t="shared" si="40"/>
        <v>1</v>
      </c>
      <c r="W160" s="138">
        <f t="shared" si="40"/>
        <v>0</v>
      </c>
      <c r="X160" s="138">
        <f t="shared" si="40"/>
        <v>0</v>
      </c>
      <c r="Y160" s="138">
        <f t="shared" si="40"/>
        <v>1</v>
      </c>
      <c r="Z160" s="138">
        <f t="shared" si="40"/>
        <v>1</v>
      </c>
      <c r="AA160" s="138">
        <f t="shared" si="40"/>
        <v>1</v>
      </c>
      <c r="AB160" s="138">
        <f t="shared" si="40"/>
        <v>1</v>
      </c>
      <c r="AC160" s="138">
        <f t="shared" si="40"/>
        <v>1</v>
      </c>
      <c r="AD160" s="138">
        <f t="shared" si="40"/>
        <v>1</v>
      </c>
      <c r="AE160" s="138">
        <f t="shared" si="41"/>
        <v>0</v>
      </c>
      <c r="AF160" s="138">
        <f t="shared" si="41"/>
        <v>0</v>
      </c>
      <c r="AG160" s="138"/>
      <c r="AH160" s="138"/>
      <c r="AI160" s="138">
        <f t="shared" si="79"/>
        <v>9</v>
      </c>
      <c r="AJ160" s="132"/>
      <c r="AK160" s="196">
        <f t="shared" si="87"/>
        <v>0.66304014851809767</v>
      </c>
      <c r="AL160" s="198">
        <f t="shared" si="80"/>
        <v>5.9673613366628793</v>
      </c>
      <c r="AM160" s="197"/>
      <c r="AN160" s="196">
        <f t="shared" si="88"/>
        <v>46.463040148518097</v>
      </c>
      <c r="AO160" s="198">
        <f t="shared" si="81"/>
        <v>418.16736133666285</v>
      </c>
      <c r="AP160" s="199">
        <f t="shared" si="82"/>
        <v>0.56999999999999995</v>
      </c>
      <c r="AQ160" s="200">
        <f t="shared" si="83"/>
        <v>5.13</v>
      </c>
      <c r="AR160" s="132"/>
      <c r="AS160" s="201">
        <f t="shared" si="84"/>
        <v>46.37</v>
      </c>
      <c r="AT160" s="202">
        <f t="shared" si="85"/>
        <v>417.33</v>
      </c>
      <c r="AU160" s="132"/>
      <c r="AV160" s="132"/>
      <c r="AW160" s="132"/>
      <c r="AX160" s="132"/>
      <c r="AY160" s="132"/>
      <c r="AZ160" s="246"/>
    </row>
    <row r="161" spans="1:52" s="129" customFormat="1" ht="12" customHeight="1">
      <c r="A161" s="142" t="str">
        <f t="shared" si="78"/>
        <v>Grays Harbor WUTCCommercialDEL2TEMP-COMM</v>
      </c>
      <c r="B161" s="142">
        <f t="shared" si="89"/>
        <v>1</v>
      </c>
      <c r="C161" s="209" t="s">
        <v>401</v>
      </c>
      <c r="D161" s="209" t="s">
        <v>402</v>
      </c>
      <c r="E161" s="137">
        <v>45.8</v>
      </c>
      <c r="F161" s="137">
        <v>45.8</v>
      </c>
      <c r="G161" s="138">
        <v>91.6</v>
      </c>
      <c r="H161" s="138">
        <v>320.60000000000002</v>
      </c>
      <c r="I161" s="138">
        <v>183.2</v>
      </c>
      <c r="J161" s="138">
        <v>183.2</v>
      </c>
      <c r="K161" s="138">
        <v>274.8</v>
      </c>
      <c r="L161" s="138">
        <v>320.60000000000002</v>
      </c>
      <c r="M161" s="138">
        <v>366.4</v>
      </c>
      <c r="N161" s="138">
        <v>91.6</v>
      </c>
      <c r="O161" s="138">
        <v>137.4</v>
      </c>
      <c r="P161" s="138">
        <v>91.6</v>
      </c>
      <c r="Q161" s="138">
        <v>0</v>
      </c>
      <c r="R161" s="138">
        <v>45.8</v>
      </c>
      <c r="S161" s="139">
        <f t="shared" si="92"/>
        <v>2106.8000000000002</v>
      </c>
      <c r="T161" s="132"/>
      <c r="U161" s="138">
        <f t="shared" si="40"/>
        <v>2</v>
      </c>
      <c r="V161" s="138">
        <f t="shared" si="40"/>
        <v>7.0000000000000009</v>
      </c>
      <c r="W161" s="138">
        <f t="shared" si="40"/>
        <v>4</v>
      </c>
      <c r="X161" s="138">
        <f t="shared" si="40"/>
        <v>4</v>
      </c>
      <c r="Y161" s="138">
        <f t="shared" si="40"/>
        <v>6.0000000000000009</v>
      </c>
      <c r="Z161" s="138">
        <f t="shared" si="40"/>
        <v>7.0000000000000009</v>
      </c>
      <c r="AA161" s="138">
        <f t="shared" si="40"/>
        <v>8</v>
      </c>
      <c r="AB161" s="138">
        <f t="shared" si="40"/>
        <v>2</v>
      </c>
      <c r="AC161" s="138">
        <f t="shared" si="40"/>
        <v>3.0000000000000004</v>
      </c>
      <c r="AD161" s="138">
        <f t="shared" si="40"/>
        <v>2</v>
      </c>
      <c r="AE161" s="138">
        <f t="shared" si="41"/>
        <v>0</v>
      </c>
      <c r="AF161" s="138">
        <f t="shared" si="41"/>
        <v>1</v>
      </c>
      <c r="AG161" s="138"/>
      <c r="AH161" s="138"/>
      <c r="AI161" s="138">
        <f t="shared" si="79"/>
        <v>46</v>
      </c>
      <c r="AJ161" s="132"/>
      <c r="AK161" s="196">
        <f t="shared" si="87"/>
        <v>0.66304014851809767</v>
      </c>
      <c r="AL161" s="198">
        <f t="shared" si="80"/>
        <v>30.499846831832492</v>
      </c>
      <c r="AM161" s="197"/>
      <c r="AN161" s="196">
        <f t="shared" si="88"/>
        <v>46.463040148518097</v>
      </c>
      <c r="AO161" s="198">
        <f t="shared" si="81"/>
        <v>2137.2998468318324</v>
      </c>
      <c r="AP161" s="199">
        <f t="shared" si="82"/>
        <v>0.56999999999999995</v>
      </c>
      <c r="AQ161" s="200">
        <f t="shared" si="83"/>
        <v>26.22</v>
      </c>
      <c r="AR161" s="132"/>
      <c r="AS161" s="201">
        <f t="shared" si="84"/>
        <v>46.37</v>
      </c>
      <c r="AT161" s="202">
        <f t="shared" si="85"/>
        <v>2133.02</v>
      </c>
      <c r="AU161" s="132"/>
      <c r="AV161" s="132"/>
      <c r="AW161" s="132"/>
      <c r="AX161" s="132"/>
      <c r="AY161" s="132"/>
      <c r="AZ161" s="246"/>
    </row>
    <row r="162" spans="1:52" s="129" customFormat="1" ht="12" customHeight="1">
      <c r="A162" s="142" t="str">
        <f t="shared" si="78"/>
        <v>Grays Harbor WUTCCommercialDEL4TEMP-COMM</v>
      </c>
      <c r="B162" s="142">
        <f t="shared" si="89"/>
        <v>1</v>
      </c>
      <c r="C162" s="209" t="s">
        <v>403</v>
      </c>
      <c r="D162" s="209" t="s">
        <v>404</v>
      </c>
      <c r="E162" s="137">
        <v>54.5</v>
      </c>
      <c r="F162" s="137">
        <v>54.5</v>
      </c>
      <c r="G162" s="138">
        <v>0</v>
      </c>
      <c r="H162" s="138">
        <v>0</v>
      </c>
      <c r="I162" s="138">
        <v>0</v>
      </c>
      <c r="J162" s="138">
        <v>0</v>
      </c>
      <c r="K162" s="138">
        <v>0</v>
      </c>
      <c r="L162" s="138">
        <v>0</v>
      </c>
      <c r="M162" s="138">
        <v>0</v>
      </c>
      <c r="N162" s="138">
        <v>54.5</v>
      </c>
      <c r="O162" s="138">
        <v>0</v>
      </c>
      <c r="P162" s="138">
        <v>0</v>
      </c>
      <c r="Q162" s="138">
        <v>0</v>
      </c>
      <c r="R162" s="138">
        <v>0</v>
      </c>
      <c r="S162" s="139">
        <f t="shared" si="92"/>
        <v>54.5</v>
      </c>
      <c r="T162" s="132"/>
      <c r="U162" s="138">
        <f t="shared" si="40"/>
        <v>0</v>
      </c>
      <c r="V162" s="138">
        <f t="shared" si="40"/>
        <v>0</v>
      </c>
      <c r="W162" s="138">
        <f t="shared" si="40"/>
        <v>0</v>
      </c>
      <c r="X162" s="138">
        <f t="shared" si="40"/>
        <v>0</v>
      </c>
      <c r="Y162" s="138">
        <f t="shared" si="40"/>
        <v>0</v>
      </c>
      <c r="Z162" s="138">
        <f t="shared" si="40"/>
        <v>0</v>
      </c>
      <c r="AA162" s="138">
        <f t="shared" si="40"/>
        <v>0</v>
      </c>
      <c r="AB162" s="138">
        <f t="shared" si="40"/>
        <v>1</v>
      </c>
      <c r="AC162" s="138">
        <f t="shared" si="40"/>
        <v>0</v>
      </c>
      <c r="AD162" s="138">
        <f t="shared" si="40"/>
        <v>0</v>
      </c>
      <c r="AE162" s="138">
        <f t="shared" si="41"/>
        <v>0</v>
      </c>
      <c r="AF162" s="138">
        <f t="shared" si="41"/>
        <v>0</v>
      </c>
      <c r="AG162" s="138"/>
      <c r="AH162" s="138"/>
      <c r="AI162" s="138">
        <f t="shared" si="79"/>
        <v>1</v>
      </c>
      <c r="AJ162" s="132"/>
      <c r="AK162" s="196">
        <f t="shared" si="87"/>
        <v>0.78898882301826034</v>
      </c>
      <c r="AL162" s="198">
        <f t="shared" si="80"/>
        <v>0.78898882301826034</v>
      </c>
      <c r="AM162" s="197"/>
      <c r="AN162" s="196">
        <f t="shared" si="88"/>
        <v>55.288988823018258</v>
      </c>
      <c r="AO162" s="198">
        <f t="shared" si="81"/>
        <v>55.288988823018258</v>
      </c>
      <c r="AP162" s="199">
        <f t="shared" si="82"/>
        <v>0.68</v>
      </c>
      <c r="AQ162" s="200">
        <f t="shared" si="83"/>
        <v>0.68</v>
      </c>
      <c r="AR162" s="132"/>
      <c r="AS162" s="201">
        <f t="shared" si="84"/>
        <v>55.18</v>
      </c>
      <c r="AT162" s="202">
        <f t="shared" si="85"/>
        <v>55.18</v>
      </c>
      <c r="AU162" s="132"/>
      <c r="AV162" s="132"/>
      <c r="AW162" s="132"/>
      <c r="AX162" s="132"/>
      <c r="AY162" s="132"/>
      <c r="AZ162" s="246"/>
    </row>
    <row r="163" spans="1:52" s="129" customFormat="1" ht="12" customHeight="1">
      <c r="A163" s="142" t="str">
        <f t="shared" si="78"/>
        <v>Grays Harbor WUTCCommercialDEL6TEMP-COMM</v>
      </c>
      <c r="B163" s="142">
        <f t="shared" si="89"/>
        <v>1</v>
      </c>
      <c r="C163" s="209" t="s">
        <v>405</v>
      </c>
      <c r="D163" s="209" t="s">
        <v>406</v>
      </c>
      <c r="E163" s="137">
        <v>54.5</v>
      </c>
      <c r="F163" s="137">
        <v>54.5</v>
      </c>
      <c r="G163" s="138">
        <v>0</v>
      </c>
      <c r="H163" s="138">
        <v>0</v>
      </c>
      <c r="I163" s="138">
        <v>0</v>
      </c>
      <c r="J163" s="138">
        <v>0</v>
      </c>
      <c r="K163" s="138">
        <v>272.5</v>
      </c>
      <c r="L163" s="138">
        <v>0</v>
      </c>
      <c r="M163" s="138">
        <v>0</v>
      </c>
      <c r="N163" s="138">
        <v>0</v>
      </c>
      <c r="O163" s="138">
        <v>0</v>
      </c>
      <c r="P163" s="138">
        <v>0</v>
      </c>
      <c r="Q163" s="138">
        <v>0</v>
      </c>
      <c r="R163" s="138">
        <v>0</v>
      </c>
      <c r="S163" s="139">
        <f t="shared" si="92"/>
        <v>272.5</v>
      </c>
      <c r="T163" s="132"/>
      <c r="U163" s="138">
        <f t="shared" ref="U163:AD177" si="93">IFERROR(G163/$E163,0)</f>
        <v>0</v>
      </c>
      <c r="V163" s="138">
        <f t="shared" si="93"/>
        <v>0</v>
      </c>
      <c r="W163" s="138">
        <f t="shared" si="93"/>
        <v>0</v>
      </c>
      <c r="X163" s="138">
        <f t="shared" si="93"/>
        <v>0</v>
      </c>
      <c r="Y163" s="138">
        <f t="shared" si="93"/>
        <v>5</v>
      </c>
      <c r="Z163" s="138">
        <f t="shared" si="93"/>
        <v>0</v>
      </c>
      <c r="AA163" s="138">
        <f t="shared" si="93"/>
        <v>0</v>
      </c>
      <c r="AB163" s="138">
        <f t="shared" si="93"/>
        <v>0</v>
      </c>
      <c r="AC163" s="138">
        <f t="shared" si="93"/>
        <v>0</v>
      </c>
      <c r="AD163" s="138">
        <f t="shared" si="93"/>
        <v>0</v>
      </c>
      <c r="AE163" s="138">
        <f t="shared" si="41"/>
        <v>0</v>
      </c>
      <c r="AF163" s="138">
        <f t="shared" si="41"/>
        <v>0</v>
      </c>
      <c r="AG163" s="138"/>
      <c r="AH163" s="138"/>
      <c r="AI163" s="138">
        <f t="shared" si="79"/>
        <v>5</v>
      </c>
      <c r="AJ163" s="132"/>
      <c r="AK163" s="196">
        <f t="shared" si="87"/>
        <v>0.78898882301826034</v>
      </c>
      <c r="AL163" s="198">
        <f t="shared" si="80"/>
        <v>3.9449441150913018</v>
      </c>
      <c r="AM163" s="197"/>
      <c r="AN163" s="196">
        <f t="shared" si="88"/>
        <v>55.288988823018258</v>
      </c>
      <c r="AO163" s="198">
        <f t="shared" si="81"/>
        <v>276.44494411509129</v>
      </c>
      <c r="AP163" s="199">
        <f t="shared" si="82"/>
        <v>0.68</v>
      </c>
      <c r="AQ163" s="200">
        <f t="shared" si="83"/>
        <v>3.4000000000000004</v>
      </c>
      <c r="AR163" s="132"/>
      <c r="AS163" s="201">
        <f t="shared" si="84"/>
        <v>55.18</v>
      </c>
      <c r="AT163" s="202">
        <f t="shared" si="85"/>
        <v>275.89999999999998</v>
      </c>
      <c r="AU163" s="132"/>
      <c r="AV163" s="132"/>
      <c r="AW163" s="132"/>
      <c r="AX163" s="132"/>
      <c r="AY163" s="132"/>
      <c r="AZ163" s="246"/>
    </row>
    <row r="164" spans="1:52" s="129" customFormat="1" ht="12" customHeight="1">
      <c r="A164" s="142" t="str">
        <f t="shared" si="78"/>
        <v>Grays Harbor WUTCCommercialDRIVEIN-COMM</v>
      </c>
      <c r="B164" s="142">
        <f t="shared" si="89"/>
        <v>1</v>
      </c>
      <c r="C164" s="209" t="s">
        <v>409</v>
      </c>
      <c r="D164" s="209" t="s">
        <v>410</v>
      </c>
      <c r="E164" s="137">
        <v>8.0500000000000007</v>
      </c>
      <c r="F164" s="137">
        <v>8.06</v>
      </c>
      <c r="G164" s="138">
        <v>692.3</v>
      </c>
      <c r="H164" s="138">
        <v>692.3</v>
      </c>
      <c r="I164" s="138">
        <v>687.47</v>
      </c>
      <c r="J164" s="138">
        <v>682.24</v>
      </c>
      <c r="K164" s="138">
        <v>700.35</v>
      </c>
      <c r="L164" s="138">
        <v>692.3</v>
      </c>
      <c r="M164" s="138">
        <v>692.3</v>
      </c>
      <c r="N164" s="138">
        <v>692.31</v>
      </c>
      <c r="O164" s="138">
        <v>674.19</v>
      </c>
      <c r="P164" s="138">
        <v>676.2</v>
      </c>
      <c r="Q164" s="138">
        <v>678.21</v>
      </c>
      <c r="R164" s="138">
        <v>676.2</v>
      </c>
      <c r="S164" s="139">
        <f t="shared" si="92"/>
        <v>8236.3700000000008</v>
      </c>
      <c r="T164" s="132"/>
      <c r="U164" s="138">
        <f t="shared" si="93"/>
        <v>85.999999999999986</v>
      </c>
      <c r="V164" s="138">
        <f t="shared" si="93"/>
        <v>85.999999999999986</v>
      </c>
      <c r="W164" s="138">
        <f t="shared" si="93"/>
        <v>85.399999999999991</v>
      </c>
      <c r="X164" s="138">
        <f t="shared" si="93"/>
        <v>84.750310559006209</v>
      </c>
      <c r="Y164" s="138">
        <f t="shared" si="93"/>
        <v>87</v>
      </c>
      <c r="Z164" s="138">
        <f t="shared" si="93"/>
        <v>85.999999999999986</v>
      </c>
      <c r="AA164" s="138">
        <f t="shared" si="93"/>
        <v>85.999999999999986</v>
      </c>
      <c r="AB164" s="138">
        <f t="shared" si="93"/>
        <v>86.001242236024837</v>
      </c>
      <c r="AC164" s="138">
        <f t="shared" si="93"/>
        <v>83.750310559006209</v>
      </c>
      <c r="AD164" s="138">
        <f t="shared" si="93"/>
        <v>84</v>
      </c>
      <c r="AE164" s="138">
        <f t="shared" si="41"/>
        <v>84.145161290322577</v>
      </c>
      <c r="AF164" s="138">
        <f t="shared" si="41"/>
        <v>83.895781637717121</v>
      </c>
      <c r="AG164" s="138"/>
      <c r="AH164" s="138"/>
      <c r="AI164" s="138">
        <f t="shared" si="79"/>
        <v>1022.942806282077</v>
      </c>
      <c r="AJ164" s="132"/>
      <c r="AK164" s="196">
        <f t="shared" si="87"/>
        <v>0.11668348465187484</v>
      </c>
      <c r="AL164" s="198">
        <f t="shared" si="80"/>
        <v>119.3605312365605</v>
      </c>
      <c r="AM164" s="197"/>
      <c r="AN164" s="196">
        <f t="shared" si="88"/>
        <v>8.1766834846518748</v>
      </c>
      <c r="AO164" s="198">
        <f t="shared" si="81"/>
        <v>8364.2795498701016</v>
      </c>
      <c r="AP164" s="199">
        <f t="shared" si="82"/>
        <v>0.1</v>
      </c>
      <c r="AQ164" s="200">
        <f t="shared" si="83"/>
        <v>102.2942806282077</v>
      </c>
      <c r="AR164" s="132"/>
      <c r="AS164" s="201">
        <f t="shared" si="84"/>
        <v>8.16</v>
      </c>
      <c r="AT164" s="202">
        <f t="shared" si="85"/>
        <v>8347.213299261748</v>
      </c>
      <c r="AU164" s="132"/>
      <c r="AV164" s="132"/>
      <c r="AW164" s="132"/>
      <c r="AX164" s="132"/>
      <c r="AY164" s="132"/>
      <c r="AZ164" s="246"/>
    </row>
    <row r="165" spans="1:52" s="129" customFormat="1" ht="12" customHeight="1">
      <c r="A165" s="142" t="str">
        <f t="shared" si="78"/>
        <v>Grays Harbor WUTCCommercialDRIVEINEOW-COMM</v>
      </c>
      <c r="B165" s="142">
        <f t="shared" si="89"/>
        <v>1</v>
      </c>
      <c r="C165" s="209" t="s">
        <v>407</v>
      </c>
      <c r="D165" s="209" t="s">
        <v>408</v>
      </c>
      <c r="E165" s="137">
        <v>4.03</v>
      </c>
      <c r="F165" s="137">
        <v>4.03</v>
      </c>
      <c r="G165" s="138">
        <v>120.9</v>
      </c>
      <c r="H165" s="138">
        <v>120.9</v>
      </c>
      <c r="I165" s="138">
        <v>124.93</v>
      </c>
      <c r="J165" s="138">
        <v>122.92</v>
      </c>
      <c r="K165" s="138">
        <v>120.9</v>
      </c>
      <c r="L165" s="138">
        <v>127.62</v>
      </c>
      <c r="M165" s="138">
        <v>130.97999999999999</v>
      </c>
      <c r="N165" s="138">
        <v>137.02000000000001</v>
      </c>
      <c r="O165" s="138">
        <v>141.05000000000001</v>
      </c>
      <c r="P165" s="138">
        <v>139.04</v>
      </c>
      <c r="Q165" s="138">
        <v>139.70000000000002</v>
      </c>
      <c r="R165" s="138">
        <v>145.09</v>
      </c>
      <c r="S165" s="139">
        <f t="shared" si="92"/>
        <v>1571.05</v>
      </c>
      <c r="T165" s="132"/>
      <c r="U165" s="138">
        <f t="shared" si="93"/>
        <v>30</v>
      </c>
      <c r="V165" s="138">
        <f t="shared" si="93"/>
        <v>30</v>
      </c>
      <c r="W165" s="138">
        <f t="shared" si="93"/>
        <v>31</v>
      </c>
      <c r="X165" s="138">
        <f t="shared" si="93"/>
        <v>30.501240694789079</v>
      </c>
      <c r="Y165" s="138">
        <f t="shared" si="93"/>
        <v>30</v>
      </c>
      <c r="Z165" s="138">
        <f t="shared" si="93"/>
        <v>31.667493796526053</v>
      </c>
      <c r="AA165" s="138">
        <f t="shared" si="93"/>
        <v>32.501240694789075</v>
      </c>
      <c r="AB165" s="138">
        <f t="shared" si="93"/>
        <v>34</v>
      </c>
      <c r="AC165" s="138">
        <f t="shared" si="93"/>
        <v>35</v>
      </c>
      <c r="AD165" s="138">
        <f t="shared" si="93"/>
        <v>34.501240694789075</v>
      </c>
      <c r="AE165" s="138">
        <f t="shared" si="41"/>
        <v>34.665012406947895</v>
      </c>
      <c r="AF165" s="138">
        <f t="shared" si="41"/>
        <v>36.002481389578165</v>
      </c>
      <c r="AG165" s="138"/>
      <c r="AH165" s="138"/>
      <c r="AI165" s="138">
        <f t="shared" si="79"/>
        <v>389.83870967741939</v>
      </c>
      <c r="AJ165" s="132"/>
      <c r="AK165" s="196">
        <f t="shared" si="87"/>
        <v>5.8341742325937418E-2</v>
      </c>
      <c r="AL165" s="198">
        <f t="shared" si="80"/>
        <v>22.743869548675928</v>
      </c>
      <c r="AM165" s="197"/>
      <c r="AN165" s="196">
        <f t="shared" si="88"/>
        <v>4.0883417423259374</v>
      </c>
      <c r="AO165" s="198">
        <f t="shared" si="81"/>
        <v>1593.793869548676</v>
      </c>
      <c r="AP165" s="199">
        <f t="shared" si="82"/>
        <v>0.05</v>
      </c>
      <c r="AQ165" s="200">
        <f t="shared" si="83"/>
        <v>19.491935483870972</v>
      </c>
      <c r="AR165" s="132"/>
      <c r="AS165" s="201">
        <f t="shared" si="84"/>
        <v>4.08</v>
      </c>
      <c r="AT165" s="202">
        <f t="shared" si="85"/>
        <v>1590.5419354838712</v>
      </c>
      <c r="AU165" s="132"/>
      <c r="AV165" s="132"/>
      <c r="AW165" s="132"/>
      <c r="AX165" s="132"/>
      <c r="AY165" s="132"/>
      <c r="AZ165" s="246"/>
    </row>
    <row r="166" spans="1:52" s="129" customFormat="1" ht="12" customHeight="1">
      <c r="A166" s="142" t="str">
        <f t="shared" si="78"/>
        <v>Grays Harbor WUTCCommercialLCKC</v>
      </c>
      <c r="B166" s="142">
        <f t="shared" si="89"/>
        <v>1</v>
      </c>
      <c r="C166" s="209" t="s">
        <v>423</v>
      </c>
      <c r="D166" s="209" t="s">
        <v>424</v>
      </c>
      <c r="E166" s="137">
        <v>8.67</v>
      </c>
      <c r="F166" s="137">
        <v>8.6666666666666661</v>
      </c>
      <c r="G166" s="138">
        <v>5</v>
      </c>
      <c r="H166" s="138">
        <v>19.170000000000002</v>
      </c>
      <c r="I166" s="138">
        <v>0</v>
      </c>
      <c r="J166" s="138">
        <v>20.48</v>
      </c>
      <c r="K166" s="138">
        <v>15</v>
      </c>
      <c r="L166" s="138">
        <v>17.34</v>
      </c>
      <c r="M166" s="138">
        <v>18.670000000000002</v>
      </c>
      <c r="N166" s="138">
        <v>0</v>
      </c>
      <c r="O166" s="138">
        <v>15</v>
      </c>
      <c r="P166" s="138">
        <v>15</v>
      </c>
      <c r="Q166" s="138">
        <v>15</v>
      </c>
      <c r="R166" s="138">
        <v>15</v>
      </c>
      <c r="S166" s="139">
        <f t="shared" si="92"/>
        <v>155.66000000000003</v>
      </c>
      <c r="T166" s="132"/>
      <c r="U166" s="138">
        <f t="shared" si="93"/>
        <v>0.57670126874279126</v>
      </c>
      <c r="V166" s="138">
        <f t="shared" si="93"/>
        <v>2.2110726643598619</v>
      </c>
      <c r="W166" s="138">
        <f t="shared" si="93"/>
        <v>0</v>
      </c>
      <c r="X166" s="138">
        <f t="shared" si="93"/>
        <v>2.362168396770473</v>
      </c>
      <c r="Y166" s="138">
        <f t="shared" si="93"/>
        <v>1.7301038062283738</v>
      </c>
      <c r="Z166" s="138">
        <f t="shared" si="93"/>
        <v>2</v>
      </c>
      <c r="AA166" s="138">
        <f t="shared" si="93"/>
        <v>2.1534025374855825</v>
      </c>
      <c r="AB166" s="138">
        <f t="shared" si="93"/>
        <v>0</v>
      </c>
      <c r="AC166" s="138">
        <f t="shared" si="93"/>
        <v>1.7301038062283738</v>
      </c>
      <c r="AD166" s="138">
        <f t="shared" si="93"/>
        <v>1.7301038062283738</v>
      </c>
      <c r="AE166" s="138">
        <f t="shared" si="41"/>
        <v>1.7307692307692308</v>
      </c>
      <c r="AF166" s="138">
        <f t="shared" si="41"/>
        <v>1.7307692307692308</v>
      </c>
      <c r="AG166" s="138"/>
      <c r="AH166" s="138"/>
      <c r="AI166" s="138">
        <f t="shared" si="79"/>
        <v>17.955194747582294</v>
      </c>
      <c r="AJ166" s="132"/>
      <c r="AK166" s="196">
        <f t="shared" si="87"/>
        <v>0.12546611252889767</v>
      </c>
      <c r="AL166" s="198">
        <f t="shared" si="80"/>
        <v>2.2527684846784322</v>
      </c>
      <c r="AM166" s="197"/>
      <c r="AN166" s="196">
        <f t="shared" si="88"/>
        <v>8.7921327791955637</v>
      </c>
      <c r="AO166" s="198">
        <f t="shared" si="81"/>
        <v>157.8644562970583</v>
      </c>
      <c r="AP166" s="199">
        <f t="shared" si="82"/>
        <v>0.11</v>
      </c>
      <c r="AQ166" s="200">
        <f t="shared" si="83"/>
        <v>1.9750714222340522</v>
      </c>
      <c r="AR166" s="132"/>
      <c r="AS166" s="201">
        <f t="shared" si="84"/>
        <v>8.7766666666666655</v>
      </c>
      <c r="AT166" s="202">
        <f t="shared" si="85"/>
        <v>157.58675923461391</v>
      </c>
      <c r="AU166" s="132"/>
      <c r="AV166" s="132"/>
      <c r="AW166" s="132"/>
      <c r="AX166" s="132"/>
      <c r="AY166" s="132"/>
      <c r="AZ166" s="246"/>
    </row>
    <row r="167" spans="1:52" s="129" customFormat="1" ht="12" customHeight="1">
      <c r="A167" s="142" t="str">
        <f t="shared" si="78"/>
        <v>Grays Harbor WUTCCommercialLCKCEOW</v>
      </c>
      <c r="B167" s="142">
        <f t="shared" si="89"/>
        <v>1</v>
      </c>
      <c r="C167" s="209" t="s">
        <v>425</v>
      </c>
      <c r="D167" s="209" t="s">
        <v>426</v>
      </c>
      <c r="E167" s="137">
        <v>4.33</v>
      </c>
      <c r="F167" s="137">
        <v>4.333333333333333</v>
      </c>
      <c r="G167" s="138">
        <v>4.33</v>
      </c>
      <c r="H167" s="138">
        <v>4.33</v>
      </c>
      <c r="I167" s="138">
        <v>4.33</v>
      </c>
      <c r="J167" s="138">
        <v>4.33</v>
      </c>
      <c r="K167" s="138">
        <v>4.33</v>
      </c>
      <c r="L167" s="138">
        <v>4.33</v>
      </c>
      <c r="M167" s="138">
        <v>4.33</v>
      </c>
      <c r="N167" s="138">
        <v>4.33</v>
      </c>
      <c r="O167" s="138">
        <v>4.33</v>
      </c>
      <c r="P167" s="138">
        <v>4.33</v>
      </c>
      <c r="Q167" s="138">
        <v>4.33</v>
      </c>
      <c r="R167" s="138">
        <v>4.33</v>
      </c>
      <c r="S167" s="139">
        <f t="shared" si="92"/>
        <v>51.959999999999987</v>
      </c>
      <c r="T167" s="132"/>
      <c r="U167" s="138">
        <f t="shared" si="93"/>
        <v>1</v>
      </c>
      <c r="V167" s="138">
        <f t="shared" si="93"/>
        <v>1</v>
      </c>
      <c r="W167" s="138">
        <f t="shared" si="93"/>
        <v>1</v>
      </c>
      <c r="X167" s="138">
        <f t="shared" si="93"/>
        <v>1</v>
      </c>
      <c r="Y167" s="138">
        <f t="shared" si="93"/>
        <v>1</v>
      </c>
      <c r="Z167" s="138">
        <f t="shared" si="93"/>
        <v>1</v>
      </c>
      <c r="AA167" s="138">
        <f t="shared" si="93"/>
        <v>1</v>
      </c>
      <c r="AB167" s="138">
        <f t="shared" si="93"/>
        <v>1</v>
      </c>
      <c r="AC167" s="138">
        <f t="shared" si="93"/>
        <v>1</v>
      </c>
      <c r="AD167" s="138">
        <f t="shared" si="93"/>
        <v>1</v>
      </c>
      <c r="AE167" s="138">
        <f t="shared" si="41"/>
        <v>0.99923076923076937</v>
      </c>
      <c r="AF167" s="138">
        <f t="shared" si="41"/>
        <v>0.99923076923076937</v>
      </c>
      <c r="AG167" s="138"/>
      <c r="AH167" s="138"/>
      <c r="AI167" s="138">
        <f t="shared" si="79"/>
        <v>11.998461538461537</v>
      </c>
      <c r="AJ167" s="132"/>
      <c r="AK167" s="196">
        <f t="shared" si="87"/>
        <v>6.2733056264448833E-2</v>
      </c>
      <c r="AL167" s="198">
        <f t="shared" si="80"/>
        <v>0.75270016277913299</v>
      </c>
      <c r="AM167" s="197"/>
      <c r="AN167" s="196">
        <f t="shared" si="88"/>
        <v>4.3960663895977818</v>
      </c>
      <c r="AO167" s="198">
        <f t="shared" si="81"/>
        <v>52.74603349611246</v>
      </c>
      <c r="AP167" s="199">
        <f t="shared" si="82"/>
        <v>0.05</v>
      </c>
      <c r="AQ167" s="200">
        <f t="shared" si="83"/>
        <v>0.59992307692307689</v>
      </c>
      <c r="AR167" s="132"/>
      <c r="AS167" s="201">
        <f t="shared" si="84"/>
        <v>4.3833333333333329</v>
      </c>
      <c r="AT167" s="202">
        <f t="shared" si="85"/>
        <v>52.593256410256402</v>
      </c>
      <c r="AU167" s="132"/>
      <c r="AV167" s="132"/>
      <c r="AW167" s="132"/>
      <c r="AX167" s="132"/>
      <c r="AY167" s="132"/>
      <c r="AZ167" s="246"/>
    </row>
    <row r="168" spans="1:52" s="129" customFormat="1" ht="12" customHeight="1">
      <c r="A168" s="142" t="str">
        <f t="shared" si="78"/>
        <v>Grays Harbor WUTCCommercialREINSTATE-COMM</v>
      </c>
      <c r="B168" s="142">
        <f t="shared" si="89"/>
        <v>1</v>
      </c>
      <c r="C168" s="209" t="s">
        <v>417</v>
      </c>
      <c r="D168" s="209" t="s">
        <v>418</v>
      </c>
      <c r="E168" s="137">
        <v>11.3</v>
      </c>
      <c r="F168" s="137">
        <v>11.3</v>
      </c>
      <c r="G168" s="138">
        <v>22.6</v>
      </c>
      <c r="H168" s="138">
        <v>11.3</v>
      </c>
      <c r="I168" s="138">
        <v>45.2</v>
      </c>
      <c r="J168" s="138">
        <v>22.6</v>
      </c>
      <c r="K168" s="138">
        <v>11.3</v>
      </c>
      <c r="L168" s="138">
        <v>11.3</v>
      </c>
      <c r="M168" s="138">
        <v>11.3</v>
      </c>
      <c r="N168" s="138">
        <v>0</v>
      </c>
      <c r="O168" s="138">
        <v>11.3</v>
      </c>
      <c r="P168" s="138">
        <v>22.6</v>
      </c>
      <c r="Q168" s="138">
        <v>22.6</v>
      </c>
      <c r="R168" s="138">
        <v>22.6</v>
      </c>
      <c r="S168" s="139">
        <f t="shared" si="92"/>
        <v>214.70000000000002</v>
      </c>
      <c r="T168" s="132"/>
      <c r="U168" s="138">
        <f t="shared" si="93"/>
        <v>2</v>
      </c>
      <c r="V168" s="138">
        <f t="shared" si="93"/>
        <v>1</v>
      </c>
      <c r="W168" s="138">
        <f t="shared" si="93"/>
        <v>4</v>
      </c>
      <c r="X168" s="138">
        <f t="shared" si="93"/>
        <v>2</v>
      </c>
      <c r="Y168" s="138">
        <f t="shared" si="93"/>
        <v>1</v>
      </c>
      <c r="Z168" s="138">
        <f t="shared" si="93"/>
        <v>1</v>
      </c>
      <c r="AA168" s="138">
        <f t="shared" si="93"/>
        <v>1</v>
      </c>
      <c r="AB168" s="138">
        <f t="shared" si="93"/>
        <v>0</v>
      </c>
      <c r="AC168" s="138">
        <f t="shared" si="93"/>
        <v>1</v>
      </c>
      <c r="AD168" s="138">
        <f t="shared" si="93"/>
        <v>2</v>
      </c>
      <c r="AE168" s="138">
        <f t="shared" si="41"/>
        <v>2</v>
      </c>
      <c r="AF168" s="138">
        <f t="shared" si="41"/>
        <v>2</v>
      </c>
      <c r="AG168" s="138"/>
      <c r="AH168" s="138"/>
      <c r="AI168" s="138">
        <f t="shared" si="79"/>
        <v>19</v>
      </c>
      <c r="AJ168" s="132"/>
      <c r="AK168" s="196">
        <f t="shared" si="87"/>
        <v>0.16358850825883198</v>
      </c>
      <c r="AL168" s="198">
        <f t="shared" si="80"/>
        <v>3.1081816569178073</v>
      </c>
      <c r="AM168" s="197"/>
      <c r="AN168" s="196">
        <f t="shared" si="88"/>
        <v>11.463588508258832</v>
      </c>
      <c r="AO168" s="198">
        <f t="shared" si="81"/>
        <v>217.80818165691781</v>
      </c>
      <c r="AP168" s="199">
        <f t="shared" si="82"/>
        <v>0.14000000000000001</v>
      </c>
      <c r="AQ168" s="200">
        <f t="shared" si="83"/>
        <v>2.66</v>
      </c>
      <c r="AR168" s="132"/>
      <c r="AS168" s="201">
        <f t="shared" si="84"/>
        <v>11.440000000000001</v>
      </c>
      <c r="AT168" s="202">
        <f t="shared" si="85"/>
        <v>217.36</v>
      </c>
      <c r="AU168" s="132"/>
      <c r="AV168" s="132"/>
      <c r="AW168" s="132"/>
      <c r="AX168" s="132"/>
      <c r="AY168" s="132"/>
      <c r="AZ168" s="246"/>
    </row>
    <row r="169" spans="1:52" s="129" customFormat="1" ht="12" customHeight="1">
      <c r="A169" s="142" t="str">
        <f t="shared" si="78"/>
        <v>Grays Harbor WUTCCommercialRENT1.5TEMP-COMM</v>
      </c>
      <c r="B169" s="142">
        <f t="shared" si="89"/>
        <v>1</v>
      </c>
      <c r="C169" s="209" t="s">
        <v>391</v>
      </c>
      <c r="D169" s="209" t="s">
        <v>392</v>
      </c>
      <c r="E169" s="137">
        <v>0.6</v>
      </c>
      <c r="F169" s="137">
        <v>0.6</v>
      </c>
      <c r="G169" s="138">
        <v>0</v>
      </c>
      <c r="H169" s="138">
        <v>0</v>
      </c>
      <c r="I169" s="138">
        <v>0</v>
      </c>
      <c r="J169" s="138">
        <v>4.17</v>
      </c>
      <c r="K169" s="138">
        <v>11.4</v>
      </c>
      <c r="L169" s="138">
        <v>36.6</v>
      </c>
      <c r="M169" s="138">
        <v>27.6</v>
      </c>
      <c r="N169" s="138">
        <v>10.8</v>
      </c>
      <c r="O169" s="138">
        <v>0</v>
      </c>
      <c r="P169" s="138">
        <v>0</v>
      </c>
      <c r="Q169" s="138">
        <v>0</v>
      </c>
      <c r="R169" s="138">
        <v>0</v>
      </c>
      <c r="S169" s="139">
        <f t="shared" si="92"/>
        <v>90.570000000000007</v>
      </c>
      <c r="T169" s="132"/>
      <c r="U169" s="138">
        <f t="shared" si="93"/>
        <v>0</v>
      </c>
      <c r="V169" s="138">
        <f t="shared" si="93"/>
        <v>0</v>
      </c>
      <c r="W169" s="138">
        <f t="shared" si="93"/>
        <v>0</v>
      </c>
      <c r="X169" s="138">
        <f t="shared" si="93"/>
        <v>6.95</v>
      </c>
      <c r="Y169" s="138">
        <f t="shared" si="93"/>
        <v>19</v>
      </c>
      <c r="Z169" s="138">
        <f t="shared" si="93"/>
        <v>61.000000000000007</v>
      </c>
      <c r="AA169" s="138">
        <f t="shared" si="93"/>
        <v>46.000000000000007</v>
      </c>
      <c r="AB169" s="138">
        <f t="shared" si="93"/>
        <v>18.000000000000004</v>
      </c>
      <c r="AC169" s="138">
        <f t="shared" si="93"/>
        <v>0</v>
      </c>
      <c r="AD169" s="138">
        <f t="shared" si="93"/>
        <v>0</v>
      </c>
      <c r="AE169" s="138">
        <f t="shared" si="41"/>
        <v>0</v>
      </c>
      <c r="AF169" s="138">
        <f t="shared" si="41"/>
        <v>0</v>
      </c>
      <c r="AG169" s="138"/>
      <c r="AH169" s="138"/>
      <c r="AI169" s="138">
        <f t="shared" si="79"/>
        <v>150.95000000000002</v>
      </c>
      <c r="AJ169" s="132"/>
      <c r="AK169" s="196">
        <f t="shared" si="87"/>
        <v>8.6861154827698392E-3</v>
      </c>
      <c r="AL169" s="198">
        <f t="shared" si="80"/>
        <v>1.3111691321241075</v>
      </c>
      <c r="AM169" s="197"/>
      <c r="AN169" s="196">
        <f t="shared" si="88"/>
        <v>0.60868611548276985</v>
      </c>
      <c r="AO169" s="198">
        <f t="shared" si="81"/>
        <v>91.881169132124114</v>
      </c>
      <c r="AP169" s="199">
        <f t="shared" si="82"/>
        <v>0.01</v>
      </c>
      <c r="AQ169" s="200">
        <f t="shared" si="83"/>
        <v>1.5095000000000003</v>
      </c>
      <c r="AR169" s="132"/>
      <c r="AS169" s="201">
        <f t="shared" si="84"/>
        <v>0.61</v>
      </c>
      <c r="AT169" s="202">
        <f t="shared" si="85"/>
        <v>92.07950000000001</v>
      </c>
      <c r="AU169" s="132"/>
      <c r="AV169" s="132"/>
      <c r="AW169" s="132"/>
      <c r="AX169" s="132"/>
      <c r="AY169" s="132"/>
      <c r="AZ169" s="246"/>
    </row>
    <row r="170" spans="1:52" s="129" customFormat="1" ht="12" customHeight="1">
      <c r="A170" s="142" t="str">
        <f t="shared" si="78"/>
        <v>Grays Harbor WUTCCommercialRENT1TEMP-COMM</v>
      </c>
      <c r="B170" s="142">
        <f t="shared" si="89"/>
        <v>1</v>
      </c>
      <c r="C170" s="209" t="s">
        <v>389</v>
      </c>
      <c r="D170" s="209" t="s">
        <v>390</v>
      </c>
      <c r="E170" s="137">
        <v>0.49</v>
      </c>
      <c r="F170" s="137">
        <v>0.49</v>
      </c>
      <c r="G170" s="138">
        <v>20.09</v>
      </c>
      <c r="H170" s="138">
        <v>33.81</v>
      </c>
      <c r="I170" s="138">
        <v>13.72</v>
      </c>
      <c r="J170" s="138">
        <v>0</v>
      </c>
      <c r="K170" s="138">
        <v>10.29</v>
      </c>
      <c r="L170" s="138">
        <v>19.600000000000001</v>
      </c>
      <c r="M170" s="138">
        <v>18.13</v>
      </c>
      <c r="N170" s="138">
        <v>27.93</v>
      </c>
      <c r="O170" s="138">
        <v>37.24</v>
      </c>
      <c r="P170" s="138">
        <v>45.57</v>
      </c>
      <c r="Q170" s="138">
        <v>15.19</v>
      </c>
      <c r="R170" s="138">
        <v>0</v>
      </c>
      <c r="S170" s="139">
        <f t="shared" si="92"/>
        <v>241.57</v>
      </c>
      <c r="T170" s="132"/>
      <c r="U170" s="138">
        <f t="shared" si="93"/>
        <v>41</v>
      </c>
      <c r="V170" s="138">
        <f t="shared" si="93"/>
        <v>69</v>
      </c>
      <c r="W170" s="138">
        <f t="shared" si="93"/>
        <v>28.000000000000004</v>
      </c>
      <c r="X170" s="138">
        <f t="shared" si="93"/>
        <v>0</v>
      </c>
      <c r="Y170" s="138">
        <f t="shared" si="93"/>
        <v>21</v>
      </c>
      <c r="Z170" s="138">
        <f t="shared" si="93"/>
        <v>40.000000000000007</v>
      </c>
      <c r="AA170" s="138">
        <f t="shared" si="93"/>
        <v>37</v>
      </c>
      <c r="AB170" s="138">
        <f t="shared" si="93"/>
        <v>57</v>
      </c>
      <c r="AC170" s="138">
        <f t="shared" si="93"/>
        <v>76</v>
      </c>
      <c r="AD170" s="138">
        <f t="shared" si="93"/>
        <v>93</v>
      </c>
      <c r="AE170" s="138">
        <f t="shared" si="41"/>
        <v>31</v>
      </c>
      <c r="AF170" s="138">
        <f t="shared" si="41"/>
        <v>0</v>
      </c>
      <c r="AG170" s="138"/>
      <c r="AH170" s="138"/>
      <c r="AI170" s="138">
        <f t="shared" si="79"/>
        <v>493</v>
      </c>
      <c r="AJ170" s="132"/>
      <c r="AK170" s="196">
        <f t="shared" si="87"/>
        <v>7.0936609775953683E-3</v>
      </c>
      <c r="AL170" s="198">
        <f t="shared" si="80"/>
        <v>3.4971748619545164</v>
      </c>
      <c r="AM170" s="197"/>
      <c r="AN170" s="196">
        <f t="shared" si="88"/>
        <v>0.49709366097759539</v>
      </c>
      <c r="AO170" s="198">
        <f t="shared" si="81"/>
        <v>245.06717486195453</v>
      </c>
      <c r="AP170" s="199">
        <f t="shared" si="82"/>
        <v>0.01</v>
      </c>
      <c r="AQ170" s="200">
        <f t="shared" si="83"/>
        <v>4.93</v>
      </c>
      <c r="AR170" s="132"/>
      <c r="AS170" s="201">
        <f t="shared" si="84"/>
        <v>0.5</v>
      </c>
      <c r="AT170" s="202">
        <f t="shared" si="85"/>
        <v>246.5</v>
      </c>
      <c r="AU170" s="132"/>
      <c r="AV170" s="132"/>
      <c r="AW170" s="132"/>
      <c r="AX170" s="132"/>
      <c r="AY170" s="132"/>
      <c r="AZ170" s="246"/>
    </row>
    <row r="171" spans="1:52" s="147" customFormat="1" ht="12" customHeight="1">
      <c r="A171" s="142" t="str">
        <f t="shared" si="78"/>
        <v>Grays Harbor WUTCCommercialRENT2TEMP-COMM</v>
      </c>
      <c r="B171" s="142">
        <f t="shared" si="89"/>
        <v>1</v>
      </c>
      <c r="C171" s="209" t="s">
        <v>393</v>
      </c>
      <c r="D171" s="209" t="s">
        <v>394</v>
      </c>
      <c r="E171" s="137">
        <v>0.6</v>
      </c>
      <c r="F171" s="137">
        <v>0.6</v>
      </c>
      <c r="G171" s="138">
        <v>2.4</v>
      </c>
      <c r="H171" s="138">
        <v>42.6</v>
      </c>
      <c r="I171" s="138">
        <v>24</v>
      </c>
      <c r="J171" s="138">
        <v>124.8</v>
      </c>
      <c r="K171" s="138">
        <v>57.6</v>
      </c>
      <c r="L171" s="138">
        <v>99</v>
      </c>
      <c r="M171" s="138">
        <v>126.6</v>
      </c>
      <c r="N171" s="138">
        <v>76.2</v>
      </c>
      <c r="O171" s="138">
        <v>39</v>
      </c>
      <c r="P171" s="138">
        <v>31.2</v>
      </c>
      <c r="Q171" s="138">
        <v>9</v>
      </c>
      <c r="R171" s="138">
        <v>6</v>
      </c>
      <c r="S171" s="139">
        <f t="shared" si="92"/>
        <v>638.40000000000009</v>
      </c>
      <c r="T171" s="132"/>
      <c r="U171" s="138">
        <f t="shared" si="93"/>
        <v>4</v>
      </c>
      <c r="V171" s="138">
        <f t="shared" si="93"/>
        <v>71</v>
      </c>
      <c r="W171" s="138">
        <f t="shared" si="93"/>
        <v>40</v>
      </c>
      <c r="X171" s="138">
        <f t="shared" si="93"/>
        <v>208</v>
      </c>
      <c r="Y171" s="138">
        <f t="shared" si="93"/>
        <v>96</v>
      </c>
      <c r="Z171" s="138">
        <f t="shared" si="93"/>
        <v>165</v>
      </c>
      <c r="AA171" s="138">
        <f t="shared" si="93"/>
        <v>211</v>
      </c>
      <c r="AB171" s="138">
        <f t="shared" si="93"/>
        <v>127.00000000000001</v>
      </c>
      <c r="AC171" s="138">
        <f t="shared" si="93"/>
        <v>65</v>
      </c>
      <c r="AD171" s="138">
        <f t="shared" si="93"/>
        <v>52</v>
      </c>
      <c r="AE171" s="138">
        <f t="shared" si="41"/>
        <v>15</v>
      </c>
      <c r="AF171" s="138">
        <f t="shared" si="41"/>
        <v>10</v>
      </c>
      <c r="AG171" s="138"/>
      <c r="AH171" s="138"/>
      <c r="AI171" s="138">
        <f t="shared" si="79"/>
        <v>1064</v>
      </c>
      <c r="AJ171" s="226"/>
      <c r="AK171" s="196">
        <f t="shared" si="87"/>
        <v>8.6861154827698392E-3</v>
      </c>
      <c r="AL171" s="198">
        <f t="shared" si="80"/>
        <v>9.2420268736671094</v>
      </c>
      <c r="AM171" s="197"/>
      <c r="AN171" s="196">
        <f t="shared" si="88"/>
        <v>0.60868611548276985</v>
      </c>
      <c r="AO171" s="198">
        <f t="shared" si="81"/>
        <v>647.64202687366708</v>
      </c>
      <c r="AP171" s="199">
        <f t="shared" si="82"/>
        <v>0.01</v>
      </c>
      <c r="AQ171" s="200">
        <f t="shared" si="83"/>
        <v>10.64</v>
      </c>
      <c r="AR171" s="226"/>
      <c r="AS171" s="201">
        <f t="shared" si="84"/>
        <v>0.61</v>
      </c>
      <c r="AT171" s="202">
        <f t="shared" si="85"/>
        <v>649.04</v>
      </c>
      <c r="AU171" s="226"/>
      <c r="AV171" s="226"/>
      <c r="AW171" s="226"/>
      <c r="AX171" s="226"/>
      <c r="AY171" s="226"/>
      <c r="AZ171" s="246"/>
    </row>
    <row r="172" spans="1:52" s="129" customFormat="1" ht="12" customHeight="1">
      <c r="A172" s="142" t="str">
        <f t="shared" si="78"/>
        <v>Grays Harbor WUTCCommercialRENT6TEMP-COMM</v>
      </c>
      <c r="B172" s="142">
        <f t="shared" si="89"/>
        <v>1</v>
      </c>
      <c r="C172" s="209" t="s">
        <v>395</v>
      </c>
      <c r="D172" s="209" t="s">
        <v>396</v>
      </c>
      <c r="E172" s="137">
        <v>1.64</v>
      </c>
      <c r="F172" s="137">
        <v>1.64</v>
      </c>
      <c r="G172" s="138">
        <v>0</v>
      </c>
      <c r="H172" s="138">
        <v>0</v>
      </c>
      <c r="I172" s="138">
        <v>0</v>
      </c>
      <c r="J172" s="138">
        <v>0</v>
      </c>
      <c r="K172" s="138">
        <v>49.2</v>
      </c>
      <c r="L172" s="138">
        <v>16.399999999999999</v>
      </c>
      <c r="M172" s="138">
        <v>0</v>
      </c>
      <c r="N172" s="138">
        <v>0</v>
      </c>
      <c r="O172" s="138">
        <v>0</v>
      </c>
      <c r="P172" s="138">
        <v>0</v>
      </c>
      <c r="Q172" s="138">
        <v>0</v>
      </c>
      <c r="R172" s="138">
        <v>0</v>
      </c>
      <c r="S172" s="139">
        <f t="shared" si="92"/>
        <v>65.599999999999994</v>
      </c>
      <c r="T172" s="132"/>
      <c r="U172" s="138">
        <f t="shared" si="93"/>
        <v>0</v>
      </c>
      <c r="V172" s="138">
        <f t="shared" si="93"/>
        <v>0</v>
      </c>
      <c r="W172" s="138">
        <f t="shared" si="93"/>
        <v>0</v>
      </c>
      <c r="X172" s="138">
        <f t="shared" si="93"/>
        <v>0</v>
      </c>
      <c r="Y172" s="138">
        <f t="shared" si="93"/>
        <v>30.000000000000004</v>
      </c>
      <c r="Z172" s="138">
        <f t="shared" si="93"/>
        <v>10</v>
      </c>
      <c r="AA172" s="138">
        <f t="shared" si="93"/>
        <v>0</v>
      </c>
      <c r="AB172" s="138">
        <f t="shared" si="93"/>
        <v>0</v>
      </c>
      <c r="AC172" s="138">
        <f t="shared" si="93"/>
        <v>0</v>
      </c>
      <c r="AD172" s="138">
        <f t="shared" si="93"/>
        <v>0</v>
      </c>
      <c r="AE172" s="138">
        <f t="shared" si="41"/>
        <v>0</v>
      </c>
      <c r="AF172" s="138">
        <f t="shared" si="41"/>
        <v>0</v>
      </c>
      <c r="AG172" s="138"/>
      <c r="AH172" s="138"/>
      <c r="AI172" s="138">
        <f t="shared" si="79"/>
        <v>40</v>
      </c>
      <c r="AJ172" s="132"/>
      <c r="AK172" s="196">
        <f t="shared" si="87"/>
        <v>2.3742048986237559E-2</v>
      </c>
      <c r="AL172" s="198">
        <f t="shared" si="80"/>
        <v>0.94968195944950229</v>
      </c>
      <c r="AM172" s="197"/>
      <c r="AN172" s="196">
        <f t="shared" si="88"/>
        <v>1.6637420489862376</v>
      </c>
      <c r="AO172" s="198">
        <f t="shared" si="81"/>
        <v>66.549681959449501</v>
      </c>
      <c r="AP172" s="199">
        <f t="shared" si="82"/>
        <v>0.02</v>
      </c>
      <c r="AQ172" s="200">
        <f t="shared" si="83"/>
        <v>0.8</v>
      </c>
      <c r="AR172" s="132"/>
      <c r="AS172" s="201">
        <f t="shared" si="84"/>
        <v>1.66</v>
      </c>
      <c r="AT172" s="202">
        <f t="shared" si="85"/>
        <v>66.399999999999991</v>
      </c>
      <c r="AU172" s="132"/>
      <c r="AV172" s="132"/>
      <c r="AW172" s="132"/>
      <c r="AX172" s="132"/>
      <c r="AY172" s="132"/>
      <c r="AZ172" s="246"/>
    </row>
    <row r="173" spans="1:52" s="129" customFormat="1" ht="12" customHeight="1">
      <c r="A173" s="142" t="str">
        <f t="shared" si="78"/>
        <v>Grays Harbor WUTCCommercialRTRNTRIP1.5-COMM</v>
      </c>
      <c r="B173" s="142">
        <f t="shared" si="89"/>
        <v>1</v>
      </c>
      <c r="C173" s="209" t="s">
        <v>543</v>
      </c>
      <c r="D173" s="209" t="s">
        <v>544</v>
      </c>
      <c r="E173" s="137">
        <v>27.3</v>
      </c>
      <c r="F173" s="137">
        <v>27.3</v>
      </c>
      <c r="G173" s="138">
        <v>0</v>
      </c>
      <c r="H173" s="138">
        <v>0</v>
      </c>
      <c r="I173" s="138">
        <v>0</v>
      </c>
      <c r="J173" s="138">
        <v>0</v>
      </c>
      <c r="K173" s="138">
        <v>27.3</v>
      </c>
      <c r="L173" s="138">
        <v>0</v>
      </c>
      <c r="M173" s="138">
        <v>0</v>
      </c>
      <c r="N173" s="138">
        <v>0</v>
      </c>
      <c r="O173" s="138">
        <v>0</v>
      </c>
      <c r="P173" s="138">
        <v>0</v>
      </c>
      <c r="Q173" s="138">
        <v>0</v>
      </c>
      <c r="R173" s="138">
        <v>0</v>
      </c>
      <c r="S173" s="139">
        <f t="shared" si="92"/>
        <v>27.3</v>
      </c>
      <c r="T173" s="132"/>
      <c r="U173" s="138">
        <f t="shared" si="93"/>
        <v>0</v>
      </c>
      <c r="V173" s="138">
        <f t="shared" si="93"/>
        <v>0</v>
      </c>
      <c r="W173" s="138">
        <f t="shared" si="93"/>
        <v>0</v>
      </c>
      <c r="X173" s="138">
        <f t="shared" si="93"/>
        <v>0</v>
      </c>
      <c r="Y173" s="138">
        <f t="shared" si="93"/>
        <v>1</v>
      </c>
      <c r="Z173" s="138">
        <f t="shared" si="93"/>
        <v>0</v>
      </c>
      <c r="AA173" s="138">
        <f t="shared" si="93"/>
        <v>0</v>
      </c>
      <c r="AB173" s="138">
        <f t="shared" si="93"/>
        <v>0</v>
      </c>
      <c r="AC173" s="138">
        <f t="shared" si="93"/>
        <v>0</v>
      </c>
      <c r="AD173" s="138">
        <f t="shared" si="93"/>
        <v>0</v>
      </c>
      <c r="AE173" s="138">
        <f t="shared" si="41"/>
        <v>0</v>
      </c>
      <c r="AF173" s="138">
        <f t="shared" si="41"/>
        <v>0</v>
      </c>
      <c r="AG173" s="138"/>
      <c r="AH173" s="138"/>
      <c r="AI173" s="138">
        <f t="shared" si="79"/>
        <v>1</v>
      </c>
      <c r="AJ173" s="132"/>
      <c r="AK173" s="196">
        <f t="shared" si="87"/>
        <v>0.39521825446602765</v>
      </c>
      <c r="AL173" s="198">
        <f t="shared" si="80"/>
        <v>0.39521825446602765</v>
      </c>
      <c r="AM173" s="197"/>
      <c r="AN173" s="196">
        <f t="shared" si="88"/>
        <v>27.695218254466027</v>
      </c>
      <c r="AO173" s="198">
        <f t="shared" si="81"/>
        <v>27.695218254466027</v>
      </c>
      <c r="AP173" s="199">
        <f t="shared" si="82"/>
        <v>0.34</v>
      </c>
      <c r="AQ173" s="200">
        <f t="shared" si="83"/>
        <v>0.34</v>
      </c>
      <c r="AR173" s="132"/>
      <c r="AS173" s="201">
        <f t="shared" si="84"/>
        <v>27.64</v>
      </c>
      <c r="AT173" s="202">
        <f t="shared" si="85"/>
        <v>27.64</v>
      </c>
      <c r="AU173" s="132"/>
      <c r="AV173" s="132"/>
      <c r="AW173" s="132"/>
      <c r="AX173" s="132"/>
      <c r="AY173" s="132"/>
      <c r="AZ173" s="246"/>
    </row>
    <row r="174" spans="1:52" s="129" customFormat="1" ht="12" customHeight="1">
      <c r="A174" s="142" t="str">
        <f t="shared" si="78"/>
        <v>Grays Harbor WUTCCommercialRTRNTRIP2-COMM</v>
      </c>
      <c r="B174" s="142">
        <f t="shared" si="89"/>
        <v>1</v>
      </c>
      <c r="C174" s="209" t="s">
        <v>545</v>
      </c>
      <c r="D174" s="209" t="s">
        <v>546</v>
      </c>
      <c r="E174" s="137">
        <v>27.3</v>
      </c>
      <c r="F174" s="137">
        <v>27.3</v>
      </c>
      <c r="G174" s="138">
        <v>0</v>
      </c>
      <c r="H174" s="138">
        <v>0</v>
      </c>
      <c r="I174" s="138">
        <v>0</v>
      </c>
      <c r="J174" s="138">
        <v>27.3</v>
      </c>
      <c r="K174" s="138">
        <v>0</v>
      </c>
      <c r="L174" s="138">
        <v>0</v>
      </c>
      <c r="M174" s="138">
        <v>0</v>
      </c>
      <c r="N174" s="138">
        <v>0</v>
      </c>
      <c r="O174" s="138">
        <v>0</v>
      </c>
      <c r="P174" s="138">
        <v>0</v>
      </c>
      <c r="Q174" s="138">
        <v>0</v>
      </c>
      <c r="R174" s="138">
        <v>0</v>
      </c>
      <c r="S174" s="139">
        <f t="shared" si="92"/>
        <v>27.3</v>
      </c>
      <c r="T174" s="132"/>
      <c r="U174" s="138">
        <f t="shared" si="93"/>
        <v>0</v>
      </c>
      <c r="V174" s="138">
        <f t="shared" si="93"/>
        <v>0</v>
      </c>
      <c r="W174" s="138">
        <f t="shared" si="93"/>
        <v>0</v>
      </c>
      <c r="X174" s="138">
        <f t="shared" si="93"/>
        <v>1</v>
      </c>
      <c r="Y174" s="138">
        <f t="shared" si="93"/>
        <v>0</v>
      </c>
      <c r="Z174" s="138">
        <f t="shared" si="93"/>
        <v>0</v>
      </c>
      <c r="AA174" s="138">
        <f t="shared" si="93"/>
        <v>0</v>
      </c>
      <c r="AB174" s="138">
        <f t="shared" si="93"/>
        <v>0</v>
      </c>
      <c r="AC174" s="138">
        <f t="shared" si="93"/>
        <v>0</v>
      </c>
      <c r="AD174" s="138">
        <f t="shared" si="93"/>
        <v>0</v>
      </c>
      <c r="AE174" s="138">
        <f t="shared" si="41"/>
        <v>0</v>
      </c>
      <c r="AF174" s="138">
        <f t="shared" si="41"/>
        <v>0</v>
      </c>
      <c r="AG174" s="138"/>
      <c r="AH174" s="138"/>
      <c r="AI174" s="138">
        <f t="shared" si="79"/>
        <v>1</v>
      </c>
      <c r="AJ174" s="132"/>
      <c r="AK174" s="196">
        <f t="shared" si="87"/>
        <v>0.39521825446602765</v>
      </c>
      <c r="AL174" s="198">
        <f t="shared" si="80"/>
        <v>0.39521825446602765</v>
      </c>
      <c r="AM174" s="197"/>
      <c r="AN174" s="196">
        <f t="shared" si="88"/>
        <v>27.695218254466027</v>
      </c>
      <c r="AO174" s="198">
        <f t="shared" si="81"/>
        <v>27.695218254466027</v>
      </c>
      <c r="AP174" s="199">
        <f t="shared" si="82"/>
        <v>0.34</v>
      </c>
      <c r="AQ174" s="200">
        <f t="shared" si="83"/>
        <v>0.34</v>
      </c>
      <c r="AR174" s="132"/>
      <c r="AS174" s="201">
        <f t="shared" si="84"/>
        <v>27.64</v>
      </c>
      <c r="AT174" s="202">
        <f t="shared" si="85"/>
        <v>27.64</v>
      </c>
      <c r="AU174" s="132"/>
      <c r="AV174" s="132"/>
      <c r="AW174" s="132"/>
      <c r="AX174" s="132"/>
      <c r="AY174" s="132"/>
      <c r="AZ174" s="246"/>
    </row>
    <row r="175" spans="1:52" s="129" customFormat="1" ht="12" customHeight="1">
      <c r="A175" s="142" t="str">
        <f t="shared" si="78"/>
        <v>Grays Harbor WUTCCommercialRTRNTRIP-COMM</v>
      </c>
      <c r="B175" s="142">
        <f t="shared" si="89"/>
        <v>1</v>
      </c>
      <c r="C175" s="209" t="s">
        <v>419</v>
      </c>
      <c r="D175" s="209" t="s">
        <v>420</v>
      </c>
      <c r="E175" s="137">
        <v>13.65</v>
      </c>
      <c r="F175" s="137">
        <v>13.65</v>
      </c>
      <c r="G175" s="138">
        <v>0</v>
      </c>
      <c r="H175" s="138">
        <v>0</v>
      </c>
      <c r="I175" s="138">
        <v>0</v>
      </c>
      <c r="J175" s="138">
        <v>0</v>
      </c>
      <c r="K175" s="138">
        <v>0</v>
      </c>
      <c r="L175" s="138">
        <v>0</v>
      </c>
      <c r="M175" s="138">
        <v>0</v>
      </c>
      <c r="N175" s="138">
        <v>0</v>
      </c>
      <c r="O175" s="138">
        <v>13.65</v>
      </c>
      <c r="P175" s="138">
        <v>0</v>
      </c>
      <c r="Q175" s="138">
        <v>0</v>
      </c>
      <c r="R175" s="138">
        <v>0</v>
      </c>
      <c r="S175" s="139">
        <f t="shared" ref="S175:S177" si="94">+SUM(G175:R175)</f>
        <v>13.65</v>
      </c>
      <c r="T175" s="132"/>
      <c r="U175" s="138">
        <f t="shared" si="93"/>
        <v>0</v>
      </c>
      <c r="V175" s="138">
        <f t="shared" si="93"/>
        <v>0</v>
      </c>
      <c r="W175" s="138">
        <f t="shared" si="93"/>
        <v>0</v>
      </c>
      <c r="X175" s="138">
        <f t="shared" si="93"/>
        <v>0</v>
      </c>
      <c r="Y175" s="138">
        <f t="shared" si="93"/>
        <v>0</v>
      </c>
      <c r="Z175" s="138">
        <f t="shared" si="93"/>
        <v>0</v>
      </c>
      <c r="AA175" s="138">
        <f t="shared" si="93"/>
        <v>0</v>
      </c>
      <c r="AB175" s="138">
        <f t="shared" si="93"/>
        <v>0</v>
      </c>
      <c r="AC175" s="138">
        <f t="shared" si="93"/>
        <v>1</v>
      </c>
      <c r="AD175" s="138">
        <f t="shared" si="93"/>
        <v>0</v>
      </c>
      <c r="AE175" s="138">
        <f t="shared" si="41"/>
        <v>0</v>
      </c>
      <c r="AF175" s="138">
        <f t="shared" si="41"/>
        <v>0</v>
      </c>
      <c r="AG175" s="138"/>
      <c r="AH175" s="138"/>
      <c r="AI175" s="138">
        <f t="shared" si="79"/>
        <v>1</v>
      </c>
      <c r="AJ175" s="132"/>
      <c r="AK175" s="196">
        <f t="shared" si="87"/>
        <v>0.19760912723301383</v>
      </c>
      <c r="AL175" s="198">
        <f t="shared" si="80"/>
        <v>0.19760912723301383</v>
      </c>
      <c r="AM175" s="197"/>
      <c r="AN175" s="196">
        <f t="shared" si="88"/>
        <v>13.847609127233014</v>
      </c>
      <c r="AO175" s="198">
        <f t="shared" si="81"/>
        <v>13.847609127233014</v>
      </c>
      <c r="AP175" s="199">
        <f t="shared" si="82"/>
        <v>0.17</v>
      </c>
      <c r="AQ175" s="200">
        <f t="shared" si="83"/>
        <v>0.17</v>
      </c>
      <c r="AR175" s="132"/>
      <c r="AS175" s="201">
        <f t="shared" si="84"/>
        <v>13.82</v>
      </c>
      <c r="AT175" s="202">
        <f t="shared" si="85"/>
        <v>13.82</v>
      </c>
      <c r="AU175" s="132"/>
      <c r="AV175" s="132"/>
      <c r="AW175" s="132"/>
      <c r="AX175" s="132"/>
      <c r="AY175" s="132"/>
      <c r="AZ175" s="246"/>
    </row>
    <row r="176" spans="1:52" s="129" customFormat="1" ht="12" customHeight="1">
      <c r="A176" s="142" t="str">
        <f t="shared" si="78"/>
        <v>Grays Harbor WUTCCommercialTIME-COMM</v>
      </c>
      <c r="B176" s="142">
        <f t="shared" si="89"/>
        <v>1</v>
      </c>
      <c r="C176" s="209" t="s">
        <v>427</v>
      </c>
      <c r="D176" s="209" t="s">
        <v>428</v>
      </c>
      <c r="E176" s="137">
        <v>125</v>
      </c>
      <c r="F176" s="137">
        <v>125</v>
      </c>
      <c r="G176" s="138">
        <v>93.75</v>
      </c>
      <c r="H176" s="138">
        <v>62.5</v>
      </c>
      <c r="I176" s="138">
        <v>0</v>
      </c>
      <c r="J176" s="138">
        <v>0</v>
      </c>
      <c r="K176" s="138">
        <v>0</v>
      </c>
      <c r="L176" s="138">
        <v>125</v>
      </c>
      <c r="M176" s="138">
        <v>187.5</v>
      </c>
      <c r="N176" s="138">
        <v>47.65</v>
      </c>
      <c r="O176" s="138">
        <v>62.5</v>
      </c>
      <c r="P176" s="138">
        <v>31.25</v>
      </c>
      <c r="Q176" s="138">
        <v>0</v>
      </c>
      <c r="R176" s="138">
        <v>62.5</v>
      </c>
      <c r="S176" s="139">
        <f t="shared" si="94"/>
        <v>672.65</v>
      </c>
      <c r="T176" s="132"/>
      <c r="U176" s="138">
        <f t="shared" si="93"/>
        <v>0.75</v>
      </c>
      <c r="V176" s="138">
        <f t="shared" si="93"/>
        <v>0.5</v>
      </c>
      <c r="W176" s="138">
        <f t="shared" si="93"/>
        <v>0</v>
      </c>
      <c r="X176" s="138">
        <f t="shared" si="93"/>
        <v>0</v>
      </c>
      <c r="Y176" s="138">
        <f t="shared" si="93"/>
        <v>0</v>
      </c>
      <c r="Z176" s="138">
        <f t="shared" si="93"/>
        <v>1</v>
      </c>
      <c r="AA176" s="138">
        <f t="shared" si="93"/>
        <v>1.5</v>
      </c>
      <c r="AB176" s="138">
        <f t="shared" si="93"/>
        <v>0.38119999999999998</v>
      </c>
      <c r="AC176" s="138">
        <f t="shared" si="93"/>
        <v>0.5</v>
      </c>
      <c r="AD176" s="138">
        <f t="shared" si="93"/>
        <v>0.25</v>
      </c>
      <c r="AE176" s="138">
        <f t="shared" si="41"/>
        <v>0</v>
      </c>
      <c r="AF176" s="138">
        <f t="shared" si="41"/>
        <v>0.5</v>
      </c>
      <c r="AG176" s="138"/>
      <c r="AH176" s="138"/>
      <c r="AI176" s="138">
        <f t="shared" si="79"/>
        <v>5.3811999999999998</v>
      </c>
      <c r="AJ176" s="132"/>
      <c r="AK176" s="196">
        <f t="shared" si="87"/>
        <v>1.8096073922437164</v>
      </c>
      <c r="AL176" s="198">
        <f t="shared" si="80"/>
        <v>9.7378592991418866</v>
      </c>
      <c r="AM176" s="197"/>
      <c r="AN176" s="196">
        <f t="shared" si="88"/>
        <v>126.80960739224372</v>
      </c>
      <c r="AO176" s="198">
        <f t="shared" si="81"/>
        <v>682.38785929914184</v>
      </c>
      <c r="AP176" s="199">
        <f t="shared" si="82"/>
        <v>1.56</v>
      </c>
      <c r="AQ176" s="200">
        <f t="shared" si="83"/>
        <v>8.3946719999999999</v>
      </c>
      <c r="AR176" s="132"/>
      <c r="AS176" s="201">
        <f t="shared" si="84"/>
        <v>126.56</v>
      </c>
      <c r="AT176" s="202">
        <f t="shared" si="85"/>
        <v>681.04467199999999</v>
      </c>
      <c r="AU176" s="132"/>
      <c r="AV176" s="132"/>
      <c r="AW176" s="132"/>
      <c r="AX176" s="132"/>
      <c r="AY176" s="132"/>
      <c r="AZ176" s="246"/>
    </row>
    <row r="177" spans="1:52" s="129" customFormat="1" ht="12" customHeight="1">
      <c r="A177" s="142" t="str">
        <f t="shared" si="78"/>
        <v>Grays Harbor WUTCCommercialWI1-COMM</v>
      </c>
      <c r="B177" s="142">
        <f t="shared" si="89"/>
        <v>1</v>
      </c>
      <c r="C177" s="209" t="s">
        <v>411</v>
      </c>
      <c r="D177" s="209" t="s">
        <v>412</v>
      </c>
      <c r="E177" s="137">
        <v>2.5099999999999998</v>
      </c>
      <c r="F177" s="137">
        <v>2.5133333333333332</v>
      </c>
      <c r="G177" s="138">
        <v>10.039999999999999</v>
      </c>
      <c r="H177" s="138">
        <v>10.039999999999999</v>
      </c>
      <c r="I177" s="138">
        <v>10.039999999999999</v>
      </c>
      <c r="J177" s="138">
        <v>10.039999999999999</v>
      </c>
      <c r="K177" s="138">
        <v>10.039999999999999</v>
      </c>
      <c r="L177" s="138">
        <v>10.039999999999999</v>
      </c>
      <c r="M177" s="138">
        <v>10.039999999999999</v>
      </c>
      <c r="N177" s="138">
        <v>10.039999999999999</v>
      </c>
      <c r="O177" s="138">
        <v>10.039999999999999</v>
      </c>
      <c r="P177" s="138">
        <v>10.039999999999999</v>
      </c>
      <c r="Q177" s="138">
        <v>10.039999999999999</v>
      </c>
      <c r="R177" s="138">
        <v>10.039999999999999</v>
      </c>
      <c r="S177" s="139">
        <f t="shared" si="94"/>
        <v>120.47999999999996</v>
      </c>
      <c r="T177" s="132"/>
      <c r="U177" s="138">
        <f t="shared" si="93"/>
        <v>4</v>
      </c>
      <c r="V177" s="138">
        <f t="shared" si="93"/>
        <v>4</v>
      </c>
      <c r="W177" s="138">
        <f t="shared" si="93"/>
        <v>4</v>
      </c>
      <c r="X177" s="138">
        <f t="shared" si="93"/>
        <v>4</v>
      </c>
      <c r="Y177" s="138">
        <f t="shared" si="93"/>
        <v>4</v>
      </c>
      <c r="Z177" s="138">
        <f t="shared" si="93"/>
        <v>4</v>
      </c>
      <c r="AA177" s="138">
        <f t="shared" si="93"/>
        <v>4</v>
      </c>
      <c r="AB177" s="138">
        <f t="shared" si="93"/>
        <v>4</v>
      </c>
      <c r="AC177" s="138">
        <f t="shared" si="93"/>
        <v>4</v>
      </c>
      <c r="AD177" s="138">
        <f t="shared" si="93"/>
        <v>4</v>
      </c>
      <c r="AE177" s="138">
        <f t="shared" ref="AE177:AF208" si="95">IFERROR(Q177/$F177,0)</f>
        <v>3.9946949602122013</v>
      </c>
      <c r="AF177" s="138">
        <f t="shared" si="95"/>
        <v>3.9946949602122013</v>
      </c>
      <c r="AG177" s="138"/>
      <c r="AH177" s="138"/>
      <c r="AI177" s="138">
        <f t="shared" si="79"/>
        <v>47.989389920424401</v>
      </c>
      <c r="AJ177" s="132"/>
      <c r="AK177" s="196">
        <f t="shared" si="87"/>
        <v>3.6385172633380321E-2</v>
      </c>
      <c r="AL177" s="198">
        <f t="shared" si="80"/>
        <v>1.7461022368252432</v>
      </c>
      <c r="AM177" s="197"/>
      <c r="AN177" s="196">
        <f t="shared" si="88"/>
        <v>2.5497185059667133</v>
      </c>
      <c r="AO177" s="198">
        <f t="shared" si="81"/>
        <v>122.35943557015855</v>
      </c>
      <c r="AP177" s="199">
        <f t="shared" si="82"/>
        <v>0.03</v>
      </c>
      <c r="AQ177" s="200">
        <f t="shared" si="83"/>
        <v>1.439681697612732</v>
      </c>
      <c r="AR177" s="132"/>
      <c r="AS177" s="201">
        <f t="shared" si="84"/>
        <v>2.543333333333333</v>
      </c>
      <c r="AT177" s="202">
        <f t="shared" si="85"/>
        <v>122.05301503094604</v>
      </c>
      <c r="AU177" s="132"/>
      <c r="AV177" s="132"/>
      <c r="AW177" s="132"/>
      <c r="AX177" s="132"/>
      <c r="AY177" s="132"/>
      <c r="AZ177" s="246"/>
    </row>
    <row r="178" spans="1:52" s="129" customFormat="1" ht="12" customHeight="1">
      <c r="B178" s="142"/>
      <c r="C178" s="228"/>
      <c r="D178" s="228"/>
      <c r="E178" s="137"/>
      <c r="F178" s="137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9"/>
      <c r="T178" s="132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2"/>
      <c r="AK178" s="132"/>
      <c r="AL178" s="132"/>
      <c r="AM178" s="132"/>
      <c r="AN178" s="132"/>
      <c r="AO178" s="132"/>
      <c r="AP178" s="183"/>
      <c r="AQ178" s="132"/>
      <c r="AR178" s="132"/>
      <c r="AS178" s="132"/>
      <c r="AT178" s="214"/>
      <c r="AU178" s="132"/>
      <c r="AV178" s="132"/>
      <c r="AW178" s="132"/>
      <c r="AX178" s="132"/>
      <c r="AY178" s="132"/>
      <c r="AZ178" s="245"/>
    </row>
    <row r="179" spans="1:52" s="129" customFormat="1" ht="12" customHeight="1">
      <c r="B179" s="142"/>
      <c r="C179" s="228"/>
      <c r="D179" s="184" t="s">
        <v>429</v>
      </c>
      <c r="E179" s="137"/>
      <c r="F179" s="137"/>
      <c r="G179" s="229">
        <f t="shared" ref="G179:S179" si="96">SUM(G87:G178)</f>
        <v>75063.650000000023</v>
      </c>
      <c r="H179" s="229">
        <f t="shared" si="96"/>
        <v>76157.60000000002</v>
      </c>
      <c r="I179" s="229">
        <f t="shared" si="96"/>
        <v>80425.419999999984</v>
      </c>
      <c r="J179" s="229">
        <f t="shared" si="96"/>
        <v>84038.760000000053</v>
      </c>
      <c r="K179" s="229">
        <f t="shared" si="96"/>
        <v>90489.409999999974</v>
      </c>
      <c r="L179" s="229">
        <f t="shared" si="96"/>
        <v>92504.05</v>
      </c>
      <c r="M179" s="229">
        <f t="shared" si="96"/>
        <v>91838.700000000041</v>
      </c>
      <c r="N179" s="229">
        <f t="shared" si="96"/>
        <v>84326.86</v>
      </c>
      <c r="O179" s="229">
        <f t="shared" si="96"/>
        <v>76131.359999999986</v>
      </c>
      <c r="P179" s="229">
        <f t="shared" si="96"/>
        <v>75474.480000000025</v>
      </c>
      <c r="Q179" s="229">
        <f t="shared" si="96"/>
        <v>75345.320000000007</v>
      </c>
      <c r="R179" s="229">
        <f t="shared" si="96"/>
        <v>75463.049999999988</v>
      </c>
      <c r="S179" s="229">
        <f t="shared" si="96"/>
        <v>977258.66000000015</v>
      </c>
      <c r="T179" s="132"/>
      <c r="U179" s="230">
        <f t="shared" ref="U179:AG179" si="97">SUM(U87:U178)</f>
        <v>2192.2243776864807</v>
      </c>
      <c r="V179" s="230">
        <f t="shared" si="97"/>
        <v>2155.6224791244335</v>
      </c>
      <c r="W179" s="230">
        <f t="shared" si="97"/>
        <v>2180.6599555368748</v>
      </c>
      <c r="X179" s="230">
        <f t="shared" si="97"/>
        <v>2451.726624383939</v>
      </c>
      <c r="Y179" s="230">
        <f t="shared" si="97"/>
        <v>2378.7470908347609</v>
      </c>
      <c r="Z179" s="230">
        <f t="shared" si="97"/>
        <v>2409.9564832695928</v>
      </c>
      <c r="AA179" s="230">
        <f t="shared" si="97"/>
        <v>2682.5123244768074</v>
      </c>
      <c r="AB179" s="230">
        <f t="shared" si="97"/>
        <v>2230.9717959949644</v>
      </c>
      <c r="AC179" s="230">
        <f t="shared" si="97"/>
        <v>2001.9103861990111</v>
      </c>
      <c r="AD179" s="230">
        <f t="shared" si="97"/>
        <v>2186.4209586384472</v>
      </c>
      <c r="AE179" s="230">
        <f t="shared" si="97"/>
        <v>2288.0996215475793</v>
      </c>
      <c r="AF179" s="230">
        <f t="shared" si="97"/>
        <v>2053.1957515948829</v>
      </c>
      <c r="AG179" s="230">
        <f t="shared" si="97"/>
        <v>1798.9169679083448</v>
      </c>
      <c r="AH179" s="230"/>
      <c r="AI179" s="230">
        <f>SUM(AI87:AI178)</f>
        <v>50586.161987040243</v>
      </c>
      <c r="AJ179" s="132"/>
      <c r="AK179" s="132"/>
      <c r="AL179" s="230">
        <f>SUM(AL87:AL178)</f>
        <v>14333.714341117471</v>
      </c>
      <c r="AM179" s="132"/>
      <c r="AN179" s="132"/>
      <c r="AO179" s="230">
        <f>SUM(AO87:AO178)</f>
        <v>1004445.8791782388</v>
      </c>
      <c r="AP179" s="231"/>
      <c r="AQ179" s="220">
        <f>SUM(AQ87:AQ177)</f>
        <v>12362.174040818569</v>
      </c>
      <c r="AR179" s="132"/>
      <c r="AS179" s="221"/>
      <c r="AT179" s="222">
        <f>SUM(AT87:AT177)</f>
        <v>1002474.3388779397</v>
      </c>
      <c r="AU179" s="132"/>
      <c r="AV179" s="132"/>
      <c r="AW179" s="132"/>
      <c r="AX179" s="132"/>
      <c r="AY179" s="132"/>
      <c r="AZ179" s="245"/>
    </row>
    <row r="180" spans="1:52" s="129" customFormat="1" ht="12" customHeight="1">
      <c r="B180" s="142"/>
      <c r="C180" s="228"/>
      <c r="D180" s="228"/>
      <c r="E180" s="137"/>
      <c r="F180" s="137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9"/>
      <c r="T180" s="132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2"/>
      <c r="AK180" s="132"/>
      <c r="AL180" s="132"/>
      <c r="AM180" s="132"/>
      <c r="AN180" s="132"/>
      <c r="AO180" s="132"/>
      <c r="AP180" s="183"/>
      <c r="AQ180" s="132"/>
      <c r="AR180" s="132"/>
      <c r="AS180" s="132"/>
      <c r="AT180" s="214"/>
      <c r="AU180" s="132"/>
      <c r="AV180" s="132"/>
      <c r="AW180" s="132"/>
      <c r="AX180" s="132"/>
      <c r="AY180" s="132"/>
      <c r="AZ180" s="245"/>
    </row>
    <row r="181" spans="1:52" s="129" customFormat="1" ht="15.75">
      <c r="B181" s="129">
        <f t="shared" ref="B181:B216" si="98">COUNTIF(C:C,C181)</f>
        <v>1</v>
      </c>
      <c r="C181" s="187" t="s">
        <v>547</v>
      </c>
      <c r="D181" s="188"/>
      <c r="E181" s="189"/>
      <c r="F181" s="189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1"/>
      <c r="T181" s="191"/>
      <c r="U181" s="192">
        <f t="shared" ref="U181:AD196" si="99">IFERROR(G181/$E181,0)</f>
        <v>0</v>
      </c>
      <c r="V181" s="192">
        <f t="shared" si="99"/>
        <v>0</v>
      </c>
      <c r="W181" s="192">
        <f t="shared" si="99"/>
        <v>0</v>
      </c>
      <c r="X181" s="192">
        <f t="shared" si="99"/>
        <v>0</v>
      </c>
      <c r="Y181" s="192">
        <f t="shared" si="99"/>
        <v>0</v>
      </c>
      <c r="Z181" s="192">
        <f t="shared" si="99"/>
        <v>0</v>
      </c>
      <c r="AA181" s="192">
        <f t="shared" si="99"/>
        <v>0</v>
      </c>
      <c r="AB181" s="192">
        <f t="shared" si="99"/>
        <v>0</v>
      </c>
      <c r="AC181" s="192">
        <f t="shared" si="99"/>
        <v>0</v>
      </c>
      <c r="AD181" s="192">
        <f t="shared" si="99"/>
        <v>0</v>
      </c>
      <c r="AE181" s="192">
        <f t="shared" si="95"/>
        <v>0</v>
      </c>
      <c r="AF181" s="192">
        <f t="shared" si="95"/>
        <v>0</v>
      </c>
      <c r="AG181" s="192"/>
      <c r="AH181" s="192"/>
      <c r="AI181" s="192"/>
      <c r="AJ181" s="132"/>
      <c r="AK181" s="132"/>
      <c r="AL181" s="132"/>
      <c r="AM181" s="132"/>
      <c r="AN181" s="132"/>
      <c r="AO181" s="132"/>
      <c r="AP181" s="183"/>
      <c r="AQ181" s="132"/>
      <c r="AR181" s="132"/>
      <c r="AS181" s="132"/>
      <c r="AT181" s="214"/>
      <c r="AU181" s="132"/>
      <c r="AV181" s="132"/>
      <c r="AW181" s="132"/>
      <c r="AX181" s="132"/>
      <c r="AY181" s="132"/>
      <c r="AZ181" s="245"/>
    </row>
    <row r="182" spans="1:52" ht="12" hidden="1" customHeight="1">
      <c r="B182" s="142">
        <f t="shared" si="98"/>
        <v>0</v>
      </c>
      <c r="C182" s="223"/>
      <c r="D182" s="223"/>
      <c r="E182" s="137"/>
      <c r="F182" s="137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44"/>
      <c r="T182" s="144"/>
      <c r="U182" s="138">
        <f t="shared" si="99"/>
        <v>0</v>
      </c>
      <c r="V182" s="138">
        <f t="shared" si="99"/>
        <v>0</v>
      </c>
      <c r="W182" s="138">
        <f t="shared" si="99"/>
        <v>0</v>
      </c>
      <c r="X182" s="138">
        <f t="shared" si="99"/>
        <v>0</v>
      </c>
      <c r="Y182" s="138">
        <f t="shared" si="99"/>
        <v>0</v>
      </c>
      <c r="Z182" s="138">
        <f t="shared" si="99"/>
        <v>0</v>
      </c>
      <c r="AA182" s="138">
        <f t="shared" si="99"/>
        <v>0</v>
      </c>
      <c r="AB182" s="138">
        <f t="shared" si="99"/>
        <v>0</v>
      </c>
      <c r="AC182" s="138">
        <f t="shared" si="99"/>
        <v>0</v>
      </c>
      <c r="AD182" s="138">
        <f t="shared" si="99"/>
        <v>0</v>
      </c>
      <c r="AE182" s="138">
        <f t="shared" si="95"/>
        <v>0</v>
      </c>
      <c r="AF182" s="138">
        <f t="shared" si="95"/>
        <v>0</v>
      </c>
      <c r="AG182" s="138"/>
      <c r="AH182" s="138"/>
      <c r="AI182" s="138"/>
      <c r="AJ182" s="144"/>
      <c r="AK182" s="144"/>
      <c r="AL182" s="144"/>
      <c r="AM182" s="144"/>
      <c r="AN182" s="144"/>
      <c r="AO182" s="144"/>
      <c r="AP182" s="225"/>
      <c r="AQ182" s="144"/>
      <c r="AR182" s="144"/>
      <c r="AS182" s="144"/>
      <c r="AT182" s="176"/>
      <c r="AU182" s="144"/>
      <c r="AV182" s="144"/>
      <c r="AW182" s="144"/>
      <c r="AX182" s="144"/>
      <c r="AY182" s="144"/>
    </row>
    <row r="183" spans="1:52" s="131" customFormat="1" ht="12" hidden="1" customHeight="1">
      <c r="B183" s="148">
        <f t="shared" si="98"/>
        <v>1</v>
      </c>
      <c r="C183" s="232" t="s">
        <v>548</v>
      </c>
      <c r="D183" s="232" t="s">
        <v>548</v>
      </c>
      <c r="E183" s="137">
        <v>0</v>
      </c>
      <c r="F183" s="137">
        <v>0</v>
      </c>
      <c r="G183" s="138" t="e">
        <v>#VALUE!</v>
      </c>
      <c r="H183" s="138" t="e">
        <v>#VALUE!</v>
      </c>
      <c r="I183" s="138" t="e">
        <v>#VALUE!</v>
      </c>
      <c r="J183" s="138" t="e">
        <v>#VALUE!</v>
      </c>
      <c r="K183" s="138" t="e">
        <v>#VALUE!</v>
      </c>
      <c r="L183" s="138" t="e">
        <v>#VALUE!</v>
      </c>
      <c r="M183" s="138" t="e">
        <v>#VALUE!</v>
      </c>
      <c r="N183" s="138" t="e">
        <v>#VALUE!</v>
      </c>
      <c r="O183" s="138" t="e">
        <v>#VALUE!</v>
      </c>
      <c r="P183" s="138" t="e">
        <v>#VALUE!</v>
      </c>
      <c r="Q183" s="138" t="e">
        <v>#VALUE!</v>
      </c>
      <c r="R183" s="138" t="e">
        <v>#VALUE!</v>
      </c>
      <c r="S183" s="144"/>
      <c r="T183" s="144"/>
      <c r="U183" s="138">
        <f t="shared" si="99"/>
        <v>0</v>
      </c>
      <c r="V183" s="138">
        <f t="shared" si="99"/>
        <v>0</v>
      </c>
      <c r="W183" s="138">
        <f t="shared" si="99"/>
        <v>0</v>
      </c>
      <c r="X183" s="138">
        <f t="shared" si="99"/>
        <v>0</v>
      </c>
      <c r="Y183" s="138">
        <f t="shared" si="99"/>
        <v>0</v>
      </c>
      <c r="Z183" s="138">
        <f t="shared" si="99"/>
        <v>0</v>
      </c>
      <c r="AA183" s="138">
        <f t="shared" si="99"/>
        <v>0</v>
      </c>
      <c r="AB183" s="138">
        <f t="shared" si="99"/>
        <v>0</v>
      </c>
      <c r="AC183" s="138">
        <f t="shared" si="99"/>
        <v>0</v>
      </c>
      <c r="AD183" s="138">
        <f t="shared" si="99"/>
        <v>0</v>
      </c>
      <c r="AE183" s="138">
        <f t="shared" si="95"/>
        <v>0</v>
      </c>
      <c r="AF183" s="138">
        <f t="shared" si="95"/>
        <v>0</v>
      </c>
      <c r="AG183" s="138"/>
      <c r="AH183" s="138"/>
      <c r="AI183" s="138"/>
      <c r="AJ183" s="144"/>
      <c r="AK183" s="144"/>
      <c r="AL183" s="144"/>
      <c r="AM183" s="144"/>
      <c r="AN183" s="144"/>
      <c r="AO183" s="144"/>
      <c r="AP183" s="225"/>
      <c r="AQ183" s="144"/>
      <c r="AR183" s="144"/>
      <c r="AS183" s="144"/>
      <c r="AT183" s="176"/>
      <c r="AU183" s="144"/>
      <c r="AV183" s="144"/>
      <c r="AW183" s="144"/>
      <c r="AX183" s="144"/>
      <c r="AY183" s="144"/>
      <c r="AZ183" s="244"/>
    </row>
    <row r="184" spans="1:52" ht="12" customHeight="1">
      <c r="A184" s="149" t="str">
        <f t="shared" ref="A184:A219" si="100">$A$1&amp;"Rolloff"&amp;C184</f>
        <v>Grays Harbor WUTCRolloffFINAL20-RO</v>
      </c>
      <c r="B184" s="149">
        <f t="shared" si="98"/>
        <v>1</v>
      </c>
      <c r="C184" s="193" t="s">
        <v>549</v>
      </c>
      <c r="D184" s="193" t="s">
        <v>550</v>
      </c>
      <c r="E184" s="137">
        <v>140</v>
      </c>
      <c r="F184" s="137">
        <v>140</v>
      </c>
      <c r="G184" s="138">
        <v>140</v>
      </c>
      <c r="H184" s="138">
        <v>140</v>
      </c>
      <c r="I184" s="138">
        <v>140</v>
      </c>
      <c r="J184" s="138">
        <v>140</v>
      </c>
      <c r="K184" s="138">
        <v>0</v>
      </c>
      <c r="L184" s="138">
        <v>0</v>
      </c>
      <c r="M184" s="138">
        <v>0</v>
      </c>
      <c r="N184" s="138">
        <v>0</v>
      </c>
      <c r="O184" s="138">
        <v>0</v>
      </c>
      <c r="P184" s="138">
        <v>140</v>
      </c>
      <c r="Q184" s="138">
        <v>280</v>
      </c>
      <c r="R184" s="138">
        <v>0</v>
      </c>
      <c r="S184" s="139">
        <f t="shared" ref="S184:S199" si="101">+SUM(G184:R184)</f>
        <v>980</v>
      </c>
      <c r="T184" s="144"/>
      <c r="U184" s="138">
        <f t="shared" si="99"/>
        <v>1</v>
      </c>
      <c r="V184" s="138">
        <f t="shared" si="99"/>
        <v>1</v>
      </c>
      <c r="W184" s="138">
        <f t="shared" si="99"/>
        <v>1</v>
      </c>
      <c r="X184" s="138">
        <f t="shared" si="99"/>
        <v>1</v>
      </c>
      <c r="Y184" s="138">
        <f t="shared" si="99"/>
        <v>0</v>
      </c>
      <c r="Z184" s="138">
        <f t="shared" si="99"/>
        <v>0</v>
      </c>
      <c r="AA184" s="138">
        <f t="shared" si="99"/>
        <v>0</v>
      </c>
      <c r="AB184" s="138">
        <f t="shared" si="99"/>
        <v>0</v>
      </c>
      <c r="AC184" s="138">
        <f t="shared" si="99"/>
        <v>0</v>
      </c>
      <c r="AD184" s="138">
        <f t="shared" si="99"/>
        <v>1</v>
      </c>
      <c r="AE184" s="138">
        <f t="shared" si="95"/>
        <v>2</v>
      </c>
      <c r="AF184" s="138">
        <f t="shared" si="95"/>
        <v>0</v>
      </c>
      <c r="AG184" s="138">
        <f t="shared" ref="AG184:AG199" si="102">AVERAGE(U184:AF184)</f>
        <v>0.58333333333333337</v>
      </c>
      <c r="AH184" s="138"/>
      <c r="AI184" s="138">
        <f t="shared" ref="AI184:AI219" si="103">+SUM(U184:AF184)</f>
        <v>7</v>
      </c>
      <c r="AJ184" s="144"/>
      <c r="AK184" s="196">
        <f>F184*$AM$2</f>
        <v>2.0267602793129624</v>
      </c>
      <c r="AL184" s="198">
        <f t="shared" ref="AL184:AL219" si="104">AK184*AI184</f>
        <v>14.187321955190736</v>
      </c>
      <c r="AM184" s="197"/>
      <c r="AN184" s="196">
        <f t="shared" ref="AN184:AN219" si="105">F184+AK184</f>
        <v>142.02676027931295</v>
      </c>
      <c r="AO184" s="198">
        <f t="shared" ref="AO184:AO219" si="106">AI184*AN184</f>
        <v>994.18732195519067</v>
      </c>
      <c r="AP184" s="199">
        <f t="shared" ref="AP184:AP219" si="107">ROUND(F184*$AS$3,2)</f>
        <v>1.75</v>
      </c>
      <c r="AQ184" s="200">
        <f t="shared" ref="AQ184:AQ219" si="108">AP184*AI184</f>
        <v>12.25</v>
      </c>
      <c r="AR184" s="144"/>
      <c r="AS184" s="201">
        <f t="shared" ref="AS184:AS219" si="109">AP184+F184</f>
        <v>141.75</v>
      </c>
      <c r="AT184" s="202">
        <f t="shared" ref="AT184:AT219" si="110">AS184*AI184</f>
        <v>992.25</v>
      </c>
      <c r="AU184" s="144"/>
      <c r="AV184" s="144"/>
      <c r="AW184" s="144"/>
      <c r="AX184" s="144"/>
      <c r="AY184" s="144"/>
    </row>
    <row r="185" spans="1:52" ht="12" customHeight="1">
      <c r="A185" s="149" t="str">
        <f t="shared" si="100"/>
        <v>Grays Harbor WUTCRolloffFINAL20TEMP-RO</v>
      </c>
      <c r="B185" s="149">
        <f t="shared" si="98"/>
        <v>1</v>
      </c>
      <c r="C185" s="193" t="s">
        <v>551</v>
      </c>
      <c r="D185" s="193" t="s">
        <v>552</v>
      </c>
      <c r="E185" s="137">
        <v>146</v>
      </c>
      <c r="F185" s="137">
        <v>146</v>
      </c>
      <c r="G185" s="138">
        <v>876</v>
      </c>
      <c r="H185" s="138">
        <v>1022</v>
      </c>
      <c r="I185" s="138">
        <v>1314</v>
      </c>
      <c r="J185" s="138">
        <v>876</v>
      </c>
      <c r="K185" s="138">
        <v>1168</v>
      </c>
      <c r="L185" s="138">
        <v>1606</v>
      </c>
      <c r="M185" s="138">
        <v>1606</v>
      </c>
      <c r="N185" s="138">
        <v>584</v>
      </c>
      <c r="O185" s="138">
        <v>438</v>
      </c>
      <c r="P185" s="138">
        <v>730</v>
      </c>
      <c r="Q185" s="138">
        <v>730</v>
      </c>
      <c r="R185" s="138">
        <v>876</v>
      </c>
      <c r="S185" s="139">
        <f t="shared" si="101"/>
        <v>11826</v>
      </c>
      <c r="T185" s="144"/>
      <c r="U185" s="138">
        <f t="shared" si="99"/>
        <v>6</v>
      </c>
      <c r="V185" s="138">
        <f t="shared" si="99"/>
        <v>7</v>
      </c>
      <c r="W185" s="138">
        <f t="shared" si="99"/>
        <v>9</v>
      </c>
      <c r="X185" s="138">
        <f t="shared" si="99"/>
        <v>6</v>
      </c>
      <c r="Y185" s="138">
        <f t="shared" si="99"/>
        <v>8</v>
      </c>
      <c r="Z185" s="138">
        <f t="shared" si="99"/>
        <v>11</v>
      </c>
      <c r="AA185" s="138">
        <f t="shared" si="99"/>
        <v>11</v>
      </c>
      <c r="AB185" s="138">
        <f t="shared" si="99"/>
        <v>4</v>
      </c>
      <c r="AC185" s="138">
        <f t="shared" si="99"/>
        <v>3</v>
      </c>
      <c r="AD185" s="138">
        <f t="shared" si="99"/>
        <v>5</v>
      </c>
      <c r="AE185" s="138">
        <f t="shared" si="95"/>
        <v>5</v>
      </c>
      <c r="AF185" s="138">
        <f t="shared" si="95"/>
        <v>6</v>
      </c>
      <c r="AG185" s="138">
        <f t="shared" si="102"/>
        <v>6.75</v>
      </c>
      <c r="AH185" s="138"/>
      <c r="AI185" s="138">
        <f t="shared" si="103"/>
        <v>81</v>
      </c>
      <c r="AJ185" s="144"/>
      <c r="AK185" s="196">
        <f t="shared" ref="AK185:AK219" si="111">F185*$AM$2</f>
        <v>2.1136214341406609</v>
      </c>
      <c r="AL185" s="198">
        <f t="shared" si="104"/>
        <v>171.20333616539352</v>
      </c>
      <c r="AM185" s="197"/>
      <c r="AN185" s="196">
        <f t="shared" si="105"/>
        <v>148.11362143414067</v>
      </c>
      <c r="AO185" s="198">
        <f t="shared" si="106"/>
        <v>11997.203336165394</v>
      </c>
      <c r="AP185" s="199">
        <f t="shared" si="107"/>
        <v>1.83</v>
      </c>
      <c r="AQ185" s="200">
        <f t="shared" si="108"/>
        <v>148.23000000000002</v>
      </c>
      <c r="AR185" s="144"/>
      <c r="AS185" s="201">
        <f t="shared" si="109"/>
        <v>147.83000000000001</v>
      </c>
      <c r="AT185" s="202">
        <f t="shared" si="110"/>
        <v>11974.230000000001</v>
      </c>
      <c r="AU185" s="144"/>
      <c r="AV185" s="144"/>
      <c r="AW185" s="144"/>
      <c r="AX185" s="144"/>
      <c r="AY185" s="144"/>
    </row>
    <row r="186" spans="1:52" ht="12" customHeight="1">
      <c r="A186" s="149" t="str">
        <f t="shared" si="100"/>
        <v>Grays Harbor WUTCRolloffFINAL30-RO</v>
      </c>
      <c r="B186" s="149">
        <f t="shared" si="98"/>
        <v>1</v>
      </c>
      <c r="C186" s="193" t="s">
        <v>553</v>
      </c>
      <c r="D186" s="193" t="s">
        <v>554</v>
      </c>
      <c r="E186" s="137">
        <v>166</v>
      </c>
      <c r="F186" s="137">
        <v>166</v>
      </c>
      <c r="G186" s="138">
        <v>166</v>
      </c>
      <c r="H186" s="138">
        <v>498</v>
      </c>
      <c r="I186" s="138">
        <v>664</v>
      </c>
      <c r="J186" s="138">
        <v>332</v>
      </c>
      <c r="K186" s="138">
        <v>498</v>
      </c>
      <c r="L186" s="138">
        <v>332</v>
      </c>
      <c r="M186" s="138">
        <v>332</v>
      </c>
      <c r="N186" s="138">
        <v>166</v>
      </c>
      <c r="O186" s="138">
        <v>166</v>
      </c>
      <c r="P186" s="138">
        <v>332</v>
      </c>
      <c r="Q186" s="138">
        <v>332</v>
      </c>
      <c r="R186" s="138">
        <v>0</v>
      </c>
      <c r="S186" s="139">
        <f t="shared" si="101"/>
        <v>3818</v>
      </c>
      <c r="T186" s="144"/>
      <c r="U186" s="138">
        <f t="shared" si="99"/>
        <v>1</v>
      </c>
      <c r="V186" s="138">
        <f t="shared" si="99"/>
        <v>3</v>
      </c>
      <c r="W186" s="138">
        <f t="shared" si="99"/>
        <v>4</v>
      </c>
      <c r="X186" s="138">
        <f t="shared" si="99"/>
        <v>2</v>
      </c>
      <c r="Y186" s="138">
        <f t="shared" si="99"/>
        <v>3</v>
      </c>
      <c r="Z186" s="138">
        <f t="shared" si="99"/>
        <v>2</v>
      </c>
      <c r="AA186" s="138">
        <f t="shared" si="99"/>
        <v>2</v>
      </c>
      <c r="AB186" s="138">
        <f t="shared" si="99"/>
        <v>1</v>
      </c>
      <c r="AC186" s="138">
        <f t="shared" si="99"/>
        <v>1</v>
      </c>
      <c r="AD186" s="138">
        <f t="shared" si="99"/>
        <v>2</v>
      </c>
      <c r="AE186" s="138">
        <f t="shared" si="95"/>
        <v>2</v>
      </c>
      <c r="AF186" s="138">
        <f t="shared" si="95"/>
        <v>0</v>
      </c>
      <c r="AG186" s="138">
        <f t="shared" si="102"/>
        <v>1.9166666666666667</v>
      </c>
      <c r="AH186" s="138"/>
      <c r="AI186" s="138">
        <f t="shared" si="103"/>
        <v>23</v>
      </c>
      <c r="AJ186" s="144"/>
      <c r="AK186" s="196">
        <f t="shared" si="111"/>
        <v>2.4031586168996553</v>
      </c>
      <c r="AL186" s="198">
        <f t="shared" si="104"/>
        <v>55.272648188692074</v>
      </c>
      <c r="AM186" s="197"/>
      <c r="AN186" s="196">
        <f t="shared" si="105"/>
        <v>168.40315861689965</v>
      </c>
      <c r="AO186" s="198">
        <f t="shared" si="106"/>
        <v>3873.2726481886921</v>
      </c>
      <c r="AP186" s="199">
        <f t="shared" si="107"/>
        <v>2.08</v>
      </c>
      <c r="AQ186" s="200">
        <f t="shared" si="108"/>
        <v>47.84</v>
      </c>
      <c r="AR186" s="144"/>
      <c r="AS186" s="201">
        <f t="shared" si="109"/>
        <v>168.08</v>
      </c>
      <c r="AT186" s="202">
        <f t="shared" si="110"/>
        <v>3865.84</v>
      </c>
      <c r="AU186" s="144"/>
      <c r="AV186" s="144"/>
      <c r="AW186" s="144"/>
      <c r="AX186" s="144"/>
      <c r="AY186" s="144"/>
    </row>
    <row r="187" spans="1:52" ht="12" customHeight="1">
      <c r="A187" s="149" t="str">
        <f t="shared" si="100"/>
        <v>Grays Harbor WUTCRolloffFINAL30TEMP-RO</v>
      </c>
      <c r="B187" s="149">
        <f t="shared" si="98"/>
        <v>1</v>
      </c>
      <c r="C187" s="193" t="s">
        <v>555</v>
      </c>
      <c r="D187" s="193" t="s">
        <v>556</v>
      </c>
      <c r="E187" s="137">
        <v>180.5</v>
      </c>
      <c r="F187" s="137">
        <v>180.5</v>
      </c>
      <c r="G187" s="138">
        <v>1624.5</v>
      </c>
      <c r="H187" s="138">
        <v>1083</v>
      </c>
      <c r="I187" s="138">
        <v>1083</v>
      </c>
      <c r="J187" s="138">
        <v>902.5</v>
      </c>
      <c r="K187" s="138">
        <v>361</v>
      </c>
      <c r="L187" s="138">
        <v>1083</v>
      </c>
      <c r="M187" s="138">
        <v>541.5</v>
      </c>
      <c r="N187" s="138">
        <v>902.5</v>
      </c>
      <c r="O187" s="138">
        <v>0</v>
      </c>
      <c r="P187" s="138">
        <v>541.5</v>
      </c>
      <c r="Q187" s="138">
        <v>0</v>
      </c>
      <c r="R187" s="138">
        <v>541.5</v>
      </c>
      <c r="S187" s="139">
        <f t="shared" si="101"/>
        <v>8664</v>
      </c>
      <c r="T187" s="144"/>
      <c r="U187" s="138">
        <f t="shared" si="99"/>
        <v>9</v>
      </c>
      <c r="V187" s="138">
        <f t="shared" si="99"/>
        <v>6</v>
      </c>
      <c r="W187" s="138">
        <f t="shared" si="99"/>
        <v>6</v>
      </c>
      <c r="X187" s="138">
        <f t="shared" si="99"/>
        <v>5</v>
      </c>
      <c r="Y187" s="138">
        <f t="shared" si="99"/>
        <v>2</v>
      </c>
      <c r="Z187" s="138">
        <f t="shared" si="99"/>
        <v>6</v>
      </c>
      <c r="AA187" s="138">
        <f t="shared" si="99"/>
        <v>3</v>
      </c>
      <c r="AB187" s="138">
        <f t="shared" si="99"/>
        <v>5</v>
      </c>
      <c r="AC187" s="138">
        <f t="shared" si="99"/>
        <v>0</v>
      </c>
      <c r="AD187" s="138">
        <f t="shared" si="99"/>
        <v>3</v>
      </c>
      <c r="AE187" s="138">
        <f t="shared" si="95"/>
        <v>0</v>
      </c>
      <c r="AF187" s="138">
        <f t="shared" si="95"/>
        <v>3</v>
      </c>
      <c r="AG187" s="138">
        <f t="shared" si="102"/>
        <v>4</v>
      </c>
      <c r="AH187" s="138"/>
      <c r="AI187" s="138">
        <f t="shared" si="103"/>
        <v>48</v>
      </c>
      <c r="AJ187" s="144"/>
      <c r="AK187" s="196">
        <f t="shared" si="111"/>
        <v>2.6130730743999266</v>
      </c>
      <c r="AL187" s="198">
        <f t="shared" si="104"/>
        <v>125.42750757119649</v>
      </c>
      <c r="AM187" s="197"/>
      <c r="AN187" s="196">
        <f t="shared" si="105"/>
        <v>183.11307307439992</v>
      </c>
      <c r="AO187" s="198">
        <f t="shared" si="106"/>
        <v>8789.4275075711957</v>
      </c>
      <c r="AP187" s="199">
        <f t="shared" si="107"/>
        <v>2.2599999999999998</v>
      </c>
      <c r="AQ187" s="200">
        <f t="shared" si="108"/>
        <v>108.47999999999999</v>
      </c>
      <c r="AR187" s="144"/>
      <c r="AS187" s="201">
        <f t="shared" si="109"/>
        <v>182.76</v>
      </c>
      <c r="AT187" s="202">
        <f t="shared" si="110"/>
        <v>8772.48</v>
      </c>
      <c r="AU187" s="144"/>
      <c r="AV187" s="144"/>
      <c r="AW187" s="144"/>
      <c r="AX187" s="144"/>
      <c r="AY187" s="144"/>
    </row>
    <row r="188" spans="1:52" ht="12" customHeight="1">
      <c r="A188" s="149" t="str">
        <f t="shared" si="100"/>
        <v>Grays Harbor WUTCRolloffFINAL40-RO</v>
      </c>
      <c r="B188" s="149">
        <f t="shared" si="98"/>
        <v>1</v>
      </c>
      <c r="C188" s="193" t="s">
        <v>557</v>
      </c>
      <c r="D188" s="193" t="s">
        <v>558</v>
      </c>
      <c r="E188" s="137">
        <v>200</v>
      </c>
      <c r="F188" s="137">
        <v>200</v>
      </c>
      <c r="G188" s="138">
        <v>200</v>
      </c>
      <c r="H188" s="138">
        <v>600</v>
      </c>
      <c r="I188" s="138">
        <v>200</v>
      </c>
      <c r="J188" s="138">
        <v>400</v>
      </c>
      <c r="K188" s="138">
        <v>0</v>
      </c>
      <c r="L188" s="138">
        <v>200</v>
      </c>
      <c r="M188" s="138">
        <v>0</v>
      </c>
      <c r="N188" s="138">
        <v>0</v>
      </c>
      <c r="O188" s="138">
        <v>0</v>
      </c>
      <c r="P188" s="138">
        <v>0</v>
      </c>
      <c r="Q188" s="138">
        <v>0</v>
      </c>
      <c r="R188" s="138">
        <v>0</v>
      </c>
      <c r="S188" s="139">
        <f t="shared" si="101"/>
        <v>1600</v>
      </c>
      <c r="T188" s="144"/>
      <c r="U188" s="138">
        <f t="shared" si="99"/>
        <v>1</v>
      </c>
      <c r="V188" s="138">
        <f t="shared" si="99"/>
        <v>3</v>
      </c>
      <c r="W188" s="138">
        <f t="shared" si="99"/>
        <v>1</v>
      </c>
      <c r="X188" s="138">
        <f t="shared" si="99"/>
        <v>2</v>
      </c>
      <c r="Y188" s="138">
        <f t="shared" si="99"/>
        <v>0</v>
      </c>
      <c r="Z188" s="138">
        <f t="shared" si="99"/>
        <v>1</v>
      </c>
      <c r="AA188" s="138">
        <f t="shared" si="99"/>
        <v>0</v>
      </c>
      <c r="AB188" s="138">
        <f t="shared" si="99"/>
        <v>0</v>
      </c>
      <c r="AC188" s="138">
        <f t="shared" si="99"/>
        <v>0</v>
      </c>
      <c r="AD188" s="138">
        <f t="shared" si="99"/>
        <v>0</v>
      </c>
      <c r="AE188" s="138">
        <f t="shared" si="95"/>
        <v>0</v>
      </c>
      <c r="AF188" s="138">
        <f t="shared" si="95"/>
        <v>0</v>
      </c>
      <c r="AG188" s="138">
        <f t="shared" si="102"/>
        <v>0.66666666666666663</v>
      </c>
      <c r="AH188" s="138"/>
      <c r="AI188" s="138">
        <f t="shared" si="103"/>
        <v>8</v>
      </c>
      <c r="AJ188" s="144"/>
      <c r="AK188" s="196">
        <f t="shared" si="111"/>
        <v>2.8953718275899463</v>
      </c>
      <c r="AL188" s="198">
        <f t="shared" si="104"/>
        <v>23.16297462071957</v>
      </c>
      <c r="AM188" s="197"/>
      <c r="AN188" s="196">
        <f t="shared" si="105"/>
        <v>202.89537182758994</v>
      </c>
      <c r="AO188" s="198">
        <f t="shared" si="106"/>
        <v>1623.1629746207195</v>
      </c>
      <c r="AP188" s="199">
        <f t="shared" si="107"/>
        <v>2.5</v>
      </c>
      <c r="AQ188" s="200">
        <f t="shared" si="108"/>
        <v>20</v>
      </c>
      <c r="AR188" s="144"/>
      <c r="AS188" s="201">
        <f t="shared" si="109"/>
        <v>202.5</v>
      </c>
      <c r="AT188" s="202">
        <f t="shared" si="110"/>
        <v>1620</v>
      </c>
      <c r="AU188" s="144"/>
      <c r="AV188" s="144"/>
      <c r="AW188" s="144"/>
      <c r="AX188" s="144"/>
      <c r="AY188" s="144"/>
    </row>
    <row r="189" spans="1:52" ht="12" customHeight="1">
      <c r="A189" s="149" t="str">
        <f t="shared" si="100"/>
        <v>Grays Harbor WUTCRolloffFINAL40TEMP-RO</v>
      </c>
      <c r="B189" s="149">
        <f t="shared" si="98"/>
        <v>1</v>
      </c>
      <c r="C189" s="193" t="s">
        <v>559</v>
      </c>
      <c r="D189" s="193" t="s">
        <v>560</v>
      </c>
      <c r="E189" s="137">
        <v>228.4</v>
      </c>
      <c r="F189" s="137">
        <v>228.4</v>
      </c>
      <c r="G189" s="138">
        <v>1827.2</v>
      </c>
      <c r="H189" s="138">
        <v>685.2</v>
      </c>
      <c r="I189" s="138">
        <v>2284</v>
      </c>
      <c r="J189" s="138">
        <v>2512.4</v>
      </c>
      <c r="K189" s="138">
        <v>1370.4</v>
      </c>
      <c r="L189" s="138">
        <v>685.2</v>
      </c>
      <c r="M189" s="138">
        <v>1598.8</v>
      </c>
      <c r="N189" s="138">
        <v>685.2</v>
      </c>
      <c r="O189" s="138">
        <v>228.4</v>
      </c>
      <c r="P189" s="138">
        <v>685.2</v>
      </c>
      <c r="Q189" s="138">
        <v>228.4</v>
      </c>
      <c r="R189" s="138">
        <v>456.8</v>
      </c>
      <c r="S189" s="139">
        <f t="shared" si="101"/>
        <v>13247.199999999999</v>
      </c>
      <c r="T189" s="144"/>
      <c r="U189" s="138">
        <f t="shared" si="99"/>
        <v>8</v>
      </c>
      <c r="V189" s="138">
        <f t="shared" si="99"/>
        <v>3</v>
      </c>
      <c r="W189" s="138">
        <f t="shared" si="99"/>
        <v>10</v>
      </c>
      <c r="X189" s="138">
        <f t="shared" si="99"/>
        <v>11</v>
      </c>
      <c r="Y189" s="138">
        <f t="shared" si="99"/>
        <v>6</v>
      </c>
      <c r="Z189" s="138">
        <f t="shared" si="99"/>
        <v>3</v>
      </c>
      <c r="AA189" s="138">
        <f t="shared" si="99"/>
        <v>7</v>
      </c>
      <c r="AB189" s="138">
        <f t="shared" si="99"/>
        <v>3</v>
      </c>
      <c r="AC189" s="138">
        <f t="shared" si="99"/>
        <v>1</v>
      </c>
      <c r="AD189" s="138">
        <f t="shared" si="99"/>
        <v>3</v>
      </c>
      <c r="AE189" s="138">
        <f t="shared" si="95"/>
        <v>1</v>
      </c>
      <c r="AF189" s="138">
        <f t="shared" si="95"/>
        <v>2</v>
      </c>
      <c r="AG189" s="138">
        <f t="shared" si="102"/>
        <v>4.833333333333333</v>
      </c>
      <c r="AH189" s="138"/>
      <c r="AI189" s="138">
        <f t="shared" si="103"/>
        <v>58</v>
      </c>
      <c r="AJ189" s="144"/>
      <c r="AK189" s="196">
        <f t="shared" si="111"/>
        <v>3.3065146271077186</v>
      </c>
      <c r="AL189" s="198">
        <f t="shared" si="104"/>
        <v>191.77784837224769</v>
      </c>
      <c r="AM189" s="197"/>
      <c r="AN189" s="196">
        <f t="shared" si="105"/>
        <v>231.70651462710774</v>
      </c>
      <c r="AO189" s="198">
        <f t="shared" si="106"/>
        <v>13438.977848372249</v>
      </c>
      <c r="AP189" s="199">
        <f t="shared" si="107"/>
        <v>2.86</v>
      </c>
      <c r="AQ189" s="200">
        <f t="shared" si="108"/>
        <v>165.88</v>
      </c>
      <c r="AR189" s="144"/>
      <c r="AS189" s="201">
        <f t="shared" si="109"/>
        <v>231.26000000000002</v>
      </c>
      <c r="AT189" s="202">
        <f t="shared" si="110"/>
        <v>13413.080000000002</v>
      </c>
      <c r="AU189" s="144"/>
      <c r="AV189" s="144"/>
      <c r="AW189" s="144"/>
      <c r="AX189" s="144"/>
      <c r="AY189" s="144"/>
    </row>
    <row r="190" spans="1:52" ht="12" customHeight="1">
      <c r="A190" s="149" t="str">
        <f t="shared" si="100"/>
        <v>Grays Harbor WUTCRolloffHAUL20-CP</v>
      </c>
      <c r="B190" s="149">
        <f t="shared" si="98"/>
        <v>1</v>
      </c>
      <c r="C190" s="193" t="s">
        <v>561</v>
      </c>
      <c r="D190" s="193" t="s">
        <v>562</v>
      </c>
      <c r="E190" s="137">
        <v>240</v>
      </c>
      <c r="F190" s="137">
        <v>240</v>
      </c>
      <c r="G190" s="138">
        <v>1200</v>
      </c>
      <c r="H190" s="138">
        <v>960</v>
      </c>
      <c r="I190" s="138">
        <v>960</v>
      </c>
      <c r="J190" s="138">
        <v>1200</v>
      </c>
      <c r="K190" s="138">
        <v>960</v>
      </c>
      <c r="L190" s="138">
        <v>1200</v>
      </c>
      <c r="M190" s="138">
        <v>720</v>
      </c>
      <c r="N190" s="138">
        <v>960</v>
      </c>
      <c r="O190" s="138">
        <v>1200</v>
      </c>
      <c r="P190" s="138">
        <v>960</v>
      </c>
      <c r="Q190" s="138">
        <v>960</v>
      </c>
      <c r="R190" s="138">
        <v>960</v>
      </c>
      <c r="S190" s="139">
        <f t="shared" si="101"/>
        <v>12240</v>
      </c>
      <c r="T190" s="144"/>
      <c r="U190" s="138">
        <f t="shared" si="99"/>
        <v>5</v>
      </c>
      <c r="V190" s="138">
        <f t="shared" si="99"/>
        <v>4</v>
      </c>
      <c r="W190" s="138">
        <f t="shared" si="99"/>
        <v>4</v>
      </c>
      <c r="X190" s="138">
        <f t="shared" si="99"/>
        <v>5</v>
      </c>
      <c r="Y190" s="138">
        <f t="shared" si="99"/>
        <v>4</v>
      </c>
      <c r="Z190" s="138">
        <f t="shared" si="99"/>
        <v>5</v>
      </c>
      <c r="AA190" s="138">
        <f t="shared" si="99"/>
        <v>3</v>
      </c>
      <c r="AB190" s="138">
        <f t="shared" si="99"/>
        <v>4</v>
      </c>
      <c r="AC190" s="138">
        <f t="shared" si="99"/>
        <v>5</v>
      </c>
      <c r="AD190" s="138">
        <f t="shared" si="99"/>
        <v>4</v>
      </c>
      <c r="AE190" s="138">
        <f t="shared" si="95"/>
        <v>4</v>
      </c>
      <c r="AF190" s="138">
        <f t="shared" si="95"/>
        <v>4</v>
      </c>
      <c r="AG190" s="138">
        <f t="shared" si="102"/>
        <v>4.25</v>
      </c>
      <c r="AH190" s="138"/>
      <c r="AI190" s="138">
        <f t="shared" si="103"/>
        <v>51</v>
      </c>
      <c r="AJ190" s="144"/>
      <c r="AK190" s="196">
        <f t="shared" si="111"/>
        <v>3.4744461931079353</v>
      </c>
      <c r="AL190" s="198">
        <f t="shared" si="104"/>
        <v>177.19675584850469</v>
      </c>
      <c r="AM190" s="197"/>
      <c r="AN190" s="196">
        <f t="shared" si="105"/>
        <v>243.47444619310792</v>
      </c>
      <c r="AO190" s="198">
        <f t="shared" si="106"/>
        <v>12417.196755848505</v>
      </c>
      <c r="AP190" s="199">
        <f t="shared" si="107"/>
        <v>3</v>
      </c>
      <c r="AQ190" s="200">
        <f t="shared" si="108"/>
        <v>153</v>
      </c>
      <c r="AR190" s="144"/>
      <c r="AS190" s="201">
        <f t="shared" si="109"/>
        <v>243</v>
      </c>
      <c r="AT190" s="202">
        <f t="shared" si="110"/>
        <v>12393</v>
      </c>
      <c r="AU190" s="144"/>
      <c r="AV190" s="144"/>
      <c r="AW190" s="144"/>
      <c r="AX190" s="144"/>
      <c r="AY190" s="144"/>
    </row>
    <row r="191" spans="1:52" ht="12" customHeight="1">
      <c r="A191" s="149" t="str">
        <f t="shared" si="100"/>
        <v>Grays Harbor WUTCRolloffHAUL20-RO</v>
      </c>
      <c r="B191" s="149">
        <f t="shared" si="98"/>
        <v>1</v>
      </c>
      <c r="C191" s="193" t="s">
        <v>563</v>
      </c>
      <c r="D191" s="193" t="s">
        <v>564</v>
      </c>
      <c r="E191" s="137">
        <v>140</v>
      </c>
      <c r="F191" s="137">
        <v>140</v>
      </c>
      <c r="G191" s="138">
        <v>3220</v>
      </c>
      <c r="H191" s="138">
        <v>2100</v>
      </c>
      <c r="I191" s="138">
        <v>3500</v>
      </c>
      <c r="J191" s="138">
        <v>2940</v>
      </c>
      <c r="K191" s="138">
        <v>1680</v>
      </c>
      <c r="L191" s="138">
        <v>2240</v>
      </c>
      <c r="M191" s="138">
        <v>1960</v>
      </c>
      <c r="N191" s="138">
        <v>2660</v>
      </c>
      <c r="O191" s="138">
        <v>2100</v>
      </c>
      <c r="P191" s="138">
        <v>1960</v>
      </c>
      <c r="Q191" s="138">
        <v>1820</v>
      </c>
      <c r="R191" s="138">
        <v>1680</v>
      </c>
      <c r="S191" s="139">
        <f t="shared" si="101"/>
        <v>27860</v>
      </c>
      <c r="T191" s="144"/>
      <c r="U191" s="138">
        <f t="shared" si="99"/>
        <v>23</v>
      </c>
      <c r="V191" s="138">
        <f t="shared" si="99"/>
        <v>15</v>
      </c>
      <c r="W191" s="138">
        <f t="shared" si="99"/>
        <v>25</v>
      </c>
      <c r="X191" s="138">
        <f t="shared" si="99"/>
        <v>21</v>
      </c>
      <c r="Y191" s="138">
        <f t="shared" si="99"/>
        <v>12</v>
      </c>
      <c r="Z191" s="138">
        <f t="shared" si="99"/>
        <v>16</v>
      </c>
      <c r="AA191" s="138">
        <f t="shared" si="99"/>
        <v>14</v>
      </c>
      <c r="AB191" s="138">
        <f t="shared" si="99"/>
        <v>19</v>
      </c>
      <c r="AC191" s="138">
        <f t="shared" si="99"/>
        <v>15</v>
      </c>
      <c r="AD191" s="138">
        <f t="shared" si="99"/>
        <v>14</v>
      </c>
      <c r="AE191" s="138">
        <f t="shared" si="95"/>
        <v>13</v>
      </c>
      <c r="AF191" s="138">
        <f t="shared" si="95"/>
        <v>12</v>
      </c>
      <c r="AG191" s="138">
        <f t="shared" si="102"/>
        <v>16.583333333333332</v>
      </c>
      <c r="AH191" s="138"/>
      <c r="AI191" s="138">
        <f t="shared" si="103"/>
        <v>199</v>
      </c>
      <c r="AJ191" s="144"/>
      <c r="AK191" s="196">
        <f t="shared" si="111"/>
        <v>2.0267602793129624</v>
      </c>
      <c r="AL191" s="198">
        <f t="shared" si="104"/>
        <v>403.32529558327951</v>
      </c>
      <c r="AM191" s="197"/>
      <c r="AN191" s="196">
        <f t="shared" si="105"/>
        <v>142.02676027931295</v>
      </c>
      <c r="AO191" s="198">
        <f t="shared" si="106"/>
        <v>28263.325295583276</v>
      </c>
      <c r="AP191" s="199">
        <f t="shared" si="107"/>
        <v>1.75</v>
      </c>
      <c r="AQ191" s="200">
        <f t="shared" si="108"/>
        <v>348.25</v>
      </c>
      <c r="AR191" s="144"/>
      <c r="AS191" s="201">
        <f t="shared" si="109"/>
        <v>141.75</v>
      </c>
      <c r="AT191" s="202">
        <f t="shared" si="110"/>
        <v>28208.25</v>
      </c>
      <c r="AU191" s="144"/>
      <c r="AV191" s="144"/>
      <c r="AW191" s="144"/>
      <c r="AX191" s="144"/>
      <c r="AY191" s="144"/>
    </row>
    <row r="192" spans="1:52" ht="12" customHeight="1">
      <c r="A192" s="149" t="str">
        <f t="shared" si="100"/>
        <v>Grays Harbor WUTCRolloffHAUL20TEMP-RO</v>
      </c>
      <c r="B192" s="149">
        <f t="shared" si="98"/>
        <v>1</v>
      </c>
      <c r="C192" s="193" t="s">
        <v>565</v>
      </c>
      <c r="D192" s="193" t="s">
        <v>566</v>
      </c>
      <c r="E192" s="137">
        <v>146</v>
      </c>
      <c r="F192" s="137">
        <v>146</v>
      </c>
      <c r="G192" s="138">
        <v>146</v>
      </c>
      <c r="H192" s="138">
        <v>0</v>
      </c>
      <c r="I192" s="138">
        <v>146</v>
      </c>
      <c r="J192" s="138">
        <v>146</v>
      </c>
      <c r="K192" s="138">
        <v>292</v>
      </c>
      <c r="L192" s="138">
        <v>0</v>
      </c>
      <c r="M192" s="138">
        <v>0</v>
      </c>
      <c r="N192" s="138">
        <v>146</v>
      </c>
      <c r="O192" s="138">
        <v>292</v>
      </c>
      <c r="P192" s="138">
        <v>0</v>
      </c>
      <c r="Q192" s="138">
        <v>292</v>
      </c>
      <c r="R192" s="138">
        <v>0</v>
      </c>
      <c r="S192" s="139">
        <f t="shared" si="101"/>
        <v>1460</v>
      </c>
      <c r="T192" s="144"/>
      <c r="U192" s="138">
        <f t="shared" si="99"/>
        <v>1</v>
      </c>
      <c r="V192" s="138">
        <f t="shared" si="99"/>
        <v>0</v>
      </c>
      <c r="W192" s="138">
        <f t="shared" si="99"/>
        <v>1</v>
      </c>
      <c r="X192" s="138">
        <f t="shared" si="99"/>
        <v>1</v>
      </c>
      <c r="Y192" s="138">
        <f t="shared" si="99"/>
        <v>2</v>
      </c>
      <c r="Z192" s="138">
        <f t="shared" si="99"/>
        <v>0</v>
      </c>
      <c r="AA192" s="138">
        <f t="shared" si="99"/>
        <v>0</v>
      </c>
      <c r="AB192" s="138">
        <f t="shared" si="99"/>
        <v>1</v>
      </c>
      <c r="AC192" s="138">
        <f t="shared" si="99"/>
        <v>2</v>
      </c>
      <c r="AD192" s="138">
        <f t="shared" si="99"/>
        <v>0</v>
      </c>
      <c r="AE192" s="138">
        <f t="shared" si="95"/>
        <v>2</v>
      </c>
      <c r="AF192" s="138">
        <f t="shared" si="95"/>
        <v>0</v>
      </c>
      <c r="AG192" s="138">
        <f t="shared" si="102"/>
        <v>0.83333333333333337</v>
      </c>
      <c r="AH192" s="138"/>
      <c r="AI192" s="138">
        <f t="shared" si="103"/>
        <v>10</v>
      </c>
      <c r="AJ192" s="144"/>
      <c r="AK192" s="196">
        <f t="shared" si="111"/>
        <v>2.1136214341406609</v>
      </c>
      <c r="AL192" s="198">
        <f t="shared" si="104"/>
        <v>21.13621434140661</v>
      </c>
      <c r="AM192" s="197"/>
      <c r="AN192" s="196">
        <f t="shared" si="105"/>
        <v>148.11362143414067</v>
      </c>
      <c r="AO192" s="198">
        <f t="shared" si="106"/>
        <v>1481.1362143414067</v>
      </c>
      <c r="AP192" s="199">
        <f t="shared" si="107"/>
        <v>1.83</v>
      </c>
      <c r="AQ192" s="200">
        <f t="shared" si="108"/>
        <v>18.3</v>
      </c>
      <c r="AR192" s="144"/>
      <c r="AS192" s="201">
        <f t="shared" si="109"/>
        <v>147.83000000000001</v>
      </c>
      <c r="AT192" s="202">
        <f t="shared" si="110"/>
        <v>1478.3000000000002</v>
      </c>
      <c r="AU192" s="144"/>
      <c r="AV192" s="144"/>
      <c r="AW192" s="144"/>
      <c r="AX192" s="144"/>
      <c r="AY192" s="144"/>
    </row>
    <row r="193" spans="1:51" ht="12" customHeight="1">
      <c r="A193" s="149" t="str">
        <f t="shared" si="100"/>
        <v>Grays Harbor WUTCRolloffHAUL24-CP</v>
      </c>
      <c r="B193" s="149">
        <f t="shared" si="98"/>
        <v>1</v>
      </c>
      <c r="C193" s="193" t="s">
        <v>567</v>
      </c>
      <c r="D193" s="193" t="s">
        <v>568</v>
      </c>
      <c r="E193" s="137">
        <v>248</v>
      </c>
      <c r="F193" s="137">
        <v>248</v>
      </c>
      <c r="G193" s="138">
        <v>0</v>
      </c>
      <c r="H193" s="138">
        <v>248</v>
      </c>
      <c r="I193" s="138">
        <v>248</v>
      </c>
      <c r="J193" s="138">
        <v>248</v>
      </c>
      <c r="K193" s="138">
        <v>496</v>
      </c>
      <c r="L193" s="138">
        <v>248</v>
      </c>
      <c r="M193" s="138">
        <v>248</v>
      </c>
      <c r="N193" s="138">
        <v>248</v>
      </c>
      <c r="O193" s="138">
        <v>248</v>
      </c>
      <c r="P193" s="138">
        <v>0</v>
      </c>
      <c r="Q193" s="138">
        <v>248</v>
      </c>
      <c r="R193" s="138">
        <v>248</v>
      </c>
      <c r="S193" s="139">
        <f t="shared" si="101"/>
        <v>2728</v>
      </c>
      <c r="T193" s="144"/>
      <c r="U193" s="138">
        <f t="shared" si="99"/>
        <v>0</v>
      </c>
      <c r="V193" s="138">
        <f t="shared" si="99"/>
        <v>1</v>
      </c>
      <c r="W193" s="138">
        <f t="shared" si="99"/>
        <v>1</v>
      </c>
      <c r="X193" s="138">
        <f t="shared" si="99"/>
        <v>1</v>
      </c>
      <c r="Y193" s="138">
        <f t="shared" si="99"/>
        <v>2</v>
      </c>
      <c r="Z193" s="138">
        <f t="shared" si="99"/>
        <v>1</v>
      </c>
      <c r="AA193" s="138">
        <f t="shared" si="99"/>
        <v>1</v>
      </c>
      <c r="AB193" s="138">
        <f t="shared" si="99"/>
        <v>1</v>
      </c>
      <c r="AC193" s="138">
        <f t="shared" si="99"/>
        <v>1</v>
      </c>
      <c r="AD193" s="138">
        <f t="shared" si="99"/>
        <v>0</v>
      </c>
      <c r="AE193" s="138">
        <f t="shared" si="95"/>
        <v>1</v>
      </c>
      <c r="AF193" s="138">
        <f t="shared" si="95"/>
        <v>1</v>
      </c>
      <c r="AG193" s="138">
        <f t="shared" si="102"/>
        <v>0.91666666666666663</v>
      </c>
      <c r="AH193" s="138"/>
      <c r="AI193" s="138">
        <f t="shared" si="103"/>
        <v>11</v>
      </c>
      <c r="AJ193" s="144"/>
      <c r="AK193" s="196">
        <f t="shared" si="111"/>
        <v>3.5902610662115335</v>
      </c>
      <c r="AL193" s="198">
        <f t="shared" si="104"/>
        <v>39.492871728326868</v>
      </c>
      <c r="AM193" s="197"/>
      <c r="AN193" s="196">
        <f t="shared" si="105"/>
        <v>251.59026106621153</v>
      </c>
      <c r="AO193" s="198">
        <f t="shared" si="106"/>
        <v>2767.4928717283269</v>
      </c>
      <c r="AP193" s="199">
        <f t="shared" si="107"/>
        <v>3.1</v>
      </c>
      <c r="AQ193" s="200">
        <f t="shared" si="108"/>
        <v>34.1</v>
      </c>
      <c r="AR193" s="144"/>
      <c r="AS193" s="201">
        <f t="shared" si="109"/>
        <v>251.1</v>
      </c>
      <c r="AT193" s="202">
        <f t="shared" si="110"/>
        <v>2762.1</v>
      </c>
      <c r="AU193" s="144"/>
      <c r="AV193" s="144"/>
      <c r="AW193" s="144"/>
      <c r="AX193" s="144"/>
      <c r="AY193" s="144"/>
    </row>
    <row r="194" spans="1:51" ht="12" customHeight="1">
      <c r="A194" s="149" t="str">
        <f t="shared" si="100"/>
        <v>Grays Harbor WUTCRolloffHAUL30-CP</v>
      </c>
      <c r="B194" s="149">
        <f t="shared" si="98"/>
        <v>1</v>
      </c>
      <c r="C194" s="193" t="s">
        <v>569</v>
      </c>
      <c r="D194" s="193" t="s">
        <v>570</v>
      </c>
      <c r="E194" s="137">
        <v>257</v>
      </c>
      <c r="F194" s="137">
        <v>257</v>
      </c>
      <c r="G194" s="138">
        <v>1028</v>
      </c>
      <c r="H194" s="138">
        <v>514</v>
      </c>
      <c r="I194" s="138">
        <v>771</v>
      </c>
      <c r="J194" s="138">
        <v>771</v>
      </c>
      <c r="K194" s="138">
        <v>257</v>
      </c>
      <c r="L194" s="138">
        <v>771</v>
      </c>
      <c r="M194" s="138">
        <v>514</v>
      </c>
      <c r="N194" s="138">
        <v>257</v>
      </c>
      <c r="O194" s="138">
        <v>514</v>
      </c>
      <c r="P194" s="138">
        <v>771</v>
      </c>
      <c r="Q194" s="138">
        <v>514</v>
      </c>
      <c r="R194" s="138">
        <v>514</v>
      </c>
      <c r="S194" s="139">
        <f t="shared" si="101"/>
        <v>7196</v>
      </c>
      <c r="T194" s="144"/>
      <c r="U194" s="138">
        <f t="shared" si="99"/>
        <v>4</v>
      </c>
      <c r="V194" s="138">
        <f t="shared" si="99"/>
        <v>2</v>
      </c>
      <c r="W194" s="138">
        <f t="shared" si="99"/>
        <v>3</v>
      </c>
      <c r="X194" s="138">
        <f t="shared" si="99"/>
        <v>3</v>
      </c>
      <c r="Y194" s="138">
        <f t="shared" si="99"/>
        <v>1</v>
      </c>
      <c r="Z194" s="138">
        <f t="shared" si="99"/>
        <v>3</v>
      </c>
      <c r="AA194" s="138">
        <f t="shared" si="99"/>
        <v>2</v>
      </c>
      <c r="AB194" s="138">
        <f t="shared" si="99"/>
        <v>1</v>
      </c>
      <c r="AC194" s="138">
        <f t="shared" si="99"/>
        <v>2</v>
      </c>
      <c r="AD194" s="138">
        <f t="shared" si="99"/>
        <v>3</v>
      </c>
      <c r="AE194" s="138">
        <f t="shared" si="95"/>
        <v>2</v>
      </c>
      <c r="AF194" s="138">
        <f t="shared" si="95"/>
        <v>2</v>
      </c>
      <c r="AG194" s="138">
        <f t="shared" si="102"/>
        <v>2.3333333333333335</v>
      </c>
      <c r="AH194" s="138"/>
      <c r="AI194" s="138">
        <f t="shared" si="103"/>
        <v>28</v>
      </c>
      <c r="AJ194" s="144"/>
      <c r="AK194" s="196">
        <f t="shared" si="111"/>
        <v>3.7205527984530811</v>
      </c>
      <c r="AL194" s="198">
        <f t="shared" si="104"/>
        <v>104.17547835668627</v>
      </c>
      <c r="AM194" s="197"/>
      <c r="AN194" s="196">
        <f t="shared" si="105"/>
        <v>260.72055279845307</v>
      </c>
      <c r="AO194" s="198">
        <f t="shared" si="106"/>
        <v>7300.1754783566857</v>
      </c>
      <c r="AP194" s="199">
        <f t="shared" si="107"/>
        <v>3.21</v>
      </c>
      <c r="AQ194" s="200">
        <f t="shared" si="108"/>
        <v>89.88</v>
      </c>
      <c r="AR194" s="144"/>
      <c r="AS194" s="201">
        <f t="shared" si="109"/>
        <v>260.20999999999998</v>
      </c>
      <c r="AT194" s="202">
        <f t="shared" si="110"/>
        <v>7285.8799999999992</v>
      </c>
      <c r="AU194" s="144"/>
      <c r="AV194" s="144"/>
      <c r="AW194" s="144"/>
      <c r="AX194" s="144"/>
      <c r="AY194" s="144"/>
    </row>
    <row r="195" spans="1:51" ht="12" customHeight="1">
      <c r="A195" s="149" t="str">
        <f t="shared" si="100"/>
        <v>Grays Harbor WUTCRolloffHAUL30-RO</v>
      </c>
      <c r="B195" s="149">
        <f t="shared" si="98"/>
        <v>1</v>
      </c>
      <c r="C195" s="193" t="s">
        <v>571</v>
      </c>
      <c r="D195" s="193" t="s">
        <v>572</v>
      </c>
      <c r="E195" s="137">
        <v>166</v>
      </c>
      <c r="F195" s="137">
        <v>166</v>
      </c>
      <c r="G195" s="138">
        <v>6142</v>
      </c>
      <c r="H195" s="138">
        <v>5976</v>
      </c>
      <c r="I195" s="138">
        <v>8134</v>
      </c>
      <c r="J195" s="138">
        <v>6474</v>
      </c>
      <c r="K195" s="138">
        <v>7802</v>
      </c>
      <c r="L195" s="138">
        <v>12118</v>
      </c>
      <c r="M195" s="138">
        <v>7968</v>
      </c>
      <c r="N195" s="138">
        <v>5976</v>
      </c>
      <c r="O195" s="138">
        <v>6474</v>
      </c>
      <c r="P195" s="138">
        <v>5478</v>
      </c>
      <c r="Q195" s="138">
        <v>5063</v>
      </c>
      <c r="R195" s="138">
        <v>5976</v>
      </c>
      <c r="S195" s="139">
        <f t="shared" si="101"/>
        <v>83581</v>
      </c>
      <c r="T195" s="144"/>
      <c r="U195" s="138">
        <f t="shared" si="99"/>
        <v>37</v>
      </c>
      <c r="V195" s="138">
        <f t="shared" si="99"/>
        <v>36</v>
      </c>
      <c r="W195" s="138">
        <f t="shared" si="99"/>
        <v>49</v>
      </c>
      <c r="X195" s="138">
        <f t="shared" si="99"/>
        <v>39</v>
      </c>
      <c r="Y195" s="138">
        <f t="shared" si="99"/>
        <v>47</v>
      </c>
      <c r="Z195" s="138">
        <f t="shared" si="99"/>
        <v>73</v>
      </c>
      <c r="AA195" s="138">
        <f t="shared" si="99"/>
        <v>48</v>
      </c>
      <c r="AB195" s="138">
        <f t="shared" si="99"/>
        <v>36</v>
      </c>
      <c r="AC195" s="138">
        <f t="shared" si="99"/>
        <v>39</v>
      </c>
      <c r="AD195" s="138">
        <f t="shared" si="99"/>
        <v>33</v>
      </c>
      <c r="AE195" s="138">
        <f t="shared" si="95"/>
        <v>30.5</v>
      </c>
      <c r="AF195" s="138">
        <f t="shared" si="95"/>
        <v>36</v>
      </c>
      <c r="AG195" s="138">
        <f t="shared" si="102"/>
        <v>41.958333333333336</v>
      </c>
      <c r="AH195" s="138"/>
      <c r="AI195" s="138">
        <f t="shared" si="103"/>
        <v>503.5</v>
      </c>
      <c r="AJ195" s="144"/>
      <c r="AK195" s="196">
        <f t="shared" si="111"/>
        <v>2.4031586168996553</v>
      </c>
      <c r="AL195" s="198">
        <f t="shared" si="104"/>
        <v>1209.9903636089764</v>
      </c>
      <c r="AM195" s="197"/>
      <c r="AN195" s="196">
        <f t="shared" si="105"/>
        <v>168.40315861689965</v>
      </c>
      <c r="AO195" s="198">
        <f t="shared" si="106"/>
        <v>84790.990363608973</v>
      </c>
      <c r="AP195" s="199">
        <f t="shared" si="107"/>
        <v>2.08</v>
      </c>
      <c r="AQ195" s="200">
        <f t="shared" si="108"/>
        <v>1047.28</v>
      </c>
      <c r="AR195" s="144"/>
      <c r="AS195" s="201">
        <f t="shared" si="109"/>
        <v>168.08</v>
      </c>
      <c r="AT195" s="202">
        <f t="shared" si="110"/>
        <v>84628.280000000013</v>
      </c>
      <c r="AU195" s="144"/>
      <c r="AV195" s="144"/>
      <c r="AW195" s="144"/>
      <c r="AX195" s="144"/>
      <c r="AY195" s="144"/>
    </row>
    <row r="196" spans="1:51" ht="12" customHeight="1">
      <c r="A196" s="149" t="str">
        <f t="shared" si="100"/>
        <v>Grays Harbor WUTCRolloffHAUL30TEMP-RO</v>
      </c>
      <c r="B196" s="149">
        <f t="shared" si="98"/>
        <v>1</v>
      </c>
      <c r="C196" s="193" t="s">
        <v>573</v>
      </c>
      <c r="D196" s="193" t="s">
        <v>574</v>
      </c>
      <c r="E196" s="137">
        <v>180.5</v>
      </c>
      <c r="F196" s="137">
        <v>180.5</v>
      </c>
      <c r="G196" s="138">
        <v>1805</v>
      </c>
      <c r="H196" s="138">
        <v>902.5</v>
      </c>
      <c r="I196" s="138">
        <v>722</v>
      </c>
      <c r="J196" s="138">
        <v>722</v>
      </c>
      <c r="K196" s="138">
        <v>180.5</v>
      </c>
      <c r="L196" s="138">
        <v>541.5</v>
      </c>
      <c r="M196" s="138">
        <v>361</v>
      </c>
      <c r="N196" s="138">
        <v>180.5</v>
      </c>
      <c r="O196" s="138">
        <v>361</v>
      </c>
      <c r="P196" s="138">
        <v>180.5</v>
      </c>
      <c r="Q196" s="138">
        <v>361</v>
      </c>
      <c r="R196" s="138">
        <v>541.5</v>
      </c>
      <c r="S196" s="139">
        <f t="shared" si="101"/>
        <v>6859</v>
      </c>
      <c r="T196" s="144"/>
      <c r="U196" s="138">
        <f t="shared" si="99"/>
        <v>10</v>
      </c>
      <c r="V196" s="138">
        <f t="shared" si="99"/>
        <v>5</v>
      </c>
      <c r="W196" s="138">
        <f t="shared" si="99"/>
        <v>4</v>
      </c>
      <c r="X196" s="138">
        <f t="shared" si="99"/>
        <v>4</v>
      </c>
      <c r="Y196" s="138">
        <f t="shared" si="99"/>
        <v>1</v>
      </c>
      <c r="Z196" s="138">
        <f t="shared" si="99"/>
        <v>3</v>
      </c>
      <c r="AA196" s="138">
        <f t="shared" si="99"/>
        <v>2</v>
      </c>
      <c r="AB196" s="138">
        <f t="shared" si="99"/>
        <v>1</v>
      </c>
      <c r="AC196" s="138">
        <f t="shared" si="99"/>
        <v>2</v>
      </c>
      <c r="AD196" s="138">
        <f t="shared" si="99"/>
        <v>1</v>
      </c>
      <c r="AE196" s="138">
        <f t="shared" si="95"/>
        <v>2</v>
      </c>
      <c r="AF196" s="138">
        <f t="shared" si="95"/>
        <v>3</v>
      </c>
      <c r="AG196" s="138">
        <f t="shared" si="102"/>
        <v>3.1666666666666665</v>
      </c>
      <c r="AH196" s="138"/>
      <c r="AI196" s="138">
        <f t="shared" si="103"/>
        <v>38</v>
      </c>
      <c r="AJ196" s="144"/>
      <c r="AK196" s="196">
        <f t="shared" si="111"/>
        <v>2.6130730743999266</v>
      </c>
      <c r="AL196" s="198">
        <f t="shared" si="104"/>
        <v>99.296776827197206</v>
      </c>
      <c r="AM196" s="197"/>
      <c r="AN196" s="196">
        <f t="shared" si="105"/>
        <v>183.11307307439992</v>
      </c>
      <c r="AO196" s="198">
        <f t="shared" si="106"/>
        <v>6958.2967768271974</v>
      </c>
      <c r="AP196" s="199">
        <f t="shared" si="107"/>
        <v>2.2599999999999998</v>
      </c>
      <c r="AQ196" s="200">
        <f t="shared" si="108"/>
        <v>85.88</v>
      </c>
      <c r="AR196" s="144"/>
      <c r="AS196" s="201">
        <f t="shared" si="109"/>
        <v>182.76</v>
      </c>
      <c r="AT196" s="202">
        <f t="shared" si="110"/>
        <v>6944.8799999999992</v>
      </c>
      <c r="AU196" s="144"/>
      <c r="AV196" s="144"/>
      <c r="AW196" s="144"/>
      <c r="AX196" s="144"/>
      <c r="AY196" s="144"/>
    </row>
    <row r="197" spans="1:51" ht="12" customHeight="1">
      <c r="A197" s="149" t="str">
        <f t="shared" si="100"/>
        <v>Grays Harbor WUTCRolloffHAUL40-CP</v>
      </c>
      <c r="B197" s="149">
        <f t="shared" si="98"/>
        <v>1</v>
      </c>
      <c r="C197" s="193" t="s">
        <v>575</v>
      </c>
      <c r="D197" s="193" t="s">
        <v>576</v>
      </c>
      <c r="E197" s="137">
        <v>298</v>
      </c>
      <c r="F197" s="137">
        <v>298</v>
      </c>
      <c r="G197" s="138">
        <v>1192</v>
      </c>
      <c r="H197" s="138">
        <v>1192</v>
      </c>
      <c r="I197" s="138">
        <v>1192</v>
      </c>
      <c r="J197" s="138">
        <v>1192</v>
      </c>
      <c r="K197" s="138">
        <v>1192</v>
      </c>
      <c r="L197" s="138">
        <v>1192</v>
      </c>
      <c r="M197" s="138">
        <v>894</v>
      </c>
      <c r="N197" s="138">
        <v>1192</v>
      </c>
      <c r="O197" s="138">
        <v>894</v>
      </c>
      <c r="P197" s="138">
        <v>1192</v>
      </c>
      <c r="Q197" s="138">
        <v>894</v>
      </c>
      <c r="R197" s="138">
        <v>894</v>
      </c>
      <c r="S197" s="139">
        <f t="shared" si="101"/>
        <v>13112</v>
      </c>
      <c r="T197" s="144"/>
      <c r="U197" s="138">
        <f t="shared" ref="U197:AD212" si="112">IFERROR(G197/$E197,0)</f>
        <v>4</v>
      </c>
      <c r="V197" s="138">
        <f t="shared" si="112"/>
        <v>4</v>
      </c>
      <c r="W197" s="138">
        <f t="shared" si="112"/>
        <v>4</v>
      </c>
      <c r="X197" s="138">
        <f t="shared" si="112"/>
        <v>4</v>
      </c>
      <c r="Y197" s="138">
        <f t="shared" si="112"/>
        <v>4</v>
      </c>
      <c r="Z197" s="138">
        <f t="shared" si="112"/>
        <v>4</v>
      </c>
      <c r="AA197" s="138">
        <f t="shared" si="112"/>
        <v>3</v>
      </c>
      <c r="AB197" s="138">
        <f t="shared" si="112"/>
        <v>4</v>
      </c>
      <c r="AC197" s="138">
        <f t="shared" si="112"/>
        <v>3</v>
      </c>
      <c r="AD197" s="138">
        <f t="shared" si="112"/>
        <v>4</v>
      </c>
      <c r="AE197" s="138">
        <f t="shared" si="95"/>
        <v>3</v>
      </c>
      <c r="AF197" s="138">
        <f t="shared" si="95"/>
        <v>3</v>
      </c>
      <c r="AG197" s="138">
        <f t="shared" si="102"/>
        <v>3.6666666666666665</v>
      </c>
      <c r="AH197" s="138"/>
      <c r="AI197" s="138">
        <f t="shared" si="103"/>
        <v>44</v>
      </c>
      <c r="AJ197" s="144"/>
      <c r="AK197" s="196">
        <f t="shared" si="111"/>
        <v>4.31410402310902</v>
      </c>
      <c r="AL197" s="198">
        <f t="shared" si="104"/>
        <v>189.82057701679688</v>
      </c>
      <c r="AM197" s="197"/>
      <c r="AN197" s="196">
        <f t="shared" si="105"/>
        <v>302.314104023109</v>
      </c>
      <c r="AO197" s="198">
        <f t="shared" si="106"/>
        <v>13301.820577016795</v>
      </c>
      <c r="AP197" s="199">
        <f t="shared" si="107"/>
        <v>3.73</v>
      </c>
      <c r="AQ197" s="200">
        <f t="shared" si="108"/>
        <v>164.12</v>
      </c>
      <c r="AR197" s="144"/>
      <c r="AS197" s="201">
        <f t="shared" si="109"/>
        <v>301.73</v>
      </c>
      <c r="AT197" s="202">
        <f t="shared" si="110"/>
        <v>13276.12</v>
      </c>
      <c r="AU197" s="144"/>
      <c r="AV197" s="144"/>
      <c r="AW197" s="144"/>
      <c r="AX197" s="144"/>
      <c r="AY197" s="144"/>
    </row>
    <row r="198" spans="1:51" ht="12" customHeight="1">
      <c r="A198" s="149" t="str">
        <f t="shared" si="100"/>
        <v>Grays Harbor WUTCRolloffHAUL40-RO</v>
      </c>
      <c r="B198" s="149">
        <f t="shared" si="98"/>
        <v>1</v>
      </c>
      <c r="C198" s="193" t="s">
        <v>577</v>
      </c>
      <c r="D198" s="193" t="s">
        <v>578</v>
      </c>
      <c r="E198" s="137">
        <v>200</v>
      </c>
      <c r="F198" s="137">
        <v>200</v>
      </c>
      <c r="G198" s="138">
        <v>3600</v>
      </c>
      <c r="H198" s="138">
        <v>5200</v>
      </c>
      <c r="I198" s="138">
        <v>1400</v>
      </c>
      <c r="J198" s="138">
        <v>800</v>
      </c>
      <c r="K198" s="138">
        <v>1400</v>
      </c>
      <c r="L198" s="138">
        <v>1400</v>
      </c>
      <c r="M198" s="138">
        <v>1400</v>
      </c>
      <c r="N198" s="138">
        <v>1200</v>
      </c>
      <c r="O198" s="138">
        <v>1200</v>
      </c>
      <c r="P198" s="138">
        <v>1400</v>
      </c>
      <c r="Q198" s="138">
        <v>1000</v>
      </c>
      <c r="R198" s="138">
        <v>1400</v>
      </c>
      <c r="S198" s="139">
        <f t="shared" si="101"/>
        <v>21400</v>
      </c>
      <c r="T198" s="144"/>
      <c r="U198" s="138">
        <f t="shared" si="112"/>
        <v>18</v>
      </c>
      <c r="V198" s="138">
        <f t="shared" si="112"/>
        <v>26</v>
      </c>
      <c r="W198" s="138">
        <f t="shared" si="112"/>
        <v>7</v>
      </c>
      <c r="X198" s="138">
        <f t="shared" si="112"/>
        <v>4</v>
      </c>
      <c r="Y198" s="138">
        <f t="shared" si="112"/>
        <v>7</v>
      </c>
      <c r="Z198" s="138">
        <f t="shared" si="112"/>
        <v>7</v>
      </c>
      <c r="AA198" s="138">
        <f t="shared" si="112"/>
        <v>7</v>
      </c>
      <c r="AB198" s="138">
        <f t="shared" si="112"/>
        <v>6</v>
      </c>
      <c r="AC198" s="138">
        <f t="shared" si="112"/>
        <v>6</v>
      </c>
      <c r="AD198" s="138">
        <f t="shared" si="112"/>
        <v>7</v>
      </c>
      <c r="AE198" s="138">
        <f t="shared" si="95"/>
        <v>5</v>
      </c>
      <c r="AF198" s="138">
        <f t="shared" si="95"/>
        <v>7</v>
      </c>
      <c r="AG198" s="138">
        <f t="shared" si="102"/>
        <v>8.9166666666666661</v>
      </c>
      <c r="AH198" s="138"/>
      <c r="AI198" s="138">
        <f t="shared" si="103"/>
        <v>107</v>
      </c>
      <c r="AJ198" s="144"/>
      <c r="AK198" s="196">
        <f t="shared" si="111"/>
        <v>2.8953718275899463</v>
      </c>
      <c r="AL198" s="198">
        <f t="shared" si="104"/>
        <v>309.80478555212426</v>
      </c>
      <c r="AM198" s="197"/>
      <c r="AN198" s="196">
        <f t="shared" si="105"/>
        <v>202.89537182758994</v>
      </c>
      <c r="AO198" s="198">
        <f t="shared" si="106"/>
        <v>21709.804785552125</v>
      </c>
      <c r="AP198" s="199">
        <f t="shared" si="107"/>
        <v>2.5</v>
      </c>
      <c r="AQ198" s="200">
        <f t="shared" si="108"/>
        <v>267.5</v>
      </c>
      <c r="AR198" s="144"/>
      <c r="AS198" s="201">
        <f t="shared" si="109"/>
        <v>202.5</v>
      </c>
      <c r="AT198" s="202">
        <f t="shared" si="110"/>
        <v>21667.5</v>
      </c>
      <c r="AU198" s="144"/>
      <c r="AV198" s="144"/>
      <c r="AW198" s="144"/>
      <c r="AX198" s="144"/>
      <c r="AY198" s="144"/>
    </row>
    <row r="199" spans="1:51" ht="12" customHeight="1">
      <c r="A199" s="149" t="str">
        <f t="shared" si="100"/>
        <v>Grays Harbor WUTCRolloffHAUL40TEMP-RO</v>
      </c>
      <c r="B199" s="149">
        <f t="shared" si="98"/>
        <v>1</v>
      </c>
      <c r="C199" s="193" t="s">
        <v>579</v>
      </c>
      <c r="D199" s="193" t="s">
        <v>580</v>
      </c>
      <c r="E199" s="137">
        <v>228.4</v>
      </c>
      <c r="F199" s="137">
        <v>228.4</v>
      </c>
      <c r="G199" s="138">
        <v>1142</v>
      </c>
      <c r="H199" s="138">
        <v>1598.8</v>
      </c>
      <c r="I199" s="138">
        <v>685.2</v>
      </c>
      <c r="J199" s="138">
        <v>2055.6</v>
      </c>
      <c r="K199" s="138">
        <v>913.6</v>
      </c>
      <c r="L199" s="138">
        <v>2512.4</v>
      </c>
      <c r="M199" s="138">
        <v>1598.8</v>
      </c>
      <c r="N199" s="138">
        <v>228.4</v>
      </c>
      <c r="O199" s="138">
        <v>0</v>
      </c>
      <c r="P199" s="138">
        <v>0</v>
      </c>
      <c r="Q199" s="138">
        <v>228.4</v>
      </c>
      <c r="R199" s="138">
        <v>228.4</v>
      </c>
      <c r="S199" s="139">
        <f t="shared" si="101"/>
        <v>11191.599999999999</v>
      </c>
      <c r="T199" s="144"/>
      <c r="U199" s="138">
        <f t="shared" si="112"/>
        <v>5</v>
      </c>
      <c r="V199" s="138">
        <f t="shared" si="112"/>
        <v>7</v>
      </c>
      <c r="W199" s="138">
        <f t="shared" si="112"/>
        <v>3</v>
      </c>
      <c r="X199" s="138">
        <f t="shared" si="112"/>
        <v>9</v>
      </c>
      <c r="Y199" s="138">
        <f t="shared" si="112"/>
        <v>4</v>
      </c>
      <c r="Z199" s="138">
        <f t="shared" si="112"/>
        <v>11</v>
      </c>
      <c r="AA199" s="138">
        <f t="shared" si="112"/>
        <v>7</v>
      </c>
      <c r="AB199" s="138">
        <f t="shared" si="112"/>
        <v>1</v>
      </c>
      <c r="AC199" s="138">
        <f t="shared" si="112"/>
        <v>0</v>
      </c>
      <c r="AD199" s="138">
        <f t="shared" si="112"/>
        <v>0</v>
      </c>
      <c r="AE199" s="138">
        <f t="shared" si="95"/>
        <v>1</v>
      </c>
      <c r="AF199" s="138">
        <f t="shared" si="95"/>
        <v>1</v>
      </c>
      <c r="AG199" s="138">
        <f t="shared" si="102"/>
        <v>4.083333333333333</v>
      </c>
      <c r="AH199" s="138"/>
      <c r="AI199" s="138">
        <f t="shared" si="103"/>
        <v>49</v>
      </c>
      <c r="AJ199" s="144"/>
      <c r="AK199" s="196">
        <f t="shared" si="111"/>
        <v>3.3065146271077186</v>
      </c>
      <c r="AL199" s="198">
        <f t="shared" si="104"/>
        <v>162.01921672827822</v>
      </c>
      <c r="AM199" s="197"/>
      <c r="AN199" s="196">
        <f t="shared" si="105"/>
        <v>231.70651462710774</v>
      </c>
      <c r="AO199" s="198">
        <f t="shared" si="106"/>
        <v>11353.619216728279</v>
      </c>
      <c r="AP199" s="199">
        <f t="shared" si="107"/>
        <v>2.86</v>
      </c>
      <c r="AQ199" s="200">
        <f t="shared" si="108"/>
        <v>140.13999999999999</v>
      </c>
      <c r="AR199" s="144"/>
      <c r="AS199" s="201">
        <f t="shared" si="109"/>
        <v>231.26000000000002</v>
      </c>
      <c r="AT199" s="202">
        <f t="shared" si="110"/>
        <v>11331.740000000002</v>
      </c>
      <c r="AU199" s="144"/>
      <c r="AV199" s="144"/>
      <c r="AW199" s="144"/>
      <c r="AX199" s="144"/>
      <c r="AY199" s="144"/>
    </row>
    <row r="200" spans="1:51" ht="12" customHeight="1">
      <c r="A200" s="142" t="str">
        <f t="shared" si="100"/>
        <v>Grays Harbor WUTCRolloffCLEAN20-RO</v>
      </c>
      <c r="B200" s="142">
        <f t="shared" si="98"/>
        <v>1</v>
      </c>
      <c r="C200" s="209" t="s">
        <v>581</v>
      </c>
      <c r="D200" s="209" t="s">
        <v>582</v>
      </c>
      <c r="E200" s="137">
        <v>130</v>
      </c>
      <c r="F200" s="137">
        <v>130</v>
      </c>
      <c r="G200" s="138">
        <v>0</v>
      </c>
      <c r="H200" s="138">
        <v>0</v>
      </c>
      <c r="I200" s="138">
        <v>0</v>
      </c>
      <c r="J200" s="138">
        <v>0</v>
      </c>
      <c r="K200" s="138">
        <v>130</v>
      </c>
      <c r="L200" s="138">
        <v>0</v>
      </c>
      <c r="M200" s="138">
        <v>0</v>
      </c>
      <c r="N200" s="138">
        <v>0</v>
      </c>
      <c r="O200" s="138">
        <v>0</v>
      </c>
      <c r="P200" s="138">
        <v>0</v>
      </c>
      <c r="Q200" s="138">
        <v>0</v>
      </c>
      <c r="R200" s="138">
        <v>0</v>
      </c>
      <c r="S200" s="139">
        <f t="shared" ref="S200:S219" si="113">+SUM(G200:R200)</f>
        <v>130</v>
      </c>
      <c r="T200" s="144"/>
      <c r="U200" s="138">
        <f t="shared" si="112"/>
        <v>0</v>
      </c>
      <c r="V200" s="138">
        <f t="shared" si="112"/>
        <v>0</v>
      </c>
      <c r="W200" s="138">
        <f t="shared" si="112"/>
        <v>0</v>
      </c>
      <c r="X200" s="138">
        <f t="shared" si="112"/>
        <v>0</v>
      </c>
      <c r="Y200" s="138">
        <f t="shared" si="112"/>
        <v>1</v>
      </c>
      <c r="Z200" s="138">
        <f t="shared" si="112"/>
        <v>0</v>
      </c>
      <c r="AA200" s="138">
        <f t="shared" si="112"/>
        <v>0</v>
      </c>
      <c r="AB200" s="138">
        <f t="shared" si="112"/>
        <v>0</v>
      </c>
      <c r="AC200" s="138">
        <f t="shared" si="112"/>
        <v>0</v>
      </c>
      <c r="AD200" s="138">
        <f t="shared" si="112"/>
        <v>0</v>
      </c>
      <c r="AE200" s="138">
        <f t="shared" si="95"/>
        <v>0</v>
      </c>
      <c r="AF200" s="138">
        <f t="shared" si="95"/>
        <v>0</v>
      </c>
      <c r="AG200" s="138"/>
      <c r="AH200" s="138"/>
      <c r="AI200" s="138">
        <f t="shared" si="103"/>
        <v>1</v>
      </c>
      <c r="AJ200" s="144"/>
      <c r="AK200" s="196">
        <f t="shared" si="111"/>
        <v>1.8819916879334651</v>
      </c>
      <c r="AL200" s="198">
        <f t="shared" si="104"/>
        <v>1.8819916879334651</v>
      </c>
      <c r="AM200" s="197"/>
      <c r="AN200" s="196">
        <f t="shared" si="105"/>
        <v>131.88199168793346</v>
      </c>
      <c r="AO200" s="198">
        <f t="shared" si="106"/>
        <v>131.88199168793346</v>
      </c>
      <c r="AP200" s="199">
        <f t="shared" si="107"/>
        <v>1.63</v>
      </c>
      <c r="AQ200" s="200">
        <f t="shared" si="108"/>
        <v>1.63</v>
      </c>
      <c r="AR200" s="144"/>
      <c r="AS200" s="201">
        <f t="shared" si="109"/>
        <v>131.63</v>
      </c>
      <c r="AT200" s="202">
        <f t="shared" si="110"/>
        <v>131.63</v>
      </c>
      <c r="AU200" s="144"/>
      <c r="AV200" s="144"/>
      <c r="AW200" s="144"/>
      <c r="AX200" s="144"/>
      <c r="AY200" s="144"/>
    </row>
    <row r="201" spans="1:51" ht="12" customHeight="1">
      <c r="A201" s="142" t="str">
        <f t="shared" si="100"/>
        <v>Grays Harbor WUTCRolloffDEL20-RO</v>
      </c>
      <c r="B201" s="142">
        <f t="shared" si="98"/>
        <v>1</v>
      </c>
      <c r="C201" s="209" t="s">
        <v>583</v>
      </c>
      <c r="D201" s="209" t="s">
        <v>584</v>
      </c>
      <c r="E201" s="137">
        <v>139.19999999999999</v>
      </c>
      <c r="F201" s="137">
        <v>139.19999999999999</v>
      </c>
      <c r="G201" s="138">
        <v>0</v>
      </c>
      <c r="H201" s="138">
        <v>0</v>
      </c>
      <c r="I201" s="138">
        <v>0</v>
      </c>
      <c r="J201" s="138">
        <v>0</v>
      </c>
      <c r="K201" s="138">
        <v>0</v>
      </c>
      <c r="L201" s="138">
        <v>0</v>
      </c>
      <c r="M201" s="138">
        <v>0</v>
      </c>
      <c r="N201" s="138">
        <v>75</v>
      </c>
      <c r="O201" s="138">
        <v>0</v>
      </c>
      <c r="P201" s="138">
        <v>139.19999999999999</v>
      </c>
      <c r="Q201" s="138">
        <v>0</v>
      </c>
      <c r="R201" s="138">
        <v>0</v>
      </c>
      <c r="S201" s="139">
        <f t="shared" si="113"/>
        <v>214.2</v>
      </c>
      <c r="T201" s="144"/>
      <c r="U201" s="138">
        <f t="shared" si="112"/>
        <v>0</v>
      </c>
      <c r="V201" s="138">
        <f t="shared" si="112"/>
        <v>0</v>
      </c>
      <c r="W201" s="138">
        <f t="shared" si="112"/>
        <v>0</v>
      </c>
      <c r="X201" s="138">
        <f t="shared" si="112"/>
        <v>0</v>
      </c>
      <c r="Y201" s="138">
        <f t="shared" si="112"/>
        <v>0</v>
      </c>
      <c r="Z201" s="138">
        <f t="shared" si="112"/>
        <v>0</v>
      </c>
      <c r="AA201" s="138">
        <f t="shared" si="112"/>
        <v>0</v>
      </c>
      <c r="AB201" s="138">
        <f t="shared" si="112"/>
        <v>0.53879310344827591</v>
      </c>
      <c r="AC201" s="138">
        <f t="shared" si="112"/>
        <v>0</v>
      </c>
      <c r="AD201" s="138">
        <f t="shared" si="112"/>
        <v>1</v>
      </c>
      <c r="AE201" s="138">
        <f t="shared" si="95"/>
        <v>0</v>
      </c>
      <c r="AF201" s="138">
        <f t="shared" si="95"/>
        <v>0</v>
      </c>
      <c r="AG201" s="138"/>
      <c r="AH201" s="138"/>
      <c r="AI201" s="138">
        <f t="shared" si="103"/>
        <v>1.5387931034482758</v>
      </c>
      <c r="AJ201" s="144"/>
      <c r="AK201" s="196">
        <f t="shared" si="111"/>
        <v>2.0151787920026023</v>
      </c>
      <c r="AL201" s="198">
        <f t="shared" si="104"/>
        <v>3.1009432273488318</v>
      </c>
      <c r="AM201" s="197"/>
      <c r="AN201" s="196">
        <f t="shared" si="105"/>
        <v>141.2151787920026</v>
      </c>
      <c r="AO201" s="198">
        <f t="shared" si="106"/>
        <v>217.30094322734882</v>
      </c>
      <c r="AP201" s="199">
        <f t="shared" si="107"/>
        <v>1.74</v>
      </c>
      <c r="AQ201" s="200">
        <f t="shared" si="108"/>
        <v>2.6774999999999998</v>
      </c>
      <c r="AR201" s="144"/>
      <c r="AS201" s="201">
        <f t="shared" si="109"/>
        <v>140.94</v>
      </c>
      <c r="AT201" s="202">
        <f t="shared" si="110"/>
        <v>216.8775</v>
      </c>
      <c r="AU201" s="144"/>
      <c r="AV201" s="144"/>
      <c r="AW201" s="144"/>
      <c r="AX201" s="144"/>
      <c r="AY201" s="144"/>
    </row>
    <row r="202" spans="1:51" ht="12" customHeight="1">
      <c r="A202" s="142" t="str">
        <f t="shared" si="100"/>
        <v>Grays Harbor WUTCRolloffDEL20TEMP-RO</v>
      </c>
      <c r="B202" s="142">
        <f t="shared" si="98"/>
        <v>1</v>
      </c>
      <c r="C202" s="209" t="s">
        <v>585</v>
      </c>
      <c r="D202" s="209" t="s">
        <v>586</v>
      </c>
      <c r="E202" s="137">
        <v>139.19999999999999</v>
      </c>
      <c r="F202" s="137">
        <v>139.19999999999999</v>
      </c>
      <c r="G202" s="138">
        <v>1113.5999999999999</v>
      </c>
      <c r="H202" s="138">
        <v>974.4</v>
      </c>
      <c r="I202" s="138">
        <v>1252.8</v>
      </c>
      <c r="J202" s="138">
        <v>1113.5999999999999</v>
      </c>
      <c r="K202" s="138">
        <v>1252.8</v>
      </c>
      <c r="L202" s="138">
        <v>1531.2</v>
      </c>
      <c r="M202" s="138">
        <v>910.2</v>
      </c>
      <c r="N202" s="138">
        <v>696</v>
      </c>
      <c r="O202" s="138">
        <v>417.6</v>
      </c>
      <c r="P202" s="138">
        <v>556.79999999999995</v>
      </c>
      <c r="Q202" s="138">
        <v>835.2</v>
      </c>
      <c r="R202" s="138">
        <v>835.2</v>
      </c>
      <c r="S202" s="139">
        <f t="shared" si="113"/>
        <v>11489.4</v>
      </c>
      <c r="T202" s="144"/>
      <c r="U202" s="138">
        <f t="shared" si="112"/>
        <v>8</v>
      </c>
      <c r="V202" s="138">
        <f t="shared" si="112"/>
        <v>7</v>
      </c>
      <c r="W202" s="138">
        <f t="shared" si="112"/>
        <v>9</v>
      </c>
      <c r="X202" s="138">
        <f t="shared" si="112"/>
        <v>8</v>
      </c>
      <c r="Y202" s="138">
        <f t="shared" si="112"/>
        <v>9</v>
      </c>
      <c r="Z202" s="138">
        <f t="shared" si="112"/>
        <v>11.000000000000002</v>
      </c>
      <c r="AA202" s="138">
        <f t="shared" si="112"/>
        <v>6.5387931034482767</v>
      </c>
      <c r="AB202" s="138">
        <f t="shared" si="112"/>
        <v>5</v>
      </c>
      <c r="AC202" s="138">
        <f t="shared" si="112"/>
        <v>3.0000000000000004</v>
      </c>
      <c r="AD202" s="138">
        <f t="shared" si="112"/>
        <v>4</v>
      </c>
      <c r="AE202" s="138">
        <f t="shared" si="95"/>
        <v>6.0000000000000009</v>
      </c>
      <c r="AF202" s="138">
        <f t="shared" si="95"/>
        <v>6.0000000000000009</v>
      </c>
      <c r="AG202" s="138"/>
      <c r="AH202" s="138"/>
      <c r="AI202" s="138">
        <f t="shared" si="103"/>
        <v>82.538793103448285</v>
      </c>
      <c r="AJ202" s="144"/>
      <c r="AK202" s="196">
        <f t="shared" si="111"/>
        <v>2.0151787920026023</v>
      </c>
      <c r="AL202" s="198">
        <f t="shared" si="104"/>
        <v>166.33042537955964</v>
      </c>
      <c r="AM202" s="197"/>
      <c r="AN202" s="196">
        <f t="shared" si="105"/>
        <v>141.2151787920026</v>
      </c>
      <c r="AO202" s="198">
        <f t="shared" si="106"/>
        <v>11655.730425379561</v>
      </c>
      <c r="AP202" s="199">
        <f t="shared" si="107"/>
        <v>1.74</v>
      </c>
      <c r="AQ202" s="200">
        <f t="shared" si="108"/>
        <v>143.61750000000001</v>
      </c>
      <c r="AR202" s="144"/>
      <c r="AS202" s="201">
        <f t="shared" si="109"/>
        <v>140.94</v>
      </c>
      <c r="AT202" s="202">
        <f t="shared" si="110"/>
        <v>11633.017500000002</v>
      </c>
      <c r="AU202" s="144"/>
      <c r="AV202" s="144"/>
      <c r="AW202" s="144"/>
      <c r="AX202" s="144"/>
      <c r="AY202" s="144"/>
    </row>
    <row r="203" spans="1:51" ht="12" customHeight="1">
      <c r="A203" s="142" t="str">
        <f t="shared" si="100"/>
        <v>Grays Harbor WUTCRolloffDEL30-RO</v>
      </c>
      <c r="B203" s="142">
        <f t="shared" si="98"/>
        <v>1</v>
      </c>
      <c r="C203" s="209" t="s">
        <v>587</v>
      </c>
      <c r="D203" s="209" t="s">
        <v>588</v>
      </c>
      <c r="E203" s="137">
        <v>139.19999999999999</v>
      </c>
      <c r="F203" s="137">
        <v>139.19999999999999</v>
      </c>
      <c r="G203" s="138">
        <v>0</v>
      </c>
      <c r="H203" s="138">
        <v>0</v>
      </c>
      <c r="I203" s="138">
        <v>139.19999999999999</v>
      </c>
      <c r="J203" s="138">
        <v>139.19999999999999</v>
      </c>
      <c r="K203" s="138">
        <v>0</v>
      </c>
      <c r="L203" s="138">
        <v>0</v>
      </c>
      <c r="M203" s="138">
        <v>0</v>
      </c>
      <c r="N203" s="138">
        <v>0</v>
      </c>
      <c r="O203" s="138">
        <v>0</v>
      </c>
      <c r="P203" s="138">
        <v>0</v>
      </c>
      <c r="Q203" s="138">
        <v>75</v>
      </c>
      <c r="R203" s="138">
        <v>0</v>
      </c>
      <c r="S203" s="139">
        <f t="shared" si="113"/>
        <v>353.4</v>
      </c>
      <c r="T203" s="144"/>
      <c r="U203" s="138">
        <f t="shared" si="112"/>
        <v>0</v>
      </c>
      <c r="V203" s="138">
        <f t="shared" si="112"/>
        <v>0</v>
      </c>
      <c r="W203" s="138">
        <f t="shared" si="112"/>
        <v>1</v>
      </c>
      <c r="X203" s="138">
        <f t="shared" si="112"/>
        <v>1</v>
      </c>
      <c r="Y203" s="138">
        <f t="shared" si="112"/>
        <v>0</v>
      </c>
      <c r="Z203" s="138">
        <f t="shared" si="112"/>
        <v>0</v>
      </c>
      <c r="AA203" s="138">
        <f t="shared" si="112"/>
        <v>0</v>
      </c>
      <c r="AB203" s="138">
        <f t="shared" si="112"/>
        <v>0</v>
      </c>
      <c r="AC203" s="138">
        <f t="shared" si="112"/>
        <v>0</v>
      </c>
      <c r="AD203" s="138">
        <f t="shared" si="112"/>
        <v>0</v>
      </c>
      <c r="AE203" s="138">
        <f t="shared" si="95"/>
        <v>0.53879310344827591</v>
      </c>
      <c r="AF203" s="138">
        <f t="shared" si="95"/>
        <v>0</v>
      </c>
      <c r="AG203" s="138"/>
      <c r="AH203" s="138"/>
      <c r="AI203" s="138">
        <f t="shared" si="103"/>
        <v>2.5387931034482758</v>
      </c>
      <c r="AJ203" s="144"/>
      <c r="AK203" s="196">
        <f t="shared" si="111"/>
        <v>2.0151787920026023</v>
      </c>
      <c r="AL203" s="198">
        <f t="shared" si="104"/>
        <v>5.1161220193514341</v>
      </c>
      <c r="AM203" s="197"/>
      <c r="AN203" s="196">
        <f t="shared" si="105"/>
        <v>141.2151787920026</v>
      </c>
      <c r="AO203" s="198">
        <f t="shared" si="106"/>
        <v>358.51612201935143</v>
      </c>
      <c r="AP203" s="199">
        <f t="shared" si="107"/>
        <v>1.74</v>
      </c>
      <c r="AQ203" s="200">
        <f t="shared" si="108"/>
        <v>4.4174999999999995</v>
      </c>
      <c r="AR203" s="144"/>
      <c r="AS203" s="201">
        <f t="shared" si="109"/>
        <v>140.94</v>
      </c>
      <c r="AT203" s="202">
        <f t="shared" si="110"/>
        <v>357.8175</v>
      </c>
      <c r="AU203" s="144"/>
      <c r="AV203" s="144"/>
      <c r="AW203" s="144"/>
      <c r="AX203" s="144"/>
      <c r="AY203" s="144"/>
    </row>
    <row r="204" spans="1:51" ht="12" customHeight="1">
      <c r="A204" s="142" t="str">
        <f t="shared" si="100"/>
        <v>Grays Harbor WUTCRolloffDEL30TEMP-RO</v>
      </c>
      <c r="B204" s="142">
        <f t="shared" si="98"/>
        <v>1</v>
      </c>
      <c r="C204" s="209" t="s">
        <v>589</v>
      </c>
      <c r="D204" s="209" t="s">
        <v>590</v>
      </c>
      <c r="E204" s="137">
        <v>139.19999999999999</v>
      </c>
      <c r="F204" s="137">
        <v>139.19999999999999</v>
      </c>
      <c r="G204" s="138">
        <v>1531.2</v>
      </c>
      <c r="H204" s="138">
        <v>1531.2</v>
      </c>
      <c r="I204" s="138">
        <v>835.2</v>
      </c>
      <c r="J204" s="138">
        <v>835.2</v>
      </c>
      <c r="K204" s="138">
        <v>696</v>
      </c>
      <c r="L204" s="138">
        <v>974.4</v>
      </c>
      <c r="M204" s="138">
        <v>417.6</v>
      </c>
      <c r="N204" s="138">
        <v>278.39999999999998</v>
      </c>
      <c r="O204" s="138">
        <v>139.19999999999999</v>
      </c>
      <c r="P204" s="138">
        <v>139.19999999999999</v>
      </c>
      <c r="Q204" s="138">
        <v>696</v>
      </c>
      <c r="R204" s="138">
        <v>556.79999999999995</v>
      </c>
      <c r="S204" s="139">
        <f t="shared" si="113"/>
        <v>8630.4</v>
      </c>
      <c r="T204" s="144"/>
      <c r="U204" s="138">
        <f t="shared" si="112"/>
        <v>11.000000000000002</v>
      </c>
      <c r="V204" s="138">
        <f t="shared" si="112"/>
        <v>11.000000000000002</v>
      </c>
      <c r="W204" s="138">
        <f t="shared" si="112"/>
        <v>6.0000000000000009</v>
      </c>
      <c r="X204" s="138">
        <f t="shared" si="112"/>
        <v>6.0000000000000009</v>
      </c>
      <c r="Y204" s="138">
        <f t="shared" si="112"/>
        <v>5</v>
      </c>
      <c r="Z204" s="138">
        <f t="shared" si="112"/>
        <v>7</v>
      </c>
      <c r="AA204" s="138">
        <f t="shared" si="112"/>
        <v>3.0000000000000004</v>
      </c>
      <c r="AB204" s="138">
        <f t="shared" si="112"/>
        <v>2</v>
      </c>
      <c r="AC204" s="138">
        <f t="shared" si="112"/>
        <v>1</v>
      </c>
      <c r="AD204" s="138">
        <f t="shared" si="112"/>
        <v>1</v>
      </c>
      <c r="AE204" s="138">
        <f t="shared" si="95"/>
        <v>5</v>
      </c>
      <c r="AF204" s="138">
        <f t="shared" si="95"/>
        <v>4</v>
      </c>
      <c r="AG204" s="138"/>
      <c r="AH204" s="138"/>
      <c r="AI204" s="138">
        <f t="shared" si="103"/>
        <v>62.000000000000007</v>
      </c>
      <c r="AJ204" s="144"/>
      <c r="AK204" s="196">
        <f t="shared" si="111"/>
        <v>2.0151787920026023</v>
      </c>
      <c r="AL204" s="198">
        <f t="shared" si="104"/>
        <v>124.94108510416136</v>
      </c>
      <c r="AM204" s="197"/>
      <c r="AN204" s="196">
        <f t="shared" si="105"/>
        <v>141.2151787920026</v>
      </c>
      <c r="AO204" s="198">
        <f t="shared" si="106"/>
        <v>8755.3410851041626</v>
      </c>
      <c r="AP204" s="199">
        <f t="shared" si="107"/>
        <v>1.74</v>
      </c>
      <c r="AQ204" s="200">
        <f t="shared" si="108"/>
        <v>107.88000000000001</v>
      </c>
      <c r="AR204" s="144"/>
      <c r="AS204" s="201">
        <f t="shared" si="109"/>
        <v>140.94</v>
      </c>
      <c r="AT204" s="202">
        <f t="shared" si="110"/>
        <v>8738.2800000000007</v>
      </c>
      <c r="AU204" s="144"/>
      <c r="AV204" s="144"/>
      <c r="AW204" s="144"/>
      <c r="AX204" s="144"/>
      <c r="AY204" s="144"/>
    </row>
    <row r="205" spans="1:51" ht="12" customHeight="1">
      <c r="A205" s="142" t="str">
        <f t="shared" si="100"/>
        <v>Grays Harbor WUTCRolloffDEL40-RO</v>
      </c>
      <c r="B205" s="142">
        <f t="shared" si="98"/>
        <v>1</v>
      </c>
      <c r="C205" s="209" t="s">
        <v>591</v>
      </c>
      <c r="D205" s="209" t="s">
        <v>592</v>
      </c>
      <c r="E205" s="137">
        <v>139.19999999999999</v>
      </c>
      <c r="F205" s="137">
        <v>139.19999999999999</v>
      </c>
      <c r="G205" s="138">
        <v>0</v>
      </c>
      <c r="H205" s="138">
        <v>139.19999999999999</v>
      </c>
      <c r="I205" s="138">
        <v>139.19999999999999</v>
      </c>
      <c r="J205" s="138">
        <v>0</v>
      </c>
      <c r="K205" s="138">
        <v>0</v>
      </c>
      <c r="L205" s="138">
        <v>0</v>
      </c>
      <c r="M205" s="138">
        <v>0</v>
      </c>
      <c r="N205" s="138">
        <v>0</v>
      </c>
      <c r="O205" s="138">
        <v>0</v>
      </c>
      <c r="P205" s="138">
        <v>0</v>
      </c>
      <c r="Q205" s="138">
        <v>75</v>
      </c>
      <c r="R205" s="138">
        <v>0</v>
      </c>
      <c r="S205" s="139">
        <f t="shared" si="113"/>
        <v>353.4</v>
      </c>
      <c r="T205" s="144"/>
      <c r="U205" s="138">
        <f t="shared" si="112"/>
        <v>0</v>
      </c>
      <c r="V205" s="138">
        <f t="shared" si="112"/>
        <v>1</v>
      </c>
      <c r="W205" s="138">
        <f t="shared" si="112"/>
        <v>1</v>
      </c>
      <c r="X205" s="138">
        <f t="shared" si="112"/>
        <v>0</v>
      </c>
      <c r="Y205" s="138">
        <f t="shared" si="112"/>
        <v>0</v>
      </c>
      <c r="Z205" s="138">
        <f t="shared" si="112"/>
        <v>0</v>
      </c>
      <c r="AA205" s="138">
        <f t="shared" si="112"/>
        <v>0</v>
      </c>
      <c r="AB205" s="138">
        <f t="shared" si="112"/>
        <v>0</v>
      </c>
      <c r="AC205" s="138">
        <f t="shared" si="112"/>
        <v>0</v>
      </c>
      <c r="AD205" s="138">
        <f t="shared" si="112"/>
        <v>0</v>
      </c>
      <c r="AE205" s="138">
        <f t="shared" si="95"/>
        <v>0.53879310344827591</v>
      </c>
      <c r="AF205" s="138">
        <f t="shared" si="95"/>
        <v>0</v>
      </c>
      <c r="AG205" s="138"/>
      <c r="AH205" s="138"/>
      <c r="AI205" s="138">
        <f t="shared" si="103"/>
        <v>2.5387931034482758</v>
      </c>
      <c r="AJ205" s="144"/>
      <c r="AK205" s="196">
        <f t="shared" si="111"/>
        <v>2.0151787920026023</v>
      </c>
      <c r="AL205" s="198">
        <f t="shared" si="104"/>
        <v>5.1161220193514341</v>
      </c>
      <c r="AM205" s="197"/>
      <c r="AN205" s="196">
        <f t="shared" si="105"/>
        <v>141.2151787920026</v>
      </c>
      <c r="AO205" s="198">
        <f t="shared" si="106"/>
        <v>358.51612201935143</v>
      </c>
      <c r="AP205" s="199">
        <f t="shared" si="107"/>
        <v>1.74</v>
      </c>
      <c r="AQ205" s="200">
        <f t="shared" si="108"/>
        <v>4.4174999999999995</v>
      </c>
      <c r="AR205" s="144"/>
      <c r="AS205" s="201">
        <f t="shared" si="109"/>
        <v>140.94</v>
      </c>
      <c r="AT205" s="202">
        <f t="shared" si="110"/>
        <v>357.8175</v>
      </c>
      <c r="AU205" s="144"/>
      <c r="AV205" s="144"/>
      <c r="AW205" s="144"/>
      <c r="AX205" s="144"/>
      <c r="AY205" s="144"/>
    </row>
    <row r="206" spans="1:51" ht="12" customHeight="1">
      <c r="A206" s="142" t="str">
        <f t="shared" si="100"/>
        <v>Grays Harbor WUTCRolloffDEL40TEMP-RO</v>
      </c>
      <c r="B206" s="142">
        <f t="shared" si="98"/>
        <v>1</v>
      </c>
      <c r="C206" s="209" t="s">
        <v>593</v>
      </c>
      <c r="D206" s="209" t="s">
        <v>594</v>
      </c>
      <c r="E206" s="137">
        <v>139.19999999999999</v>
      </c>
      <c r="F206" s="137">
        <v>139.19999999999999</v>
      </c>
      <c r="G206" s="138">
        <v>1531.2</v>
      </c>
      <c r="H206" s="138">
        <v>835.2</v>
      </c>
      <c r="I206" s="138">
        <v>696</v>
      </c>
      <c r="J206" s="138">
        <v>1392</v>
      </c>
      <c r="K206" s="138">
        <v>974.4</v>
      </c>
      <c r="L206" s="138">
        <v>417.6</v>
      </c>
      <c r="M206" s="138">
        <v>696</v>
      </c>
      <c r="N206" s="138">
        <v>417.6</v>
      </c>
      <c r="O206" s="138">
        <v>278.39999999999998</v>
      </c>
      <c r="P206" s="138">
        <v>278.39999999999998</v>
      </c>
      <c r="Q206" s="138">
        <v>0</v>
      </c>
      <c r="R206" s="138">
        <v>417.6</v>
      </c>
      <c r="S206" s="139">
        <f t="shared" si="113"/>
        <v>7934.4</v>
      </c>
      <c r="T206" s="144"/>
      <c r="U206" s="138">
        <f t="shared" si="112"/>
        <v>11.000000000000002</v>
      </c>
      <c r="V206" s="138">
        <f t="shared" si="112"/>
        <v>6.0000000000000009</v>
      </c>
      <c r="W206" s="138">
        <f t="shared" si="112"/>
        <v>5</v>
      </c>
      <c r="X206" s="138">
        <f t="shared" si="112"/>
        <v>10</v>
      </c>
      <c r="Y206" s="138">
        <f t="shared" si="112"/>
        <v>7</v>
      </c>
      <c r="Z206" s="138">
        <f t="shared" si="112"/>
        <v>3.0000000000000004</v>
      </c>
      <c r="AA206" s="138">
        <f t="shared" si="112"/>
        <v>5</v>
      </c>
      <c r="AB206" s="138">
        <f t="shared" si="112"/>
        <v>3.0000000000000004</v>
      </c>
      <c r="AC206" s="138">
        <f t="shared" si="112"/>
        <v>2</v>
      </c>
      <c r="AD206" s="138">
        <f t="shared" si="112"/>
        <v>2</v>
      </c>
      <c r="AE206" s="138">
        <f t="shared" si="95"/>
        <v>0</v>
      </c>
      <c r="AF206" s="138">
        <f t="shared" si="95"/>
        <v>3.0000000000000004</v>
      </c>
      <c r="AG206" s="138"/>
      <c r="AH206" s="138"/>
      <c r="AI206" s="138">
        <f t="shared" si="103"/>
        <v>57</v>
      </c>
      <c r="AJ206" s="144"/>
      <c r="AK206" s="196">
        <f t="shared" si="111"/>
        <v>2.0151787920026023</v>
      </c>
      <c r="AL206" s="198">
        <f t="shared" si="104"/>
        <v>114.86519114414833</v>
      </c>
      <c r="AM206" s="197"/>
      <c r="AN206" s="196">
        <f t="shared" si="105"/>
        <v>141.2151787920026</v>
      </c>
      <c r="AO206" s="198">
        <f t="shared" si="106"/>
        <v>8049.265191144148</v>
      </c>
      <c r="AP206" s="199">
        <f t="shared" si="107"/>
        <v>1.74</v>
      </c>
      <c r="AQ206" s="200">
        <f t="shared" si="108"/>
        <v>99.179999999999993</v>
      </c>
      <c r="AR206" s="144"/>
      <c r="AS206" s="201">
        <f t="shared" si="109"/>
        <v>140.94</v>
      </c>
      <c r="AT206" s="202">
        <f t="shared" si="110"/>
        <v>8033.58</v>
      </c>
      <c r="AU206" s="144"/>
      <c r="AV206" s="144"/>
      <c r="AW206" s="144"/>
      <c r="AX206" s="144"/>
      <c r="AY206" s="144"/>
    </row>
    <row r="207" spans="1:51" ht="12" customHeight="1">
      <c r="A207" s="142" t="str">
        <f t="shared" si="100"/>
        <v>Grays Harbor WUTCRolloffLIDRO</v>
      </c>
      <c r="B207" s="142">
        <f t="shared" si="98"/>
        <v>1</v>
      </c>
      <c r="C207" s="209" t="s">
        <v>595</v>
      </c>
      <c r="D207" s="209" t="s">
        <v>596</v>
      </c>
      <c r="E207" s="137">
        <v>19.600000000000001</v>
      </c>
      <c r="F207" s="137">
        <v>19.600000000000001</v>
      </c>
      <c r="G207" s="138">
        <v>999.6</v>
      </c>
      <c r="H207" s="138">
        <v>1058.4000000000001</v>
      </c>
      <c r="I207" s="138">
        <v>1176</v>
      </c>
      <c r="J207" s="138">
        <v>1058.4000000000001</v>
      </c>
      <c r="K207" s="138">
        <v>1058.3999999999999</v>
      </c>
      <c r="L207" s="138">
        <v>960.40000000000009</v>
      </c>
      <c r="M207" s="138">
        <v>4939.2</v>
      </c>
      <c r="N207" s="138">
        <v>-2920.3999999999996</v>
      </c>
      <c r="O207" s="138">
        <v>823.19999999999993</v>
      </c>
      <c r="P207" s="138">
        <v>784</v>
      </c>
      <c r="Q207" s="138">
        <v>784</v>
      </c>
      <c r="R207" s="138">
        <v>803.6</v>
      </c>
      <c r="S207" s="139">
        <f t="shared" si="113"/>
        <v>11524.8</v>
      </c>
      <c r="T207" s="144"/>
      <c r="U207" s="138">
        <f t="shared" si="112"/>
        <v>51</v>
      </c>
      <c r="V207" s="138">
        <f t="shared" si="112"/>
        <v>54</v>
      </c>
      <c r="W207" s="138">
        <f t="shared" si="112"/>
        <v>59.999999999999993</v>
      </c>
      <c r="X207" s="138">
        <f t="shared" si="112"/>
        <v>54</v>
      </c>
      <c r="Y207" s="138">
        <f t="shared" si="112"/>
        <v>53.999999999999986</v>
      </c>
      <c r="Z207" s="138">
        <f t="shared" si="112"/>
        <v>49</v>
      </c>
      <c r="AA207" s="138">
        <f t="shared" si="112"/>
        <v>251.99999999999997</v>
      </c>
      <c r="AB207" s="138">
        <f t="shared" si="112"/>
        <v>-148.99999999999997</v>
      </c>
      <c r="AC207" s="138">
        <f t="shared" si="112"/>
        <v>41.999999999999993</v>
      </c>
      <c r="AD207" s="138">
        <f t="shared" si="112"/>
        <v>40</v>
      </c>
      <c r="AE207" s="138">
        <f t="shared" si="95"/>
        <v>40</v>
      </c>
      <c r="AF207" s="138">
        <f t="shared" si="95"/>
        <v>41</v>
      </c>
      <c r="AG207" s="138"/>
      <c r="AH207" s="138"/>
      <c r="AI207" s="138">
        <f t="shared" si="103"/>
        <v>588</v>
      </c>
      <c r="AJ207" s="144"/>
      <c r="AK207" s="196">
        <f t="shared" si="111"/>
        <v>0.28374643910381475</v>
      </c>
      <c r="AL207" s="198">
        <f t="shared" si="104"/>
        <v>166.84290619304306</v>
      </c>
      <c r="AM207" s="197"/>
      <c r="AN207" s="196">
        <f t="shared" si="105"/>
        <v>19.883746439103817</v>
      </c>
      <c r="AO207" s="198">
        <f t="shared" si="106"/>
        <v>11691.642906193045</v>
      </c>
      <c r="AP207" s="199">
        <f t="shared" si="107"/>
        <v>0.25</v>
      </c>
      <c r="AQ207" s="200">
        <f t="shared" si="108"/>
        <v>147</v>
      </c>
      <c r="AR207" s="144"/>
      <c r="AS207" s="201">
        <f t="shared" si="109"/>
        <v>19.850000000000001</v>
      </c>
      <c r="AT207" s="202">
        <f t="shared" si="110"/>
        <v>11671.800000000001</v>
      </c>
      <c r="AU207" s="144"/>
      <c r="AV207" s="144"/>
      <c r="AW207" s="144"/>
      <c r="AX207" s="144"/>
      <c r="AY207" s="144"/>
    </row>
    <row r="208" spans="1:51" ht="12" customHeight="1">
      <c r="A208" s="142" t="str">
        <f t="shared" si="100"/>
        <v>Grays Harbor WUTCRolloffMILE-RO</v>
      </c>
      <c r="B208" s="142">
        <f t="shared" si="98"/>
        <v>1</v>
      </c>
      <c r="C208" s="209" t="s">
        <v>597</v>
      </c>
      <c r="D208" s="209" t="s">
        <v>598</v>
      </c>
      <c r="E208" s="137">
        <v>3.65</v>
      </c>
      <c r="F208" s="137">
        <v>3.65</v>
      </c>
      <c r="G208" s="138">
        <v>11629.02</v>
      </c>
      <c r="H208" s="138">
        <v>10249.35</v>
      </c>
      <c r="I208" s="138">
        <v>11790.45</v>
      </c>
      <c r="J208" s="138">
        <v>10058.049999999999</v>
      </c>
      <c r="K208" s="138">
        <v>9152.34</v>
      </c>
      <c r="L208" s="138">
        <v>12031.35</v>
      </c>
      <c r="M208" s="138">
        <v>9185.7000000000007</v>
      </c>
      <c r="N208" s="138">
        <v>8020</v>
      </c>
      <c r="O208" s="138">
        <v>7122.1</v>
      </c>
      <c r="P208" s="138">
        <v>6841.05</v>
      </c>
      <c r="Q208" s="138">
        <v>6915.4</v>
      </c>
      <c r="R208" s="138">
        <v>6736.55</v>
      </c>
      <c r="S208" s="139">
        <f t="shared" si="113"/>
        <v>109731.36000000002</v>
      </c>
      <c r="T208" s="144"/>
      <c r="U208" s="138">
        <f t="shared" si="112"/>
        <v>3186.0328767123287</v>
      </c>
      <c r="V208" s="138">
        <f t="shared" si="112"/>
        <v>2808.0410958904113</v>
      </c>
      <c r="W208" s="138">
        <f t="shared" si="112"/>
        <v>3230.260273972603</v>
      </c>
      <c r="X208" s="138">
        <f t="shared" si="112"/>
        <v>2755.6301369863013</v>
      </c>
      <c r="Y208" s="138">
        <f t="shared" si="112"/>
        <v>2507.4904109589042</v>
      </c>
      <c r="Z208" s="138">
        <f t="shared" si="112"/>
        <v>3296.260273972603</v>
      </c>
      <c r="AA208" s="138">
        <f t="shared" si="112"/>
        <v>2516.6301369863017</v>
      </c>
      <c r="AB208" s="138">
        <f t="shared" si="112"/>
        <v>2197.2602739726026</v>
      </c>
      <c r="AC208" s="138">
        <f t="shared" si="112"/>
        <v>1951.2602739726028</v>
      </c>
      <c r="AD208" s="138">
        <f t="shared" si="112"/>
        <v>1874.2602739726028</v>
      </c>
      <c r="AE208" s="138">
        <f t="shared" si="95"/>
        <v>1894.6301369863013</v>
      </c>
      <c r="AF208" s="138">
        <f t="shared" si="95"/>
        <v>1845.6301369863015</v>
      </c>
      <c r="AG208" s="138"/>
      <c r="AH208" s="138"/>
      <c r="AI208" s="138">
        <f t="shared" si="103"/>
        <v>30063.386301369868</v>
      </c>
      <c r="AJ208" s="144"/>
      <c r="AK208" s="196">
        <f t="shared" si="111"/>
        <v>5.2840535853516515E-2</v>
      </c>
      <c r="AL208" s="198">
        <f t="shared" si="104"/>
        <v>1588.5654417356518</v>
      </c>
      <c r="AM208" s="197"/>
      <c r="AN208" s="196">
        <f t="shared" si="105"/>
        <v>3.7028405358535164</v>
      </c>
      <c r="AO208" s="198">
        <f t="shared" si="106"/>
        <v>111319.92544173567</v>
      </c>
      <c r="AP208" s="199">
        <f t="shared" si="107"/>
        <v>0.05</v>
      </c>
      <c r="AQ208" s="200">
        <f t="shared" si="108"/>
        <v>1503.1693150684935</v>
      </c>
      <c r="AR208" s="144"/>
      <c r="AS208" s="201">
        <f t="shared" si="109"/>
        <v>3.6999999999999997</v>
      </c>
      <c r="AT208" s="202">
        <f t="shared" si="110"/>
        <v>111234.5293150685</v>
      </c>
      <c r="AU208" s="144"/>
      <c r="AV208" s="144"/>
      <c r="AW208" s="144"/>
      <c r="AX208" s="144"/>
      <c r="AY208" s="144"/>
    </row>
    <row r="209" spans="1:52" ht="12" customHeight="1">
      <c r="A209" s="142" t="str">
        <f t="shared" si="100"/>
        <v>Grays Harbor WUTCRolloffRENT20MO-RO</v>
      </c>
      <c r="B209" s="142">
        <f t="shared" si="98"/>
        <v>1</v>
      </c>
      <c r="C209" s="209" t="s">
        <v>599</v>
      </c>
      <c r="D209" s="209" t="s">
        <v>600</v>
      </c>
      <c r="E209" s="137">
        <v>125</v>
      </c>
      <c r="F209" s="137">
        <v>125</v>
      </c>
      <c r="G209" s="138">
        <v>2000</v>
      </c>
      <c r="H209" s="138">
        <v>2375</v>
      </c>
      <c r="I209" s="138">
        <v>2125</v>
      </c>
      <c r="J209" s="138">
        <v>1875</v>
      </c>
      <c r="K209" s="138">
        <v>1750</v>
      </c>
      <c r="L209" s="138">
        <v>1750</v>
      </c>
      <c r="M209" s="138">
        <v>1750</v>
      </c>
      <c r="N209" s="138">
        <v>1875</v>
      </c>
      <c r="O209" s="138">
        <v>1875</v>
      </c>
      <c r="P209" s="138">
        <v>2000</v>
      </c>
      <c r="Q209" s="138">
        <v>1875</v>
      </c>
      <c r="R209" s="138">
        <v>1750</v>
      </c>
      <c r="S209" s="139">
        <f t="shared" si="113"/>
        <v>23000</v>
      </c>
      <c r="T209" s="144"/>
      <c r="U209" s="138">
        <f t="shared" si="112"/>
        <v>16</v>
      </c>
      <c r="V209" s="138">
        <f t="shared" si="112"/>
        <v>19</v>
      </c>
      <c r="W209" s="138">
        <f t="shared" si="112"/>
        <v>17</v>
      </c>
      <c r="X209" s="138">
        <f t="shared" si="112"/>
        <v>15</v>
      </c>
      <c r="Y209" s="138">
        <f t="shared" si="112"/>
        <v>14</v>
      </c>
      <c r="Z209" s="138">
        <f t="shared" si="112"/>
        <v>14</v>
      </c>
      <c r="AA209" s="138">
        <f t="shared" si="112"/>
        <v>14</v>
      </c>
      <c r="AB209" s="138">
        <f t="shared" si="112"/>
        <v>15</v>
      </c>
      <c r="AC209" s="138">
        <f t="shared" si="112"/>
        <v>15</v>
      </c>
      <c r="AD209" s="138">
        <f t="shared" si="112"/>
        <v>16</v>
      </c>
      <c r="AE209" s="138">
        <f t="shared" ref="AE209:AF232" si="114">IFERROR(Q209/$F209,0)</f>
        <v>15</v>
      </c>
      <c r="AF209" s="138">
        <f t="shared" si="114"/>
        <v>14</v>
      </c>
      <c r="AG209" s="138"/>
      <c r="AH209" s="138"/>
      <c r="AI209" s="138">
        <f t="shared" si="103"/>
        <v>184</v>
      </c>
      <c r="AJ209" s="144"/>
      <c r="AK209" s="196">
        <f t="shared" si="111"/>
        <v>1.8096073922437164</v>
      </c>
      <c r="AL209" s="198">
        <f t="shared" si="104"/>
        <v>332.96776017284378</v>
      </c>
      <c r="AM209" s="197"/>
      <c r="AN209" s="196">
        <f t="shared" si="105"/>
        <v>126.80960739224372</v>
      </c>
      <c r="AO209" s="198">
        <f t="shared" si="106"/>
        <v>23332.967760172844</v>
      </c>
      <c r="AP209" s="199">
        <f t="shared" si="107"/>
        <v>1.56</v>
      </c>
      <c r="AQ209" s="200">
        <f t="shared" si="108"/>
        <v>287.04000000000002</v>
      </c>
      <c r="AR209" s="144"/>
      <c r="AS209" s="201">
        <f t="shared" si="109"/>
        <v>126.56</v>
      </c>
      <c r="AT209" s="202">
        <f t="shared" si="110"/>
        <v>23287.040000000001</v>
      </c>
      <c r="AU209" s="144"/>
      <c r="AV209" s="144"/>
      <c r="AW209" s="144"/>
      <c r="AX209" s="144"/>
      <c r="AY209" s="144"/>
    </row>
    <row r="210" spans="1:52" ht="12" customHeight="1">
      <c r="A210" s="142" t="str">
        <f t="shared" si="100"/>
        <v>Grays Harbor WUTCRolloffRENT20TEMP-RO</v>
      </c>
      <c r="B210" s="142">
        <f t="shared" si="98"/>
        <v>1</v>
      </c>
      <c r="C210" s="209" t="s">
        <v>601</v>
      </c>
      <c r="D210" s="209" t="s">
        <v>602</v>
      </c>
      <c r="E210" s="137">
        <v>235.73</v>
      </c>
      <c r="F210" s="137">
        <v>235.72916666666669</v>
      </c>
      <c r="G210" s="138">
        <v>937.75</v>
      </c>
      <c r="H210" s="138">
        <v>480.5</v>
      </c>
      <c r="I210" s="138">
        <v>976.5</v>
      </c>
      <c r="J210" s="138">
        <v>930</v>
      </c>
      <c r="K210" s="138">
        <v>1046.25</v>
      </c>
      <c r="L210" s="138">
        <v>1100.5</v>
      </c>
      <c r="M210" s="138">
        <v>984.25</v>
      </c>
      <c r="N210" s="138">
        <v>573.5</v>
      </c>
      <c r="O210" s="138">
        <v>1018.48</v>
      </c>
      <c r="P210" s="138">
        <v>-3.23</v>
      </c>
      <c r="Q210" s="138">
        <v>558</v>
      </c>
      <c r="R210" s="138">
        <v>643.25</v>
      </c>
      <c r="S210" s="139">
        <f t="shared" si="113"/>
        <v>9245.75</v>
      </c>
      <c r="T210" s="144"/>
      <c r="U210" s="138">
        <f t="shared" si="112"/>
        <v>3.9780681287914139</v>
      </c>
      <c r="V210" s="138">
        <f t="shared" si="112"/>
        <v>2.0383489585542782</v>
      </c>
      <c r="W210" s="138">
        <f t="shared" si="112"/>
        <v>4.1424511093199845</v>
      </c>
      <c r="X210" s="138">
        <f t="shared" si="112"/>
        <v>3.9451915326856999</v>
      </c>
      <c r="Y210" s="138">
        <f t="shared" si="112"/>
        <v>4.4383404742714125</v>
      </c>
      <c r="Z210" s="138">
        <f t="shared" si="112"/>
        <v>4.6684766470114116</v>
      </c>
      <c r="AA210" s="138">
        <f t="shared" si="112"/>
        <v>4.1753277054256994</v>
      </c>
      <c r="AB210" s="138">
        <f t="shared" si="112"/>
        <v>2.4328681118228483</v>
      </c>
      <c r="AC210" s="138">
        <f t="shared" si="112"/>
        <v>4.3205362066771311</v>
      </c>
      <c r="AD210" s="138">
        <f t="shared" si="112"/>
        <v>-1.3702116828575065E-2</v>
      </c>
      <c r="AE210" s="138">
        <f t="shared" si="114"/>
        <v>2.3671232876712325</v>
      </c>
      <c r="AF210" s="138">
        <f t="shared" si="114"/>
        <v>2.7287671232876711</v>
      </c>
      <c r="AG210" s="138"/>
      <c r="AH210" s="138"/>
      <c r="AI210" s="138">
        <f t="shared" si="103"/>
        <v>39.221797168690216</v>
      </c>
      <c r="AJ210" s="144"/>
      <c r="AK210" s="196">
        <f t="shared" si="111"/>
        <v>3.4126179405396089</v>
      </c>
      <c r="AL210" s="198">
        <f t="shared" si="104"/>
        <v>133.84900867807787</v>
      </c>
      <c r="AM210" s="197"/>
      <c r="AN210" s="196">
        <f t="shared" si="105"/>
        <v>239.14178460720629</v>
      </c>
      <c r="AO210" s="198">
        <f t="shared" si="106"/>
        <v>9379.5705704224492</v>
      </c>
      <c r="AP210" s="199">
        <f t="shared" si="107"/>
        <v>2.95</v>
      </c>
      <c r="AQ210" s="200">
        <f t="shared" si="108"/>
        <v>115.70430164763614</v>
      </c>
      <c r="AR210" s="144"/>
      <c r="AS210" s="201">
        <f t="shared" si="109"/>
        <v>238.67916666666667</v>
      </c>
      <c r="AT210" s="202">
        <f t="shared" si="110"/>
        <v>9361.4258633920072</v>
      </c>
      <c r="AU210" s="144"/>
      <c r="AV210" s="144"/>
      <c r="AW210" s="144"/>
      <c r="AX210" s="144"/>
      <c r="AY210" s="144"/>
    </row>
    <row r="211" spans="1:52" ht="12" customHeight="1">
      <c r="A211" s="142" t="str">
        <f t="shared" si="100"/>
        <v>Grays Harbor WUTCRolloffRENT30MO-RO</v>
      </c>
      <c r="B211" s="142">
        <f t="shared" si="98"/>
        <v>1</v>
      </c>
      <c r="C211" s="209" t="s">
        <v>603</v>
      </c>
      <c r="D211" s="209" t="s">
        <v>604</v>
      </c>
      <c r="E211" s="137">
        <v>148</v>
      </c>
      <c r="F211" s="137">
        <v>148</v>
      </c>
      <c r="G211" s="138">
        <v>3256</v>
      </c>
      <c r="H211" s="138">
        <v>3996</v>
      </c>
      <c r="I211" s="138">
        <v>3561.55</v>
      </c>
      <c r="J211" s="138">
        <v>3512.53</v>
      </c>
      <c r="K211" s="138">
        <v>3552</v>
      </c>
      <c r="L211" s="138">
        <v>2960</v>
      </c>
      <c r="M211" s="138">
        <v>2812</v>
      </c>
      <c r="N211" s="138">
        <v>2812</v>
      </c>
      <c r="O211" s="138">
        <v>2516</v>
      </c>
      <c r="P211" s="138">
        <v>2664</v>
      </c>
      <c r="Q211" s="138">
        <v>2516</v>
      </c>
      <c r="R211" s="138">
        <v>2411</v>
      </c>
      <c r="S211" s="139">
        <f t="shared" si="113"/>
        <v>36569.08</v>
      </c>
      <c r="T211" s="144"/>
      <c r="U211" s="138">
        <f t="shared" si="112"/>
        <v>22</v>
      </c>
      <c r="V211" s="138">
        <f t="shared" si="112"/>
        <v>27</v>
      </c>
      <c r="W211" s="138">
        <f t="shared" si="112"/>
        <v>24.06452702702703</v>
      </c>
      <c r="X211" s="138">
        <f t="shared" si="112"/>
        <v>23.733310810810814</v>
      </c>
      <c r="Y211" s="138">
        <f t="shared" si="112"/>
        <v>24</v>
      </c>
      <c r="Z211" s="138">
        <f t="shared" si="112"/>
        <v>20</v>
      </c>
      <c r="AA211" s="138">
        <f t="shared" si="112"/>
        <v>19</v>
      </c>
      <c r="AB211" s="138">
        <f t="shared" si="112"/>
        <v>19</v>
      </c>
      <c r="AC211" s="138">
        <f t="shared" si="112"/>
        <v>17</v>
      </c>
      <c r="AD211" s="138">
        <f t="shared" si="112"/>
        <v>18</v>
      </c>
      <c r="AE211" s="138">
        <f t="shared" si="114"/>
        <v>17</v>
      </c>
      <c r="AF211" s="138">
        <f t="shared" si="114"/>
        <v>16.29054054054054</v>
      </c>
      <c r="AG211" s="138"/>
      <c r="AH211" s="138"/>
      <c r="AI211" s="138">
        <f t="shared" si="103"/>
        <v>247.08837837837839</v>
      </c>
      <c r="AJ211" s="144"/>
      <c r="AK211" s="196">
        <f t="shared" si="111"/>
        <v>2.1425751524165602</v>
      </c>
      <c r="AL211" s="198">
        <f t="shared" si="104"/>
        <v>529.40541996441482</v>
      </c>
      <c r="AM211" s="197"/>
      <c r="AN211" s="196">
        <f t="shared" si="105"/>
        <v>150.14257515241655</v>
      </c>
      <c r="AO211" s="198">
        <f t="shared" si="106"/>
        <v>37098.485419964418</v>
      </c>
      <c r="AP211" s="199">
        <f t="shared" si="107"/>
        <v>1.85</v>
      </c>
      <c r="AQ211" s="200">
        <f t="shared" si="108"/>
        <v>457.11350000000004</v>
      </c>
      <c r="AR211" s="144"/>
      <c r="AS211" s="201">
        <f t="shared" si="109"/>
        <v>149.85</v>
      </c>
      <c r="AT211" s="202">
        <f t="shared" si="110"/>
        <v>37026.193500000001</v>
      </c>
      <c r="AU211" s="144"/>
      <c r="AV211" s="144"/>
      <c r="AW211" s="144"/>
      <c r="AX211" s="144"/>
      <c r="AY211" s="144"/>
    </row>
    <row r="212" spans="1:52" ht="12" customHeight="1">
      <c r="A212" s="142" t="str">
        <f t="shared" si="100"/>
        <v>Grays Harbor WUTCRolloffRENT30TEMP-RO</v>
      </c>
      <c r="B212" s="142">
        <f t="shared" si="98"/>
        <v>1</v>
      </c>
      <c r="C212" s="209" t="s">
        <v>605</v>
      </c>
      <c r="D212" s="209" t="s">
        <v>606</v>
      </c>
      <c r="E212" s="137">
        <v>290.48</v>
      </c>
      <c r="F212" s="137">
        <v>290.47916666666703</v>
      </c>
      <c r="G212" s="138">
        <v>2559.4</v>
      </c>
      <c r="H212" s="138">
        <v>1707.35</v>
      </c>
      <c r="I212" s="138">
        <v>1919.55</v>
      </c>
      <c r="J212" s="138">
        <v>1279.7</v>
      </c>
      <c r="K212" s="138">
        <v>907.25</v>
      </c>
      <c r="L212" s="138">
        <v>1260.5999999999999</v>
      </c>
      <c r="M212" s="138">
        <v>1545.45</v>
      </c>
      <c r="N212" s="138">
        <v>1270.1500000000001</v>
      </c>
      <c r="O212" s="138">
        <v>964.55</v>
      </c>
      <c r="P212" s="138">
        <v>553.9</v>
      </c>
      <c r="Q212" s="138">
        <v>1184.2</v>
      </c>
      <c r="R212" s="138">
        <v>1499.35</v>
      </c>
      <c r="S212" s="139">
        <f t="shared" si="113"/>
        <v>16651.45</v>
      </c>
      <c r="T212" s="144"/>
      <c r="U212" s="138">
        <f t="shared" si="112"/>
        <v>8.8109336270999723</v>
      </c>
      <c r="V212" s="138">
        <f t="shared" si="112"/>
        <v>5.8776852106857609</v>
      </c>
      <c r="W212" s="138">
        <f t="shared" si="112"/>
        <v>6.6082002203249788</v>
      </c>
      <c r="X212" s="138">
        <f t="shared" si="112"/>
        <v>4.4054668135499861</v>
      </c>
      <c r="Y212" s="138">
        <f t="shared" si="112"/>
        <v>3.1232787110988705</v>
      </c>
      <c r="Z212" s="138">
        <f t="shared" si="112"/>
        <v>4.3397135775268518</v>
      </c>
      <c r="AA212" s="138">
        <f t="shared" si="112"/>
        <v>5.3203318645001376</v>
      </c>
      <c r="AB212" s="138">
        <f t="shared" si="112"/>
        <v>4.372590195538419</v>
      </c>
      <c r="AC212" s="138">
        <f t="shared" si="112"/>
        <v>3.320538419168273</v>
      </c>
      <c r="AD212" s="138">
        <f t="shared" si="112"/>
        <v>1.9068438446708893</v>
      </c>
      <c r="AE212" s="138">
        <f t="shared" si="114"/>
        <v>4.0767123287671181</v>
      </c>
      <c r="AF212" s="138">
        <f t="shared" si="114"/>
        <v>5.1616438356164318</v>
      </c>
      <c r="AG212" s="138"/>
      <c r="AH212" s="138"/>
      <c r="AI212" s="138">
        <f t="shared" si="103"/>
        <v>57.323938648547689</v>
      </c>
      <c r="AJ212" s="144"/>
      <c r="AK212" s="196">
        <f t="shared" si="111"/>
        <v>4.2052259783423613</v>
      </c>
      <c r="AL212" s="198">
        <f t="shared" si="104"/>
        <v>241.06011598577646</v>
      </c>
      <c r="AM212" s="197"/>
      <c r="AN212" s="196">
        <f t="shared" si="105"/>
        <v>294.68439264500938</v>
      </c>
      <c r="AO212" s="198">
        <f t="shared" si="106"/>
        <v>16892.470044667054</v>
      </c>
      <c r="AP212" s="199">
        <f t="shared" si="107"/>
        <v>3.63</v>
      </c>
      <c r="AQ212" s="200">
        <f t="shared" si="108"/>
        <v>208.08589729422809</v>
      </c>
      <c r="AR212" s="144"/>
      <c r="AS212" s="201">
        <f t="shared" si="109"/>
        <v>294.10916666666702</v>
      </c>
      <c r="AT212" s="202">
        <f t="shared" si="110"/>
        <v>16859.495825975508</v>
      </c>
      <c r="AU212" s="144"/>
      <c r="AV212" s="144"/>
      <c r="AW212" s="144"/>
      <c r="AX212" s="144"/>
      <c r="AY212" s="144"/>
    </row>
    <row r="213" spans="1:52" ht="12" customHeight="1">
      <c r="A213" s="142" t="str">
        <f t="shared" si="100"/>
        <v>Grays Harbor WUTCRolloffRENT40MO-RO</v>
      </c>
      <c r="B213" s="142">
        <f t="shared" si="98"/>
        <v>1</v>
      </c>
      <c r="C213" s="209" t="s">
        <v>607</v>
      </c>
      <c r="D213" s="209" t="s">
        <v>608</v>
      </c>
      <c r="E213" s="137">
        <v>148</v>
      </c>
      <c r="F213" s="137">
        <v>148</v>
      </c>
      <c r="G213" s="138">
        <v>888</v>
      </c>
      <c r="H213" s="138">
        <v>888</v>
      </c>
      <c r="I213" s="138">
        <v>454.75</v>
      </c>
      <c r="J213" s="138">
        <v>444</v>
      </c>
      <c r="K213" s="138">
        <v>444</v>
      </c>
      <c r="L213" s="138">
        <v>444</v>
      </c>
      <c r="M213" s="138">
        <v>444</v>
      </c>
      <c r="N213" s="138">
        <v>444</v>
      </c>
      <c r="O213" s="138">
        <v>592</v>
      </c>
      <c r="P213" s="138">
        <v>592</v>
      </c>
      <c r="Q213" s="138">
        <v>592</v>
      </c>
      <c r="R213" s="138">
        <v>740</v>
      </c>
      <c r="S213" s="139">
        <f t="shared" si="113"/>
        <v>6966.75</v>
      </c>
      <c r="T213" s="144"/>
      <c r="U213" s="138">
        <f t="shared" ref="U213:AD219" si="115">IFERROR(G213/$E213,0)</f>
        <v>6</v>
      </c>
      <c r="V213" s="138">
        <f t="shared" si="115"/>
        <v>6</v>
      </c>
      <c r="W213" s="138">
        <f t="shared" si="115"/>
        <v>3.0726351351351351</v>
      </c>
      <c r="X213" s="138">
        <f t="shared" si="115"/>
        <v>3</v>
      </c>
      <c r="Y213" s="138">
        <f t="shared" si="115"/>
        <v>3</v>
      </c>
      <c r="Z213" s="138">
        <f t="shared" si="115"/>
        <v>3</v>
      </c>
      <c r="AA213" s="138">
        <f t="shared" si="115"/>
        <v>3</v>
      </c>
      <c r="AB213" s="138">
        <f t="shared" si="115"/>
        <v>3</v>
      </c>
      <c r="AC213" s="138">
        <f t="shared" si="115"/>
        <v>4</v>
      </c>
      <c r="AD213" s="138">
        <f t="shared" si="115"/>
        <v>4</v>
      </c>
      <c r="AE213" s="138">
        <f t="shared" si="114"/>
        <v>4</v>
      </c>
      <c r="AF213" s="138">
        <f t="shared" si="114"/>
        <v>5</v>
      </c>
      <c r="AG213" s="138"/>
      <c r="AH213" s="138"/>
      <c r="AI213" s="138">
        <f t="shared" si="103"/>
        <v>47.072635135135137</v>
      </c>
      <c r="AJ213" s="144"/>
      <c r="AK213" s="196">
        <f t="shared" si="111"/>
        <v>2.1425751524165602</v>
      </c>
      <c r="AL213" s="198">
        <f t="shared" si="104"/>
        <v>100.85665839931129</v>
      </c>
      <c r="AM213" s="197"/>
      <c r="AN213" s="196">
        <f t="shared" si="105"/>
        <v>150.14257515241655</v>
      </c>
      <c r="AO213" s="198">
        <f t="shared" si="106"/>
        <v>7067.6066583993115</v>
      </c>
      <c r="AP213" s="199">
        <f t="shared" si="107"/>
        <v>1.85</v>
      </c>
      <c r="AQ213" s="200">
        <f t="shared" si="108"/>
        <v>87.084375000000009</v>
      </c>
      <c r="AR213" s="144"/>
      <c r="AS213" s="201">
        <f t="shared" si="109"/>
        <v>149.85</v>
      </c>
      <c r="AT213" s="202">
        <f t="shared" si="110"/>
        <v>7053.8343750000004</v>
      </c>
      <c r="AU213" s="144"/>
      <c r="AV213" s="144"/>
      <c r="AW213" s="144"/>
      <c r="AX213" s="144"/>
      <c r="AY213" s="144"/>
    </row>
    <row r="214" spans="1:52" ht="12" customHeight="1">
      <c r="A214" s="142" t="str">
        <f t="shared" si="100"/>
        <v>Grays Harbor WUTCRolloffRENT40TEMP-RO</v>
      </c>
      <c r="B214" s="142">
        <f t="shared" si="98"/>
        <v>1</v>
      </c>
      <c r="C214" s="209" t="s">
        <v>609</v>
      </c>
      <c r="D214" s="209" t="s">
        <v>610</v>
      </c>
      <c r="E214" s="137">
        <v>326.98</v>
      </c>
      <c r="F214" s="137">
        <v>326.97916666666703</v>
      </c>
      <c r="G214" s="138">
        <v>1832.2</v>
      </c>
      <c r="H214" s="138">
        <v>1311.5</v>
      </c>
      <c r="I214" s="138">
        <v>1354.5</v>
      </c>
      <c r="J214" s="138">
        <v>1150.25</v>
      </c>
      <c r="K214" s="138">
        <v>827.75</v>
      </c>
      <c r="L214" s="138">
        <v>1311.5</v>
      </c>
      <c r="M214" s="138">
        <v>798.85</v>
      </c>
      <c r="N214" s="138">
        <v>709.5</v>
      </c>
      <c r="O214" s="138">
        <v>655.75</v>
      </c>
      <c r="P214" s="138">
        <v>645</v>
      </c>
      <c r="Q214" s="138">
        <v>107.5</v>
      </c>
      <c r="R214" s="138">
        <v>333.25</v>
      </c>
      <c r="S214" s="139">
        <f t="shared" si="113"/>
        <v>11037.55</v>
      </c>
      <c r="T214" s="144"/>
      <c r="U214" s="138">
        <f t="shared" si="115"/>
        <v>5.6034008196219949</v>
      </c>
      <c r="V214" s="138">
        <f t="shared" si="115"/>
        <v>4.0109486818765667</v>
      </c>
      <c r="W214" s="138">
        <f t="shared" si="115"/>
        <v>4.1424551960364546</v>
      </c>
      <c r="X214" s="138">
        <f t="shared" si="115"/>
        <v>3.5177992537769893</v>
      </c>
      <c r="Y214" s="138">
        <f t="shared" si="115"/>
        <v>2.5315003975778332</v>
      </c>
      <c r="Z214" s="138">
        <f t="shared" si="115"/>
        <v>4.0109486818765667</v>
      </c>
      <c r="AA214" s="138">
        <f t="shared" si="115"/>
        <v>2.4431157868982813</v>
      </c>
      <c r="AB214" s="138">
        <f t="shared" si="115"/>
        <v>2.1698574836381428</v>
      </c>
      <c r="AC214" s="138">
        <f t="shared" si="115"/>
        <v>2.0054743409382834</v>
      </c>
      <c r="AD214" s="138">
        <f t="shared" si="115"/>
        <v>1.9725977123983116</v>
      </c>
      <c r="AE214" s="138">
        <f t="shared" si="114"/>
        <v>0.32876712328767088</v>
      </c>
      <c r="AF214" s="138">
        <f t="shared" si="114"/>
        <v>1.0191780821917797</v>
      </c>
      <c r="AG214" s="138"/>
      <c r="AH214" s="138"/>
      <c r="AI214" s="138">
        <f t="shared" si="103"/>
        <v>33.756043560118876</v>
      </c>
      <c r="AJ214" s="144"/>
      <c r="AK214" s="196">
        <f t="shared" si="111"/>
        <v>4.7336313368775267</v>
      </c>
      <c r="AL214" s="198">
        <f t="shared" si="104"/>
        <v>159.78866560518154</v>
      </c>
      <c r="AM214" s="197"/>
      <c r="AN214" s="196">
        <f t="shared" si="105"/>
        <v>331.71279800354455</v>
      </c>
      <c r="AO214" s="198">
        <f t="shared" si="106"/>
        <v>11197.311658856563</v>
      </c>
      <c r="AP214" s="199">
        <f t="shared" si="107"/>
        <v>4.09</v>
      </c>
      <c r="AQ214" s="200">
        <f t="shared" si="108"/>
        <v>138.0622181608862</v>
      </c>
      <c r="AR214" s="144"/>
      <c r="AS214" s="201">
        <f t="shared" si="109"/>
        <v>331.069166666667</v>
      </c>
      <c r="AT214" s="202">
        <f t="shared" si="110"/>
        <v>11175.585211412268</v>
      </c>
      <c r="AU214" s="144"/>
      <c r="AV214" s="144"/>
      <c r="AW214" s="144"/>
      <c r="AX214" s="144"/>
      <c r="AY214" s="144"/>
    </row>
    <row r="215" spans="1:52" ht="12" customHeight="1">
      <c r="A215" s="142" t="str">
        <f t="shared" si="100"/>
        <v>Grays Harbor WUTCRolloffRENTMO-CP</v>
      </c>
      <c r="B215" s="142">
        <f t="shared" si="98"/>
        <v>1</v>
      </c>
      <c r="C215" s="209" t="s">
        <v>611</v>
      </c>
      <c r="D215" s="209" t="s">
        <v>612</v>
      </c>
      <c r="E215" s="137">
        <v>475</v>
      </c>
      <c r="F215" s="194">
        <v>475</v>
      </c>
      <c r="G215" s="138">
        <v>375</v>
      </c>
      <c r="H215" s="138">
        <v>375</v>
      </c>
      <c r="I215" s="138">
        <v>375</v>
      </c>
      <c r="J215" s="138">
        <v>375</v>
      </c>
      <c r="K215" s="138">
        <v>375</v>
      </c>
      <c r="L215" s="138">
        <v>375</v>
      </c>
      <c r="M215" s="138">
        <v>375</v>
      </c>
      <c r="N215" s="138">
        <v>375</v>
      </c>
      <c r="O215" s="138">
        <v>375</v>
      </c>
      <c r="P215" s="138">
        <v>375</v>
      </c>
      <c r="Q215" s="138">
        <v>375</v>
      </c>
      <c r="R215" s="138">
        <v>375</v>
      </c>
      <c r="S215" s="139">
        <f t="shared" si="113"/>
        <v>4500</v>
      </c>
      <c r="T215" s="144"/>
      <c r="U215" s="138">
        <f t="shared" si="115"/>
        <v>0.78947368421052633</v>
      </c>
      <c r="V215" s="138">
        <f t="shared" si="115"/>
        <v>0.78947368421052633</v>
      </c>
      <c r="W215" s="138">
        <f t="shared" si="115"/>
        <v>0.78947368421052633</v>
      </c>
      <c r="X215" s="138">
        <f t="shared" si="115"/>
        <v>0.78947368421052633</v>
      </c>
      <c r="Y215" s="138">
        <f t="shared" si="115"/>
        <v>0.78947368421052633</v>
      </c>
      <c r="Z215" s="138">
        <f t="shared" si="115"/>
        <v>0.78947368421052633</v>
      </c>
      <c r="AA215" s="138">
        <f t="shared" si="115"/>
        <v>0.78947368421052633</v>
      </c>
      <c r="AB215" s="138">
        <f t="shared" si="115"/>
        <v>0.78947368421052633</v>
      </c>
      <c r="AC215" s="138">
        <f t="shared" si="115"/>
        <v>0.78947368421052633</v>
      </c>
      <c r="AD215" s="138">
        <f t="shared" si="115"/>
        <v>0.78947368421052633</v>
      </c>
      <c r="AE215" s="138">
        <f t="shared" si="114"/>
        <v>0.78947368421052633</v>
      </c>
      <c r="AF215" s="138">
        <f t="shared" si="114"/>
        <v>0.78947368421052633</v>
      </c>
      <c r="AG215" s="138"/>
      <c r="AH215" s="138"/>
      <c r="AI215" s="138">
        <f t="shared" si="103"/>
        <v>9.4736842105263168</v>
      </c>
      <c r="AJ215" s="144"/>
      <c r="AK215" s="196">
        <f t="shared" si="111"/>
        <v>6.876508090526122</v>
      </c>
      <c r="AL215" s="198">
        <f t="shared" si="104"/>
        <v>65.145866120773789</v>
      </c>
      <c r="AM215" s="197"/>
      <c r="AN215" s="196">
        <f t="shared" si="105"/>
        <v>481.8765080905261</v>
      </c>
      <c r="AO215" s="198">
        <f t="shared" si="106"/>
        <v>4565.1458661207744</v>
      </c>
      <c r="AP215" s="199">
        <f t="shared" si="107"/>
        <v>5.94</v>
      </c>
      <c r="AQ215" s="200">
        <f t="shared" si="108"/>
        <v>56.273684210526326</v>
      </c>
      <c r="AR215" s="144"/>
      <c r="AS215" s="201">
        <f t="shared" si="109"/>
        <v>480.94</v>
      </c>
      <c r="AT215" s="202">
        <f t="shared" si="110"/>
        <v>4556.2736842105269</v>
      </c>
      <c r="AU215" s="144"/>
      <c r="AV215" s="144"/>
      <c r="AW215" s="144"/>
      <c r="AX215" s="144"/>
      <c r="AY215" s="144"/>
    </row>
    <row r="216" spans="1:52" ht="12" customHeight="1">
      <c r="A216" s="142" t="str">
        <f t="shared" si="100"/>
        <v>Grays Harbor WUTCRolloffTIME-RO</v>
      </c>
      <c r="B216" s="142">
        <f t="shared" si="98"/>
        <v>1</v>
      </c>
      <c r="C216" s="209" t="s">
        <v>613</v>
      </c>
      <c r="D216" s="209" t="s">
        <v>614</v>
      </c>
      <c r="E216" s="137">
        <v>125</v>
      </c>
      <c r="F216" s="137">
        <v>125</v>
      </c>
      <c r="G216" s="138">
        <v>1018.75</v>
      </c>
      <c r="H216" s="138">
        <v>1093.75</v>
      </c>
      <c r="I216" s="138">
        <v>1093.75</v>
      </c>
      <c r="J216" s="138">
        <v>687.5</v>
      </c>
      <c r="K216" s="138">
        <v>937.5</v>
      </c>
      <c r="L216" s="138">
        <v>937.5</v>
      </c>
      <c r="M216" s="138">
        <v>593.75</v>
      </c>
      <c r="N216" s="138">
        <v>500</v>
      </c>
      <c r="O216" s="138">
        <v>531.25</v>
      </c>
      <c r="P216" s="138">
        <v>687.5</v>
      </c>
      <c r="Q216" s="138">
        <v>437.5</v>
      </c>
      <c r="R216" s="138">
        <v>375</v>
      </c>
      <c r="S216" s="139">
        <f t="shared" si="113"/>
        <v>8893.75</v>
      </c>
      <c r="T216" s="144"/>
      <c r="U216" s="138">
        <f t="shared" si="115"/>
        <v>8.15</v>
      </c>
      <c r="V216" s="138">
        <f t="shared" si="115"/>
        <v>8.75</v>
      </c>
      <c r="W216" s="138">
        <f t="shared" si="115"/>
        <v>8.75</v>
      </c>
      <c r="X216" s="138">
        <f t="shared" si="115"/>
        <v>5.5</v>
      </c>
      <c r="Y216" s="138">
        <f t="shared" si="115"/>
        <v>7.5</v>
      </c>
      <c r="Z216" s="138">
        <f t="shared" si="115"/>
        <v>7.5</v>
      </c>
      <c r="AA216" s="138">
        <f t="shared" si="115"/>
        <v>4.75</v>
      </c>
      <c r="AB216" s="138">
        <f t="shared" si="115"/>
        <v>4</v>
      </c>
      <c r="AC216" s="138">
        <f t="shared" si="115"/>
        <v>4.25</v>
      </c>
      <c r="AD216" s="138">
        <f t="shared" si="115"/>
        <v>5.5</v>
      </c>
      <c r="AE216" s="138">
        <f t="shared" si="114"/>
        <v>3.5</v>
      </c>
      <c r="AF216" s="138">
        <f t="shared" si="114"/>
        <v>3</v>
      </c>
      <c r="AG216" s="138"/>
      <c r="AH216" s="138"/>
      <c r="AI216" s="138">
        <f t="shared" si="103"/>
        <v>71.150000000000006</v>
      </c>
      <c r="AJ216" s="144"/>
      <c r="AK216" s="196">
        <f t="shared" si="111"/>
        <v>1.8096073922437164</v>
      </c>
      <c r="AL216" s="198">
        <f t="shared" si="104"/>
        <v>128.75356595814043</v>
      </c>
      <c r="AM216" s="197"/>
      <c r="AN216" s="196">
        <f t="shared" si="105"/>
        <v>126.80960739224372</v>
      </c>
      <c r="AO216" s="198">
        <f t="shared" si="106"/>
        <v>9022.5035659581408</v>
      </c>
      <c r="AP216" s="199">
        <f t="shared" si="107"/>
        <v>1.56</v>
      </c>
      <c r="AQ216" s="200">
        <f t="shared" si="108"/>
        <v>110.99400000000001</v>
      </c>
      <c r="AR216" s="144"/>
      <c r="AS216" s="201">
        <f t="shared" si="109"/>
        <v>126.56</v>
      </c>
      <c r="AT216" s="202">
        <f t="shared" si="110"/>
        <v>9004.7440000000006</v>
      </c>
      <c r="AU216" s="144"/>
      <c r="AV216" s="144"/>
      <c r="AW216" s="144"/>
      <c r="AX216" s="144"/>
      <c r="AY216" s="144"/>
    </row>
    <row r="217" spans="1:52" ht="12" customHeight="1">
      <c r="A217" s="142" t="s">
        <v>615</v>
      </c>
      <c r="B217" s="142">
        <v>1</v>
      </c>
      <c r="C217" s="209" t="s">
        <v>616</v>
      </c>
      <c r="D217" s="209" t="s">
        <v>617</v>
      </c>
      <c r="E217" s="137">
        <v>10.5</v>
      </c>
      <c r="F217" s="137">
        <v>11.31</v>
      </c>
      <c r="G217" s="138">
        <v>10.5</v>
      </c>
      <c r="H217" s="138">
        <v>0</v>
      </c>
      <c r="I217" s="138">
        <v>0</v>
      </c>
      <c r="J217" s="138">
        <v>0</v>
      </c>
      <c r="K217" s="138">
        <v>17.239999999999998</v>
      </c>
      <c r="L217" s="138">
        <v>0</v>
      </c>
      <c r="M217" s="138">
        <v>157.5</v>
      </c>
      <c r="N217" s="138">
        <v>0</v>
      </c>
      <c r="O217" s="138">
        <v>0</v>
      </c>
      <c r="P217" s="138">
        <v>0</v>
      </c>
      <c r="Q217" s="138">
        <v>10.76</v>
      </c>
      <c r="R217" s="138">
        <v>0</v>
      </c>
      <c r="S217" s="139">
        <f t="shared" ref="S217" si="116">+SUM(G217:R217)</f>
        <v>196</v>
      </c>
      <c r="T217" s="144"/>
      <c r="U217" s="138">
        <f t="shared" si="115"/>
        <v>1</v>
      </c>
      <c r="V217" s="138">
        <f t="shared" si="115"/>
        <v>0</v>
      </c>
      <c r="W217" s="138">
        <f t="shared" si="115"/>
        <v>0</v>
      </c>
      <c r="X217" s="138">
        <f t="shared" si="115"/>
        <v>0</v>
      </c>
      <c r="Y217" s="138">
        <f t="shared" si="115"/>
        <v>1.6419047619047618</v>
      </c>
      <c r="Z217" s="138">
        <f t="shared" si="115"/>
        <v>0</v>
      </c>
      <c r="AA217" s="138">
        <f t="shared" si="115"/>
        <v>15</v>
      </c>
      <c r="AB217" s="138">
        <f t="shared" si="115"/>
        <v>0</v>
      </c>
      <c r="AC217" s="138">
        <f t="shared" si="115"/>
        <v>0</v>
      </c>
      <c r="AD217" s="138">
        <f t="shared" si="115"/>
        <v>0</v>
      </c>
      <c r="AE217" s="138">
        <f t="shared" si="114"/>
        <v>0.95137046861184782</v>
      </c>
      <c r="AF217" s="138">
        <f t="shared" si="114"/>
        <v>0</v>
      </c>
      <c r="AG217" s="138"/>
      <c r="AH217" s="138"/>
      <c r="AI217" s="138">
        <f t="shared" si="103"/>
        <v>18.59327523051661</v>
      </c>
      <c r="AJ217" s="144"/>
      <c r="AK217" s="196">
        <f t="shared" si="111"/>
        <v>0.16373327685021147</v>
      </c>
      <c r="AL217" s="198">
        <f t="shared" si="104"/>
        <v>3.0443378808703558</v>
      </c>
      <c r="AM217" s="197"/>
      <c r="AN217" s="196">
        <f t="shared" si="105"/>
        <v>11.473733276850211</v>
      </c>
      <c r="AO217" s="198">
        <f t="shared" si="106"/>
        <v>213.33428073801321</v>
      </c>
      <c r="AP217" s="199">
        <f t="shared" si="107"/>
        <v>0.14000000000000001</v>
      </c>
      <c r="AQ217" s="200">
        <f t="shared" si="108"/>
        <v>2.6030585322723256</v>
      </c>
      <c r="AR217" s="144"/>
      <c r="AS217" s="201">
        <f t="shared" si="109"/>
        <v>11.450000000000001</v>
      </c>
      <c r="AT217" s="202">
        <f t="shared" si="110"/>
        <v>212.89300138941522</v>
      </c>
      <c r="AU217" s="144"/>
      <c r="AV217" s="144"/>
      <c r="AW217" s="144"/>
      <c r="AX217" s="144"/>
      <c r="AY217" s="144"/>
    </row>
    <row r="218" spans="1:52" ht="12" customHeight="1">
      <c r="A218" s="142" t="str">
        <f t="shared" si="100"/>
        <v>Grays Harbor WUTCRolloffTIRELG-RO</v>
      </c>
      <c r="B218" s="142">
        <f>COUNTIF(C:C,C218)</f>
        <v>1</v>
      </c>
      <c r="C218" s="209" t="s">
        <v>618</v>
      </c>
      <c r="D218" s="209" t="s">
        <v>619</v>
      </c>
      <c r="E218" s="137">
        <v>10.5</v>
      </c>
      <c r="F218" s="137">
        <v>11.31</v>
      </c>
      <c r="G218" s="138">
        <v>10.5</v>
      </c>
      <c r="H218" s="138">
        <v>0</v>
      </c>
      <c r="I218" s="138">
        <v>0</v>
      </c>
      <c r="J218" s="138">
        <v>0</v>
      </c>
      <c r="K218" s="138">
        <v>0</v>
      </c>
      <c r="L218" s="138">
        <v>0</v>
      </c>
      <c r="M218" s="138">
        <v>10.5</v>
      </c>
      <c r="N218" s="138">
        <v>0</v>
      </c>
      <c r="O218" s="138">
        <v>0</v>
      </c>
      <c r="P218" s="138">
        <v>10.75</v>
      </c>
      <c r="Q218" s="138">
        <v>0</v>
      </c>
      <c r="R218" s="138">
        <v>0</v>
      </c>
      <c r="S218" s="139">
        <f t="shared" si="113"/>
        <v>31.75</v>
      </c>
      <c r="T218" s="144"/>
      <c r="U218" s="138">
        <f t="shared" si="115"/>
        <v>1</v>
      </c>
      <c r="V218" s="138">
        <f t="shared" si="115"/>
        <v>0</v>
      </c>
      <c r="W218" s="138">
        <f t="shared" si="115"/>
        <v>0</v>
      </c>
      <c r="X218" s="138">
        <f t="shared" si="115"/>
        <v>0</v>
      </c>
      <c r="Y218" s="138">
        <f t="shared" si="115"/>
        <v>0</v>
      </c>
      <c r="Z218" s="138">
        <f t="shared" si="115"/>
        <v>0</v>
      </c>
      <c r="AA218" s="138">
        <f t="shared" si="115"/>
        <v>1</v>
      </c>
      <c r="AB218" s="138">
        <f t="shared" si="115"/>
        <v>0</v>
      </c>
      <c r="AC218" s="138">
        <f t="shared" si="115"/>
        <v>0</v>
      </c>
      <c r="AD218" s="138">
        <f t="shared" si="115"/>
        <v>1.0238095238095237</v>
      </c>
      <c r="AE218" s="138">
        <f t="shared" si="114"/>
        <v>0</v>
      </c>
      <c r="AF218" s="138">
        <f t="shared" si="114"/>
        <v>0</v>
      </c>
      <c r="AG218" s="138"/>
      <c r="AH218" s="138"/>
      <c r="AI218" s="138">
        <f t="shared" si="103"/>
        <v>3.0238095238095237</v>
      </c>
      <c r="AJ218" s="144"/>
      <c r="AK218" s="196">
        <f t="shared" si="111"/>
        <v>0.16373327685021147</v>
      </c>
      <c r="AL218" s="198">
        <f t="shared" si="104"/>
        <v>0.49509824190421087</v>
      </c>
      <c r="AM218" s="197"/>
      <c r="AN218" s="196">
        <f t="shared" si="105"/>
        <v>11.473733276850211</v>
      </c>
      <c r="AO218" s="198">
        <f t="shared" si="106"/>
        <v>34.694383956189924</v>
      </c>
      <c r="AP218" s="199">
        <f t="shared" si="107"/>
        <v>0.14000000000000001</v>
      </c>
      <c r="AQ218" s="200">
        <f t="shared" si="108"/>
        <v>0.42333333333333334</v>
      </c>
      <c r="AR218" s="144"/>
      <c r="AS218" s="201">
        <f t="shared" si="109"/>
        <v>11.450000000000001</v>
      </c>
      <c r="AT218" s="202">
        <f t="shared" si="110"/>
        <v>34.622619047619047</v>
      </c>
      <c r="AU218" s="144"/>
      <c r="AV218" s="144"/>
      <c r="AW218" s="144"/>
      <c r="AX218" s="144"/>
      <c r="AY218" s="144"/>
    </row>
    <row r="219" spans="1:52" ht="12" customHeight="1">
      <c r="A219" s="142" t="str">
        <f t="shared" si="100"/>
        <v>Grays Harbor WUTCRolloffTIRESM-RO</v>
      </c>
      <c r="B219" s="142">
        <f>COUNTIF(C:C,C219)</f>
        <v>1</v>
      </c>
      <c r="C219" s="209" t="s">
        <v>620</v>
      </c>
      <c r="D219" s="209" t="s">
        <v>621</v>
      </c>
      <c r="E219" s="137">
        <v>4</v>
      </c>
      <c r="F219" s="137">
        <v>4.3100000000000005</v>
      </c>
      <c r="G219" s="138">
        <v>69.5</v>
      </c>
      <c r="H219" s="138">
        <v>22.5</v>
      </c>
      <c r="I219" s="138">
        <v>107.5</v>
      </c>
      <c r="J219" s="138">
        <v>36</v>
      </c>
      <c r="K219" s="138">
        <v>12</v>
      </c>
      <c r="L219" s="138">
        <v>20.5</v>
      </c>
      <c r="M219" s="138">
        <v>33.5</v>
      </c>
      <c r="N219" s="138">
        <v>0</v>
      </c>
      <c r="O219" s="138">
        <v>33</v>
      </c>
      <c r="P219" s="138">
        <v>28.5</v>
      </c>
      <c r="Q219" s="138">
        <v>0</v>
      </c>
      <c r="R219" s="138">
        <v>17.239999999999998</v>
      </c>
      <c r="S219" s="139">
        <f t="shared" si="113"/>
        <v>380.24</v>
      </c>
      <c r="T219" s="144"/>
      <c r="U219" s="138">
        <f t="shared" si="115"/>
        <v>17.375</v>
      </c>
      <c r="V219" s="138">
        <f t="shared" si="115"/>
        <v>5.625</v>
      </c>
      <c r="W219" s="138">
        <f t="shared" si="115"/>
        <v>26.875</v>
      </c>
      <c r="X219" s="138">
        <f t="shared" si="115"/>
        <v>9</v>
      </c>
      <c r="Y219" s="138">
        <f t="shared" si="115"/>
        <v>3</v>
      </c>
      <c r="Z219" s="138">
        <f t="shared" si="115"/>
        <v>5.125</v>
      </c>
      <c r="AA219" s="138">
        <f t="shared" si="115"/>
        <v>8.375</v>
      </c>
      <c r="AB219" s="138">
        <f t="shared" si="115"/>
        <v>0</v>
      </c>
      <c r="AC219" s="138">
        <f t="shared" si="115"/>
        <v>8.25</v>
      </c>
      <c r="AD219" s="138">
        <f t="shared" si="115"/>
        <v>7.125</v>
      </c>
      <c r="AE219" s="138">
        <f t="shared" si="114"/>
        <v>0</v>
      </c>
      <c r="AF219" s="138">
        <f t="shared" si="114"/>
        <v>3.9999999999999991</v>
      </c>
      <c r="AG219" s="138"/>
      <c r="AH219" s="138"/>
      <c r="AI219" s="138">
        <f t="shared" si="103"/>
        <v>94.75</v>
      </c>
      <c r="AJ219" s="144"/>
      <c r="AK219" s="196">
        <f t="shared" si="111"/>
        <v>6.2395262884563346E-2</v>
      </c>
      <c r="AL219" s="198">
        <f t="shared" si="104"/>
        <v>5.9119511583123767</v>
      </c>
      <c r="AM219" s="197"/>
      <c r="AN219" s="196">
        <f t="shared" si="105"/>
        <v>4.3723952628845639</v>
      </c>
      <c r="AO219" s="198">
        <f t="shared" si="106"/>
        <v>414.28445115831244</v>
      </c>
      <c r="AP219" s="199">
        <f t="shared" si="107"/>
        <v>0.05</v>
      </c>
      <c r="AQ219" s="200">
        <f t="shared" si="108"/>
        <v>4.7374999999999998</v>
      </c>
      <c r="AR219" s="144"/>
      <c r="AS219" s="201">
        <f t="shared" si="109"/>
        <v>4.3600000000000003</v>
      </c>
      <c r="AT219" s="202">
        <f t="shared" si="110"/>
        <v>413.11</v>
      </c>
      <c r="AU219" s="144"/>
      <c r="AV219" s="144"/>
      <c r="AW219" s="144"/>
      <c r="AX219" s="144"/>
      <c r="AY219" s="144"/>
    </row>
    <row r="220" spans="1:52" ht="12" customHeight="1">
      <c r="A220" s="142"/>
      <c r="B220" s="142"/>
      <c r="C220" s="209"/>
      <c r="D220" s="209"/>
      <c r="E220" s="137"/>
      <c r="F220" s="137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233"/>
      <c r="T220" s="144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44"/>
      <c r="AK220" s="144"/>
      <c r="AL220" s="144"/>
      <c r="AM220" s="144"/>
      <c r="AN220" s="144"/>
      <c r="AO220" s="144"/>
      <c r="AP220" s="225"/>
      <c r="AQ220" s="144"/>
      <c r="AR220" s="144"/>
      <c r="AS220" s="144"/>
      <c r="AT220" s="176"/>
      <c r="AU220" s="144"/>
      <c r="AV220" s="144"/>
      <c r="AW220" s="144"/>
      <c r="AX220" s="144"/>
      <c r="AY220" s="144"/>
    </row>
    <row r="221" spans="1:52" ht="12" customHeight="1">
      <c r="B221" s="142">
        <f>COUNTIF(C:C,C221)</f>
        <v>0</v>
      </c>
      <c r="C221" s="215"/>
      <c r="D221" s="216" t="s">
        <v>622</v>
      </c>
      <c r="E221" s="137"/>
      <c r="F221" s="137"/>
      <c r="G221" s="217">
        <f t="shared" ref="G221:S221" si="117">SUM(G184:G220)</f>
        <v>54070.92</v>
      </c>
      <c r="H221" s="217">
        <f t="shared" si="117"/>
        <v>49756.850000000006</v>
      </c>
      <c r="I221" s="217">
        <f t="shared" si="117"/>
        <v>51440.150000000009</v>
      </c>
      <c r="J221" s="217">
        <f t="shared" si="117"/>
        <v>46597.929999999993</v>
      </c>
      <c r="K221" s="217">
        <f t="shared" si="117"/>
        <v>41703.43</v>
      </c>
      <c r="L221" s="217">
        <f t="shared" si="117"/>
        <v>52203.65</v>
      </c>
      <c r="M221" s="217">
        <f t="shared" si="117"/>
        <v>45395.6</v>
      </c>
      <c r="N221" s="217">
        <f t="shared" si="117"/>
        <v>30511.35</v>
      </c>
      <c r="O221" s="217">
        <f t="shared" si="117"/>
        <v>31456.93</v>
      </c>
      <c r="P221" s="217">
        <f t="shared" si="117"/>
        <v>30662.270000000004</v>
      </c>
      <c r="Q221" s="217">
        <f t="shared" si="117"/>
        <v>29987.360000000001</v>
      </c>
      <c r="R221" s="217">
        <f t="shared" si="117"/>
        <v>31810.039999999997</v>
      </c>
      <c r="S221" s="217">
        <f t="shared" si="117"/>
        <v>495596.48000000004</v>
      </c>
      <c r="T221" s="144"/>
      <c r="U221" s="218">
        <f t="shared" ref="U221:AI221" si="118">SUM(U184:U220)</f>
        <v>3490.7397529720529</v>
      </c>
      <c r="V221" s="218">
        <f t="shared" si="118"/>
        <v>3089.1325524257381</v>
      </c>
      <c r="W221" s="218">
        <f t="shared" si="118"/>
        <v>3539.7050163446565</v>
      </c>
      <c r="X221" s="218">
        <f t="shared" si="118"/>
        <v>3021.5213790813355</v>
      </c>
      <c r="Y221" s="218">
        <f t="shared" si="118"/>
        <v>2750.5149089879678</v>
      </c>
      <c r="Z221" s="218">
        <f t="shared" si="118"/>
        <v>3575.6938865632283</v>
      </c>
      <c r="AA221" s="218">
        <f t="shared" si="118"/>
        <v>2971.0221791307849</v>
      </c>
      <c r="AB221" s="218">
        <f t="shared" si="118"/>
        <v>2196.5638565512609</v>
      </c>
      <c r="AC221" s="218">
        <f t="shared" si="118"/>
        <v>2138.1962966235965</v>
      </c>
      <c r="AD221" s="218">
        <f t="shared" si="118"/>
        <v>2058.5642966208638</v>
      </c>
      <c r="AE221" s="218">
        <f t="shared" si="118"/>
        <v>2068.2211700857461</v>
      </c>
      <c r="AF221" s="218">
        <f t="shared" si="118"/>
        <v>2031.6197402521486</v>
      </c>
      <c r="AG221" s="218">
        <f t="shared" si="118"/>
        <v>105.45833333333334</v>
      </c>
      <c r="AH221" s="218"/>
      <c r="AI221" s="218">
        <f t="shared" si="118"/>
        <v>32931.495035639389</v>
      </c>
      <c r="AJ221" s="144"/>
      <c r="AK221" s="144"/>
      <c r="AL221" s="218">
        <f t="shared" ref="AL221" si="119">SUM(AL184:AL220)</f>
        <v>7175.3286491411727</v>
      </c>
      <c r="AM221" s="144"/>
      <c r="AN221" s="144"/>
      <c r="AO221" s="218">
        <f t="shared" ref="AO221" si="120">SUM(AO184:AO220)</f>
        <v>502816.58486138965</v>
      </c>
      <c r="AP221" s="219"/>
      <c r="AQ221" s="234">
        <f>SUM(AQ184:AQ219)</f>
        <v>6333.2411832473754</v>
      </c>
      <c r="AR221" s="144"/>
      <c r="AS221" s="235"/>
      <c r="AT221" s="236">
        <f>SUM(AT184:AT219)</f>
        <v>501974.49739549583</v>
      </c>
      <c r="AU221" s="144"/>
      <c r="AV221" s="144"/>
      <c r="AW221" s="144"/>
      <c r="AX221" s="144"/>
      <c r="AY221" s="144"/>
    </row>
    <row r="222" spans="1:52" ht="12" customHeight="1">
      <c r="B222" s="142"/>
      <c r="C222" s="215"/>
      <c r="D222" s="215"/>
      <c r="E222" s="137"/>
      <c r="F222" s="137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  <c r="AI222" s="138"/>
      <c r="AJ222" s="144"/>
      <c r="AK222" s="144"/>
      <c r="AL222" s="144"/>
      <c r="AM222" s="144"/>
      <c r="AN222" s="144"/>
      <c r="AO222" s="144"/>
      <c r="AP222" s="225"/>
      <c r="AQ222" s="144"/>
      <c r="AR222" s="144"/>
      <c r="AS222" s="144"/>
      <c r="AT222" s="176"/>
      <c r="AU222" s="144"/>
      <c r="AV222" s="144"/>
      <c r="AW222" s="144"/>
      <c r="AX222" s="144"/>
      <c r="AY222" s="144"/>
    </row>
    <row r="223" spans="1:52" s="129" customFormat="1" ht="15.75">
      <c r="B223" s="129">
        <f>COUNTIF(C:C,C223)</f>
        <v>1</v>
      </c>
      <c r="C223" s="187" t="s">
        <v>623</v>
      </c>
      <c r="D223" s="188"/>
      <c r="E223" s="189"/>
      <c r="F223" s="189"/>
      <c r="G223" s="190"/>
      <c r="H223" s="190"/>
      <c r="I223" s="190"/>
      <c r="J223" s="190"/>
      <c r="K223" s="190"/>
      <c r="L223" s="190"/>
      <c r="M223" s="190"/>
      <c r="N223" s="190"/>
      <c r="O223" s="190"/>
      <c r="P223" s="190"/>
      <c r="Q223" s="190"/>
      <c r="R223" s="190"/>
      <c r="S223" s="191"/>
      <c r="T223" s="191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32"/>
      <c r="AK223" s="132"/>
      <c r="AL223" s="132"/>
      <c r="AM223" s="132"/>
      <c r="AN223" s="132"/>
      <c r="AO223" s="132"/>
      <c r="AP223" s="183"/>
      <c r="AQ223" s="132"/>
      <c r="AR223" s="132"/>
      <c r="AS223" s="132"/>
      <c r="AT223" s="214"/>
      <c r="AU223" s="132"/>
      <c r="AV223" s="132"/>
      <c r="AW223" s="132"/>
      <c r="AX223" s="132"/>
      <c r="AY223" s="132"/>
      <c r="AZ223" s="245"/>
    </row>
    <row r="224" spans="1:52" ht="12" customHeight="1">
      <c r="A224" s="142" t="str">
        <f t="shared" ref="A224" si="121">$A$1&amp;"Rolloff"&amp;C224</f>
        <v>Grays Harbor WUTCRolloffDISP-RO</v>
      </c>
      <c r="B224" s="142">
        <f>COUNTIF(C:C,C224)</f>
        <v>1</v>
      </c>
      <c r="C224" s="209" t="s">
        <v>624</v>
      </c>
      <c r="D224" s="209" t="s">
        <v>625</v>
      </c>
      <c r="E224" s="137">
        <v>96.73</v>
      </c>
      <c r="F224" s="137">
        <v>101</v>
      </c>
      <c r="G224" s="138">
        <v>47457.15</v>
      </c>
      <c r="H224" s="138">
        <v>45222.54</v>
      </c>
      <c r="I224" s="138">
        <v>38304.269999999997</v>
      </c>
      <c r="J224" s="138">
        <v>45511.27</v>
      </c>
      <c r="K224" s="138">
        <v>31059.63</v>
      </c>
      <c r="L224" s="138">
        <v>42308.85</v>
      </c>
      <c r="M224" s="138">
        <v>33894.699999999997</v>
      </c>
      <c r="N224" s="138">
        <v>27505.3</v>
      </c>
      <c r="O224" s="138">
        <v>30185.03</v>
      </c>
      <c r="P224" s="138">
        <v>29494.400000000001</v>
      </c>
      <c r="Q224" s="138">
        <v>28410.080000000002</v>
      </c>
      <c r="R224" s="138">
        <v>30670.03</v>
      </c>
      <c r="S224" s="139">
        <f t="shared" ref="S224" si="122">+SUM(G224:R224)</f>
        <v>430023.25</v>
      </c>
      <c r="T224" s="144"/>
      <c r="U224" s="138">
        <f>IFERROR(G224/$E224,0)</f>
        <v>490.61459733278195</v>
      </c>
      <c r="V224" s="138">
        <f t="shared" ref="U224:AD232" si="123">IFERROR(H224/$E224,0)</f>
        <v>467.51307763878839</v>
      </c>
      <c r="W224" s="138">
        <f t="shared" si="123"/>
        <v>395.99162617595363</v>
      </c>
      <c r="X224" s="138">
        <f t="shared" si="123"/>
        <v>470.49798407939619</v>
      </c>
      <c r="Y224" s="138">
        <f t="shared" si="123"/>
        <v>321.09614390571693</v>
      </c>
      <c r="Z224" s="138">
        <f t="shared" si="123"/>
        <v>437.39119197766979</v>
      </c>
      <c r="AA224" s="138">
        <f t="shared" si="123"/>
        <v>350.40525173162405</v>
      </c>
      <c r="AB224" s="138">
        <f t="shared" si="123"/>
        <v>284.35128708777006</v>
      </c>
      <c r="AC224" s="138">
        <f t="shared" si="123"/>
        <v>312.0544815465729</v>
      </c>
      <c r="AD224" s="138">
        <f t="shared" si="123"/>
        <v>304.91471105138015</v>
      </c>
      <c r="AE224" s="138">
        <f t="shared" si="114"/>
        <v>281.28792079207921</v>
      </c>
      <c r="AF224" s="138">
        <f t="shared" si="114"/>
        <v>303.66366336633661</v>
      </c>
      <c r="AG224" s="138"/>
      <c r="AH224" s="138"/>
      <c r="AI224" s="138">
        <f t="shared" ref="AI224" si="124">+SUM(U224:AF224)</f>
        <v>4419.7819366860695</v>
      </c>
      <c r="AJ224" s="144"/>
      <c r="AK224" s="144"/>
      <c r="AL224" s="144"/>
      <c r="AM224" s="144"/>
      <c r="AN224" s="144"/>
      <c r="AO224" s="144"/>
      <c r="AP224" s="225"/>
      <c r="AQ224" s="144"/>
      <c r="AR224" s="144"/>
      <c r="AS224" s="144"/>
      <c r="AT224" s="176"/>
      <c r="AU224" s="144"/>
      <c r="AV224" s="144"/>
      <c r="AW224" s="144"/>
      <c r="AX224" s="144"/>
      <c r="AY224" s="144"/>
    </row>
    <row r="225" spans="1:52" ht="12" customHeight="1">
      <c r="B225" s="142"/>
      <c r="C225" s="144"/>
      <c r="D225" s="144"/>
      <c r="E225" s="137"/>
      <c r="F225" s="137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233"/>
      <c r="T225" s="144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44"/>
      <c r="AK225" s="144"/>
      <c r="AL225" s="144"/>
      <c r="AM225" s="144"/>
      <c r="AN225" s="144"/>
      <c r="AO225" s="144"/>
      <c r="AP225" s="225"/>
      <c r="AQ225" s="144"/>
      <c r="AR225" s="144"/>
      <c r="AS225" s="144"/>
      <c r="AT225" s="176"/>
      <c r="AU225" s="144"/>
      <c r="AV225" s="144"/>
      <c r="AW225" s="144"/>
      <c r="AX225" s="144"/>
      <c r="AY225" s="144"/>
    </row>
    <row r="226" spans="1:52" ht="12" customHeight="1">
      <c r="B226" s="142">
        <f>COUNTIF(C:C,C226)</f>
        <v>0</v>
      </c>
      <c r="C226" s="215"/>
      <c r="D226" s="216" t="s">
        <v>626</v>
      </c>
      <c r="E226" s="137"/>
      <c r="F226" s="137"/>
      <c r="G226" s="217">
        <f t="shared" ref="G226:S226" si="125">SUM(G224:G225)</f>
        <v>47457.15</v>
      </c>
      <c r="H226" s="217">
        <f t="shared" si="125"/>
        <v>45222.54</v>
      </c>
      <c r="I226" s="217">
        <f t="shared" si="125"/>
        <v>38304.269999999997</v>
      </c>
      <c r="J226" s="217">
        <f t="shared" si="125"/>
        <v>45511.27</v>
      </c>
      <c r="K226" s="217">
        <f t="shared" si="125"/>
        <v>31059.63</v>
      </c>
      <c r="L226" s="217">
        <f t="shared" si="125"/>
        <v>42308.85</v>
      </c>
      <c r="M226" s="217">
        <f t="shared" si="125"/>
        <v>33894.699999999997</v>
      </c>
      <c r="N226" s="217">
        <f t="shared" si="125"/>
        <v>27505.3</v>
      </c>
      <c r="O226" s="217">
        <f t="shared" si="125"/>
        <v>30185.03</v>
      </c>
      <c r="P226" s="217">
        <f t="shared" si="125"/>
        <v>29494.400000000001</v>
      </c>
      <c r="Q226" s="217">
        <f t="shared" si="125"/>
        <v>28410.080000000002</v>
      </c>
      <c r="R226" s="217">
        <f t="shared" si="125"/>
        <v>30670.03</v>
      </c>
      <c r="S226" s="217">
        <f t="shared" si="125"/>
        <v>430023.25</v>
      </c>
      <c r="T226" s="144"/>
      <c r="U226" s="218">
        <f t="shared" ref="U226:AI226" si="126">SUM(U224:U225)</f>
        <v>490.61459733278195</v>
      </c>
      <c r="V226" s="218">
        <f t="shared" si="126"/>
        <v>467.51307763878839</v>
      </c>
      <c r="W226" s="218">
        <f t="shared" si="126"/>
        <v>395.99162617595363</v>
      </c>
      <c r="X226" s="218">
        <f t="shared" si="126"/>
        <v>470.49798407939619</v>
      </c>
      <c r="Y226" s="218">
        <f t="shared" si="126"/>
        <v>321.09614390571693</v>
      </c>
      <c r="Z226" s="218">
        <f t="shared" si="126"/>
        <v>437.39119197766979</v>
      </c>
      <c r="AA226" s="218">
        <f t="shared" si="126"/>
        <v>350.40525173162405</v>
      </c>
      <c r="AB226" s="218">
        <f t="shared" si="126"/>
        <v>284.35128708777006</v>
      </c>
      <c r="AC226" s="218">
        <f t="shared" si="126"/>
        <v>312.0544815465729</v>
      </c>
      <c r="AD226" s="218">
        <f t="shared" si="126"/>
        <v>304.91471105138015</v>
      </c>
      <c r="AE226" s="218">
        <f t="shared" si="126"/>
        <v>281.28792079207921</v>
      </c>
      <c r="AF226" s="218">
        <f t="shared" si="126"/>
        <v>303.66366336633661</v>
      </c>
      <c r="AG226" s="218">
        <f t="shared" si="126"/>
        <v>0</v>
      </c>
      <c r="AH226" s="218"/>
      <c r="AI226" s="218">
        <f t="shared" si="126"/>
        <v>4419.7819366860695</v>
      </c>
      <c r="AJ226" s="144"/>
      <c r="AK226" s="144"/>
      <c r="AL226" s="144"/>
      <c r="AM226" s="144"/>
      <c r="AN226" s="144"/>
      <c r="AO226" s="144"/>
      <c r="AP226" s="225"/>
      <c r="AQ226" s="144"/>
      <c r="AR226" s="144"/>
      <c r="AS226" s="144"/>
      <c r="AT226" s="176"/>
      <c r="AU226" s="144"/>
      <c r="AV226" s="144"/>
      <c r="AW226" s="144"/>
      <c r="AX226" s="144"/>
      <c r="AY226" s="144"/>
      <c r="AZ226" s="247">
        <f>+AI226*References!B55</f>
        <v>8485.9813184372615</v>
      </c>
    </row>
    <row r="227" spans="1:52" ht="12" customHeight="1">
      <c r="B227" s="142"/>
      <c r="C227" s="215"/>
      <c r="D227" s="216"/>
      <c r="E227" s="137"/>
      <c r="F227" s="137"/>
      <c r="G227" s="237"/>
      <c r="H227" s="237"/>
      <c r="I227" s="237"/>
      <c r="J227" s="237"/>
      <c r="K227" s="237"/>
      <c r="L227" s="237"/>
      <c r="M227" s="237"/>
      <c r="N227" s="237"/>
      <c r="O227" s="237"/>
      <c r="P227" s="237"/>
      <c r="Q227" s="237"/>
      <c r="R227" s="237"/>
      <c r="S227" s="237"/>
      <c r="T227" s="144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  <c r="AI227" s="138"/>
      <c r="AJ227" s="144"/>
      <c r="AK227" s="144"/>
      <c r="AL227" s="144"/>
      <c r="AM227" s="144"/>
      <c r="AN227" s="144"/>
      <c r="AO227" s="144"/>
      <c r="AP227" s="225"/>
      <c r="AQ227" s="144"/>
      <c r="AR227" s="144"/>
      <c r="AS227" s="144"/>
      <c r="AT227" s="176"/>
      <c r="AU227" s="144"/>
      <c r="AV227" s="144"/>
      <c r="AW227" s="144"/>
      <c r="AX227" s="144"/>
      <c r="AY227" s="144"/>
    </row>
    <row r="228" spans="1:52" s="129" customFormat="1" ht="15.75">
      <c r="B228" s="129">
        <f>COUNTIF(C:C,C228)</f>
        <v>1</v>
      </c>
      <c r="C228" s="187" t="s">
        <v>627</v>
      </c>
      <c r="D228" s="188"/>
      <c r="E228" s="189"/>
      <c r="F228" s="189"/>
      <c r="G228" s="190"/>
      <c r="H228" s="190"/>
      <c r="I228" s="190"/>
      <c r="J228" s="190"/>
      <c r="K228" s="190"/>
      <c r="L228" s="190"/>
      <c r="M228" s="190"/>
      <c r="N228" s="190"/>
      <c r="O228" s="190"/>
      <c r="P228" s="190"/>
      <c r="Q228" s="190"/>
      <c r="R228" s="190"/>
      <c r="S228" s="191"/>
      <c r="T228" s="191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32"/>
      <c r="AK228" s="132"/>
      <c r="AL228" s="132"/>
      <c r="AM228" s="132"/>
      <c r="AN228" s="132"/>
      <c r="AO228" s="132"/>
      <c r="AP228" s="183"/>
      <c r="AQ228" s="132"/>
      <c r="AR228" s="132"/>
      <c r="AS228" s="132"/>
      <c r="AT228" s="214"/>
      <c r="AU228" s="132"/>
      <c r="AV228" s="132"/>
      <c r="AW228" s="132"/>
      <c r="AX228" s="132"/>
      <c r="AY228" s="132"/>
      <c r="AZ228" s="245"/>
    </row>
    <row r="229" spans="1:52" s="129" customFormat="1" ht="12" customHeight="1">
      <c r="A229" s="142" t="str">
        <f>$A$1&amp;"ACCOUNTING ADJUSTMENTS"&amp;C229</f>
        <v>Grays Harbor WUTCACCOUNTING ADJUSTMENTSFINCHG</v>
      </c>
      <c r="B229" s="142">
        <f>COUNTIF(C:C,C229)</f>
        <v>1</v>
      </c>
      <c r="C229" s="209" t="s">
        <v>628</v>
      </c>
      <c r="D229" s="209" t="s">
        <v>629</v>
      </c>
      <c r="E229" s="137">
        <v>0</v>
      </c>
      <c r="F229" s="137">
        <v>0</v>
      </c>
      <c r="G229" s="138">
        <v>448.05</v>
      </c>
      <c r="H229" s="138">
        <v>673.74</v>
      </c>
      <c r="I229" s="138">
        <v>483.28</v>
      </c>
      <c r="J229" s="138">
        <v>375.83000000000004</v>
      </c>
      <c r="K229" s="138">
        <v>426.89</v>
      </c>
      <c r="L229" s="138">
        <v>445.26</v>
      </c>
      <c r="M229" s="138">
        <v>531.61</v>
      </c>
      <c r="N229" s="138">
        <v>455.03000000000003</v>
      </c>
      <c r="O229" s="138">
        <v>510.12</v>
      </c>
      <c r="P229" s="138">
        <v>414.88999999999993</v>
      </c>
      <c r="Q229" s="138">
        <v>420.52</v>
      </c>
      <c r="R229" s="138">
        <v>247.25</v>
      </c>
      <c r="S229" s="139">
        <f t="shared" ref="S229:S232" si="127">+SUM(G229:R229)</f>
        <v>5432.4700000000012</v>
      </c>
      <c r="T229" s="132"/>
      <c r="U229" s="138">
        <f t="shared" si="123"/>
        <v>0</v>
      </c>
      <c r="V229" s="138">
        <f t="shared" si="123"/>
        <v>0</v>
      </c>
      <c r="W229" s="138">
        <f t="shared" si="123"/>
        <v>0</v>
      </c>
      <c r="X229" s="138">
        <f t="shared" si="123"/>
        <v>0</v>
      </c>
      <c r="Y229" s="138">
        <f t="shared" si="123"/>
        <v>0</v>
      </c>
      <c r="Z229" s="138">
        <f t="shared" si="123"/>
        <v>0</v>
      </c>
      <c r="AA229" s="138">
        <f t="shared" si="123"/>
        <v>0</v>
      </c>
      <c r="AB229" s="138">
        <f t="shared" si="123"/>
        <v>0</v>
      </c>
      <c r="AC229" s="138">
        <f t="shared" si="123"/>
        <v>0</v>
      </c>
      <c r="AD229" s="138">
        <f t="shared" si="123"/>
        <v>0</v>
      </c>
      <c r="AE229" s="138">
        <f t="shared" si="114"/>
        <v>0</v>
      </c>
      <c r="AF229" s="138">
        <f t="shared" si="114"/>
        <v>0</v>
      </c>
      <c r="AG229" s="138"/>
      <c r="AH229" s="138"/>
      <c r="AI229" s="138">
        <f t="shared" ref="AI229:AI232" si="128">+SUM(U229:AF229)</f>
        <v>0</v>
      </c>
      <c r="AJ229" s="132"/>
      <c r="AK229" s="132"/>
      <c r="AL229" s="132"/>
      <c r="AM229" s="132"/>
      <c r="AN229" s="132"/>
      <c r="AO229" s="132"/>
      <c r="AP229" s="183"/>
      <c r="AQ229" s="132"/>
      <c r="AR229" s="132"/>
      <c r="AS229" s="132"/>
      <c r="AT229" s="214"/>
      <c r="AU229" s="132"/>
      <c r="AV229" s="132"/>
      <c r="AW229" s="132"/>
      <c r="AX229" s="132"/>
      <c r="AY229" s="132"/>
      <c r="AZ229" s="245"/>
    </row>
    <row r="230" spans="1:52" s="129" customFormat="1" ht="12" customHeight="1">
      <c r="A230" s="142" t="str">
        <f>$A$1&amp;"ACCOUNTING ADJUSTMENTS"&amp;C230</f>
        <v>Grays Harbor WUTCACCOUNTING ADJUSTMENTSADJ-FIN</v>
      </c>
      <c r="B230" s="142">
        <f>COUNTIF(C:C,C230)</f>
        <v>1</v>
      </c>
      <c r="C230" s="209" t="s">
        <v>630</v>
      </c>
      <c r="D230" s="209" t="s">
        <v>673</v>
      </c>
      <c r="E230" s="137">
        <v>0</v>
      </c>
      <c r="F230" s="137">
        <v>0</v>
      </c>
      <c r="G230" s="138">
        <v>-1</v>
      </c>
      <c r="H230" s="138">
        <v>-1</v>
      </c>
      <c r="I230" s="138">
        <v>0</v>
      </c>
      <c r="J230" s="138">
        <v>0</v>
      </c>
      <c r="K230" s="138">
        <v>-74.63</v>
      </c>
      <c r="L230" s="138">
        <v>-3</v>
      </c>
      <c r="M230" s="138">
        <v>0</v>
      </c>
      <c r="N230" s="138">
        <v>-35.99</v>
      </c>
      <c r="O230" s="138">
        <v>-15.14</v>
      </c>
      <c r="P230" s="138">
        <v>-10.629999999999999</v>
      </c>
      <c r="Q230" s="138">
        <v>-6.5600000000000005</v>
      </c>
      <c r="R230" s="138">
        <v>-5.96</v>
      </c>
      <c r="S230" s="139">
        <f t="shared" si="127"/>
        <v>-153.91</v>
      </c>
      <c r="T230" s="132"/>
      <c r="U230" s="138">
        <f t="shared" si="123"/>
        <v>0</v>
      </c>
      <c r="V230" s="138">
        <f t="shared" si="123"/>
        <v>0</v>
      </c>
      <c r="W230" s="138">
        <f t="shared" si="123"/>
        <v>0</v>
      </c>
      <c r="X230" s="138">
        <f t="shared" si="123"/>
        <v>0</v>
      </c>
      <c r="Y230" s="138">
        <f t="shared" si="123"/>
        <v>0</v>
      </c>
      <c r="Z230" s="138">
        <f t="shared" si="123"/>
        <v>0</v>
      </c>
      <c r="AA230" s="138">
        <f t="shared" si="123"/>
        <v>0</v>
      </c>
      <c r="AB230" s="138">
        <f t="shared" si="123"/>
        <v>0</v>
      </c>
      <c r="AC230" s="138">
        <f t="shared" si="123"/>
        <v>0</v>
      </c>
      <c r="AD230" s="138">
        <f t="shared" si="123"/>
        <v>0</v>
      </c>
      <c r="AE230" s="138">
        <f t="shared" si="114"/>
        <v>0</v>
      </c>
      <c r="AF230" s="138">
        <f t="shared" si="114"/>
        <v>0</v>
      </c>
      <c r="AG230" s="138"/>
      <c r="AH230" s="138"/>
      <c r="AI230" s="138">
        <f t="shared" si="128"/>
        <v>0</v>
      </c>
      <c r="AJ230" s="132"/>
      <c r="AK230" s="132"/>
      <c r="AL230" s="132"/>
      <c r="AM230" s="132"/>
      <c r="AN230" s="132"/>
      <c r="AO230" s="132"/>
      <c r="AP230" s="183"/>
      <c r="AQ230" s="132"/>
      <c r="AR230" s="132"/>
      <c r="AS230" s="132"/>
      <c r="AT230" s="214"/>
      <c r="AU230" s="132"/>
      <c r="AV230" s="132"/>
      <c r="AW230" s="132"/>
      <c r="AX230" s="132"/>
      <c r="AY230" s="132"/>
      <c r="AZ230" s="245"/>
    </row>
    <row r="231" spans="1:52" s="129" customFormat="1" ht="12" customHeight="1">
      <c r="A231" s="142" t="str">
        <f>$A$1&amp;"ACCOUNTING ADJUSTMENTS"&amp;C231</f>
        <v>Grays Harbor WUTCACCOUNTING ADJUSTMENTSCOLLFEE</v>
      </c>
      <c r="B231" s="142">
        <f>COUNTIF(C:C,C231)</f>
        <v>1</v>
      </c>
      <c r="C231" s="209" t="s">
        <v>631</v>
      </c>
      <c r="D231" s="209" t="s">
        <v>674</v>
      </c>
      <c r="E231" s="137">
        <v>0</v>
      </c>
      <c r="F231" s="137">
        <v>0</v>
      </c>
      <c r="G231" s="138">
        <v>-72.73</v>
      </c>
      <c r="H231" s="138">
        <v>-29.630000000000003</v>
      </c>
      <c r="I231" s="138">
        <v>-40.020000000000003</v>
      </c>
      <c r="J231" s="138">
        <v>0</v>
      </c>
      <c r="K231" s="138">
        <v>-51.16</v>
      </c>
      <c r="L231" s="138">
        <v>-4.04</v>
      </c>
      <c r="M231" s="138">
        <v>-5</v>
      </c>
      <c r="N231" s="138">
        <v>0</v>
      </c>
      <c r="O231" s="138">
        <v>-42.99</v>
      </c>
      <c r="P231" s="138">
        <v>-19.68</v>
      </c>
      <c r="Q231" s="138">
        <v>0</v>
      </c>
      <c r="R231" s="138">
        <v>-124.16</v>
      </c>
      <c r="S231" s="139">
        <f t="shared" si="127"/>
        <v>-389.40999999999997</v>
      </c>
      <c r="T231" s="132"/>
      <c r="U231" s="138">
        <f t="shared" si="123"/>
        <v>0</v>
      </c>
      <c r="V231" s="138">
        <f t="shared" si="123"/>
        <v>0</v>
      </c>
      <c r="W231" s="138">
        <f t="shared" si="123"/>
        <v>0</v>
      </c>
      <c r="X231" s="138">
        <f t="shared" si="123"/>
        <v>0</v>
      </c>
      <c r="Y231" s="138">
        <f t="shared" si="123"/>
        <v>0</v>
      </c>
      <c r="Z231" s="138">
        <f t="shared" si="123"/>
        <v>0</v>
      </c>
      <c r="AA231" s="138">
        <f t="shared" si="123"/>
        <v>0</v>
      </c>
      <c r="AB231" s="138">
        <f t="shared" si="123"/>
        <v>0</v>
      </c>
      <c r="AC231" s="138">
        <f t="shared" si="123"/>
        <v>0</v>
      </c>
      <c r="AD231" s="138">
        <f t="shared" si="123"/>
        <v>0</v>
      </c>
      <c r="AE231" s="138">
        <f t="shared" si="114"/>
        <v>0</v>
      </c>
      <c r="AF231" s="138">
        <f t="shared" si="114"/>
        <v>0</v>
      </c>
      <c r="AG231" s="138"/>
      <c r="AH231" s="138"/>
      <c r="AI231" s="138">
        <f t="shared" si="128"/>
        <v>0</v>
      </c>
      <c r="AJ231" s="132"/>
      <c r="AK231" s="132"/>
      <c r="AL231" s="132"/>
      <c r="AM231" s="132"/>
      <c r="AN231" s="132"/>
      <c r="AO231" s="132"/>
      <c r="AP231" s="183"/>
      <c r="AQ231" s="132"/>
      <c r="AR231" s="132"/>
      <c r="AS231" s="132"/>
      <c r="AT231" s="214"/>
      <c r="AU231" s="132"/>
      <c r="AV231" s="132"/>
      <c r="AW231" s="132"/>
      <c r="AX231" s="132"/>
      <c r="AY231" s="132"/>
      <c r="AZ231" s="245"/>
    </row>
    <row r="232" spans="1:52" s="129" customFormat="1" ht="12" customHeight="1">
      <c r="A232" s="142" t="str">
        <f>$A$1&amp;"ACCOUNTING ADJUSTMENTS"&amp;C232</f>
        <v>Grays Harbor WUTCACCOUNTING ADJUSTMENTSRETCKC</v>
      </c>
      <c r="B232" s="142">
        <f>COUNTIF(C:C,C232)</f>
        <v>1</v>
      </c>
      <c r="C232" s="209" t="s">
        <v>632</v>
      </c>
      <c r="D232" s="209" t="s">
        <v>633</v>
      </c>
      <c r="E232" s="137">
        <v>21.8</v>
      </c>
      <c r="F232" s="137">
        <v>21.8</v>
      </c>
      <c r="G232" s="138">
        <v>21.8</v>
      </c>
      <c r="H232" s="138">
        <v>0</v>
      </c>
      <c r="I232" s="138">
        <v>0</v>
      </c>
      <c r="J232" s="138">
        <v>0</v>
      </c>
      <c r="K232" s="138">
        <v>21.8</v>
      </c>
      <c r="L232" s="138">
        <v>65.400000000000006</v>
      </c>
      <c r="M232" s="138">
        <v>21.8</v>
      </c>
      <c r="N232" s="138">
        <v>0</v>
      </c>
      <c r="O232" s="138">
        <v>65.400000000000006</v>
      </c>
      <c r="P232" s="138">
        <v>43.6</v>
      </c>
      <c r="Q232" s="138">
        <v>21.8</v>
      </c>
      <c r="R232" s="138">
        <v>0</v>
      </c>
      <c r="S232" s="139">
        <f t="shared" si="127"/>
        <v>261.60000000000002</v>
      </c>
      <c r="T232" s="132"/>
      <c r="U232" s="138">
        <f t="shared" si="123"/>
        <v>1</v>
      </c>
      <c r="V232" s="138">
        <f t="shared" si="123"/>
        <v>0</v>
      </c>
      <c r="W232" s="138">
        <f t="shared" si="123"/>
        <v>0</v>
      </c>
      <c r="X232" s="138">
        <f t="shared" si="123"/>
        <v>0</v>
      </c>
      <c r="Y232" s="138">
        <f t="shared" si="123"/>
        <v>1</v>
      </c>
      <c r="Z232" s="138">
        <f t="shared" si="123"/>
        <v>3</v>
      </c>
      <c r="AA232" s="138">
        <f t="shared" si="123"/>
        <v>1</v>
      </c>
      <c r="AB232" s="138">
        <f t="shared" si="123"/>
        <v>0</v>
      </c>
      <c r="AC232" s="138">
        <f t="shared" si="123"/>
        <v>3</v>
      </c>
      <c r="AD232" s="138">
        <f t="shared" si="123"/>
        <v>2</v>
      </c>
      <c r="AE232" s="138">
        <f t="shared" si="114"/>
        <v>1</v>
      </c>
      <c r="AF232" s="138">
        <f t="shared" si="114"/>
        <v>0</v>
      </c>
      <c r="AG232" s="138"/>
      <c r="AH232" s="138"/>
      <c r="AI232" s="138">
        <f t="shared" si="128"/>
        <v>12</v>
      </c>
      <c r="AJ232" s="132"/>
      <c r="AK232" s="196">
        <f t="shared" ref="AK232" si="129">F232*$AM$2</f>
        <v>0.31559552920730416</v>
      </c>
      <c r="AL232" s="198">
        <f t="shared" ref="AL232" si="130">AK232*AI232</f>
        <v>3.7871463504876499</v>
      </c>
      <c r="AM232" s="197"/>
      <c r="AN232" s="196">
        <f t="shared" ref="AN232" si="131">F232+AK232</f>
        <v>22.115595529207305</v>
      </c>
      <c r="AO232" s="198">
        <f t="shared" ref="AO232" si="132">AI232*AN232</f>
        <v>265.38714635048768</v>
      </c>
      <c r="AP232" s="199">
        <f t="shared" ref="AP232" si="133">ROUND(F232*$AS$3,2)</f>
        <v>0.27</v>
      </c>
      <c r="AQ232" s="200">
        <f t="shared" ref="AQ232" si="134">AP232*AI232</f>
        <v>3.24</v>
      </c>
      <c r="AR232" s="132"/>
      <c r="AS232" s="201">
        <f t="shared" ref="AS232" si="135">AP232+F232</f>
        <v>22.07</v>
      </c>
      <c r="AT232" s="202">
        <f t="shared" ref="AT232" si="136">AS232*AI232</f>
        <v>264.84000000000003</v>
      </c>
      <c r="AU232" s="132"/>
      <c r="AV232" s="132"/>
      <c r="AW232" s="132"/>
      <c r="AX232" s="132"/>
      <c r="AY232" s="132"/>
      <c r="AZ232" s="245"/>
    </row>
    <row r="233" spans="1:52" s="129" customFormat="1" ht="12" customHeight="1">
      <c r="A233" s="142"/>
      <c r="B233" s="142"/>
      <c r="C233" s="213"/>
      <c r="D233" s="213"/>
      <c r="E233" s="137"/>
      <c r="F233" s="137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9"/>
      <c r="T233" s="132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  <c r="AI233" s="138"/>
      <c r="AJ233" s="132"/>
      <c r="AK233" s="132"/>
      <c r="AL233" s="132"/>
      <c r="AM233" s="132"/>
      <c r="AN233" s="132"/>
      <c r="AO233" s="132"/>
      <c r="AP233" s="183"/>
      <c r="AQ233" s="132"/>
      <c r="AR233" s="132"/>
      <c r="AS233" s="132"/>
      <c r="AT233" s="214"/>
      <c r="AU233" s="132"/>
      <c r="AV233" s="132"/>
      <c r="AW233" s="132"/>
      <c r="AX233" s="132"/>
      <c r="AY233" s="132"/>
      <c r="AZ233" s="245"/>
    </row>
    <row r="234" spans="1:52" s="129" customFormat="1" ht="12" customHeight="1">
      <c r="B234" s="142">
        <f>COUNTIF(C:C,C234)</f>
        <v>0</v>
      </c>
      <c r="C234" s="215"/>
      <c r="D234" s="216" t="s">
        <v>634</v>
      </c>
      <c r="E234" s="137"/>
      <c r="F234" s="137"/>
      <c r="G234" s="217">
        <f t="shared" ref="G234:R234" si="137">SUM(G229:G233)</f>
        <v>396.12</v>
      </c>
      <c r="H234" s="217">
        <f t="shared" si="137"/>
        <v>643.11</v>
      </c>
      <c r="I234" s="217">
        <f t="shared" si="137"/>
        <v>443.26</v>
      </c>
      <c r="J234" s="217">
        <f t="shared" si="137"/>
        <v>375.83000000000004</v>
      </c>
      <c r="K234" s="217">
        <f t="shared" si="137"/>
        <v>322.90000000000003</v>
      </c>
      <c r="L234" s="217">
        <f t="shared" si="137"/>
        <v>503.62</v>
      </c>
      <c r="M234" s="217">
        <f t="shared" si="137"/>
        <v>548.41</v>
      </c>
      <c r="N234" s="217">
        <f t="shared" si="137"/>
        <v>419.04</v>
      </c>
      <c r="O234" s="217">
        <f t="shared" si="137"/>
        <v>517.39</v>
      </c>
      <c r="P234" s="217">
        <f t="shared" si="137"/>
        <v>428.17999999999995</v>
      </c>
      <c r="Q234" s="217">
        <f t="shared" si="137"/>
        <v>435.76</v>
      </c>
      <c r="R234" s="217">
        <f t="shared" si="137"/>
        <v>117.13</v>
      </c>
      <c r="S234" s="217">
        <f>SUM(S229:S233)</f>
        <v>5150.7500000000018</v>
      </c>
      <c r="T234" s="132"/>
      <c r="U234" s="218">
        <f>SUM(U229:U233)</f>
        <v>1</v>
      </c>
      <c r="V234" s="218">
        <f t="shared" ref="V234:AI234" si="138">SUM(V229:V233)</f>
        <v>0</v>
      </c>
      <c r="W234" s="218">
        <f t="shared" si="138"/>
        <v>0</v>
      </c>
      <c r="X234" s="218">
        <f t="shared" si="138"/>
        <v>0</v>
      </c>
      <c r="Y234" s="218">
        <f t="shared" si="138"/>
        <v>1</v>
      </c>
      <c r="Z234" s="218">
        <f t="shared" si="138"/>
        <v>3</v>
      </c>
      <c r="AA234" s="218">
        <f t="shared" si="138"/>
        <v>1</v>
      </c>
      <c r="AB234" s="218">
        <f t="shared" si="138"/>
        <v>0</v>
      </c>
      <c r="AC234" s="218">
        <f t="shared" si="138"/>
        <v>3</v>
      </c>
      <c r="AD234" s="218">
        <f t="shared" si="138"/>
        <v>2</v>
      </c>
      <c r="AE234" s="218">
        <f t="shared" si="138"/>
        <v>1</v>
      </c>
      <c r="AF234" s="218">
        <f t="shared" si="138"/>
        <v>0</v>
      </c>
      <c r="AG234" s="218">
        <f t="shared" si="138"/>
        <v>0</v>
      </c>
      <c r="AH234" s="218"/>
      <c r="AI234" s="218">
        <f t="shared" si="138"/>
        <v>12</v>
      </c>
      <c r="AJ234" s="132"/>
      <c r="AK234" s="132"/>
      <c r="AL234" s="218">
        <f t="shared" ref="AL234" si="139">SUM(AL229:AL233)</f>
        <v>3.7871463504876499</v>
      </c>
      <c r="AM234" s="132"/>
      <c r="AN234" s="132"/>
      <c r="AO234" s="218">
        <f t="shared" ref="AO234" si="140">SUM(AO229:AO233)</f>
        <v>265.38714635048768</v>
      </c>
      <c r="AP234" s="219"/>
      <c r="AQ234" s="220">
        <f>SUM(AQ232)</f>
        <v>3.24</v>
      </c>
      <c r="AR234" s="132"/>
      <c r="AS234" s="221"/>
      <c r="AT234" s="222">
        <f>SUM(AT232)</f>
        <v>264.84000000000003</v>
      </c>
      <c r="AU234" s="132"/>
      <c r="AV234" s="132"/>
      <c r="AW234" s="132"/>
      <c r="AX234" s="132"/>
      <c r="AY234" s="132"/>
      <c r="AZ234" s="245"/>
    </row>
    <row r="235" spans="1:52" ht="12" customHeight="1">
      <c r="B235" s="142"/>
      <c r="C235" s="215"/>
      <c r="D235" s="216"/>
      <c r="E235" s="144"/>
      <c r="F235" s="137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44"/>
      <c r="AK235" s="144"/>
      <c r="AL235" s="144"/>
      <c r="AM235" s="144"/>
      <c r="AN235" s="144"/>
      <c r="AO235" s="144"/>
      <c r="AP235" s="225"/>
      <c r="AQ235" s="144"/>
      <c r="AR235" s="144" t="s">
        <v>635</v>
      </c>
      <c r="AS235" s="144"/>
      <c r="AT235" s="176"/>
      <c r="AU235" s="144"/>
      <c r="AV235" s="144"/>
      <c r="AW235" s="144"/>
      <c r="AX235" s="144"/>
      <c r="AY235" s="144"/>
    </row>
    <row r="236" spans="1:52" ht="12" customHeight="1" thickBot="1">
      <c r="B236" s="142">
        <f>COUNTIF(C:C,C236)</f>
        <v>0</v>
      </c>
      <c r="C236" s="172"/>
      <c r="D236" s="184" t="s">
        <v>636</v>
      </c>
      <c r="E236" s="144"/>
      <c r="F236" s="137"/>
      <c r="G236" s="217">
        <f t="shared" ref="G236:S236" si="141">SUM(G76,G82,G179,G221,G226,G234)</f>
        <v>343549.98000000004</v>
      </c>
      <c r="H236" s="217">
        <f t="shared" si="141"/>
        <v>338873.67499999999</v>
      </c>
      <c r="I236" s="217">
        <f t="shared" si="141"/>
        <v>338999.19500000007</v>
      </c>
      <c r="J236" s="217">
        <f t="shared" si="141"/>
        <v>346304.67500000005</v>
      </c>
      <c r="K236" s="217">
        <f t="shared" si="141"/>
        <v>335235.995</v>
      </c>
      <c r="L236" s="217">
        <f t="shared" si="141"/>
        <v>359781.01500000001</v>
      </c>
      <c r="M236" s="217">
        <f t="shared" si="141"/>
        <v>344060.93000000005</v>
      </c>
      <c r="N236" s="217">
        <f t="shared" si="141"/>
        <v>315690.0199999999</v>
      </c>
      <c r="O236" s="217">
        <f t="shared" si="141"/>
        <v>310357.01500000001</v>
      </c>
      <c r="P236" s="217">
        <f t="shared" si="141"/>
        <v>308125.00000000006</v>
      </c>
      <c r="Q236" s="217">
        <f t="shared" si="141"/>
        <v>307297.99000000005</v>
      </c>
      <c r="R236" s="217">
        <f t="shared" si="141"/>
        <v>311329.76500000001</v>
      </c>
      <c r="S236" s="217">
        <f t="shared" si="141"/>
        <v>3959605.2549999994</v>
      </c>
      <c r="T236" s="144"/>
      <c r="U236" s="218">
        <f t="shared" ref="U236:AG236" si="142">SUM(U76,U82,U179,U221,U226,U234)</f>
        <v>19240.133497088449</v>
      </c>
      <c r="V236" s="218">
        <f t="shared" si="142"/>
        <v>18795.328336672144</v>
      </c>
      <c r="W236" s="218">
        <f t="shared" si="142"/>
        <v>19372.558663428932</v>
      </c>
      <c r="X236" s="218">
        <f t="shared" si="142"/>
        <v>19287.445207734218</v>
      </c>
      <c r="Y236" s="218">
        <f t="shared" si="142"/>
        <v>18979.335200494319</v>
      </c>
      <c r="Z236" s="218">
        <f t="shared" si="142"/>
        <v>19992.883325127365</v>
      </c>
      <c r="AA236" s="218">
        <f t="shared" si="142"/>
        <v>19489.875390648638</v>
      </c>
      <c r="AB236" s="218">
        <f t="shared" si="142"/>
        <v>18236.132947573886</v>
      </c>
      <c r="AC236" s="218">
        <f t="shared" si="142"/>
        <v>17857.026704503754</v>
      </c>
      <c r="AD236" s="218">
        <f t="shared" si="142"/>
        <v>17956.772270370486</v>
      </c>
      <c r="AE236" s="218">
        <f t="shared" si="142"/>
        <v>18033.864300950176</v>
      </c>
      <c r="AF236" s="218">
        <f t="shared" si="142"/>
        <v>17697.598130679431</v>
      </c>
      <c r="AG236" s="218">
        <f t="shared" si="142"/>
        <v>14764.19225247905</v>
      </c>
      <c r="AH236" s="218"/>
      <c r="AI236" s="218">
        <f>SUM(AI76,AI82,AI179,AI221,AI226,AI234)</f>
        <v>251051.59700803051</v>
      </c>
      <c r="AJ236" s="144"/>
      <c r="AK236" s="144"/>
      <c r="AL236" s="144"/>
      <c r="AM236" s="144"/>
      <c r="AN236" s="144"/>
      <c r="AO236" s="144"/>
      <c r="AP236" s="225" t="s">
        <v>637</v>
      </c>
      <c r="AQ236" s="238">
        <f>SUM(AQ234,AQ221,AQ179,AQ76)</f>
        <v>36865.275112295087</v>
      </c>
      <c r="AR236" s="239">
        <v>36604.451359807979</v>
      </c>
      <c r="AS236" s="240">
        <f>AQ236-AR236</f>
        <v>260.82375248710741</v>
      </c>
      <c r="AT236" s="241">
        <f>SUM(AT234+AT221+AT179+AT82+AT76)</f>
        <v>3677026.3453458771</v>
      </c>
      <c r="AU236" s="144"/>
      <c r="AV236" s="144"/>
      <c r="AW236" s="144"/>
      <c r="AX236" s="144"/>
      <c r="AY236" s="144"/>
    </row>
    <row r="237" spans="1:52" ht="13.5" thickBot="1">
      <c r="C237" s="172"/>
      <c r="D237" s="172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242"/>
      <c r="V237" s="242"/>
      <c r="W237" s="242"/>
      <c r="X237" s="242"/>
      <c r="Y237" s="242"/>
      <c r="Z237" s="242"/>
      <c r="AA237" s="242"/>
      <c r="AB237" s="242"/>
      <c r="AC237" s="242"/>
      <c r="AD237" s="242"/>
      <c r="AE237" s="242"/>
      <c r="AF237" s="242"/>
      <c r="AG237" s="242"/>
      <c r="AH237" s="242"/>
      <c r="AI237" s="242"/>
      <c r="AJ237" s="144"/>
      <c r="AK237" s="144"/>
      <c r="AL237" s="144"/>
      <c r="AM237" s="144"/>
      <c r="AN237" s="144"/>
      <c r="AO237" s="144"/>
      <c r="AP237" s="225" t="s">
        <v>638</v>
      </c>
      <c r="AQ237" s="243">
        <f>AQ82</f>
        <v>85671.975388310049</v>
      </c>
      <c r="AR237" s="239">
        <v>85339.882669736049</v>
      </c>
      <c r="AS237" s="240">
        <f>AQ237-AR237</f>
        <v>332.09271857400017</v>
      </c>
      <c r="AT237" s="144"/>
      <c r="AU237" s="144"/>
      <c r="AV237" s="144"/>
      <c r="AW237" s="144"/>
      <c r="AX237" s="144"/>
      <c r="AY237" s="144"/>
    </row>
    <row r="238" spans="1:52"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242"/>
      <c r="V238" s="242"/>
      <c r="W238" s="242"/>
      <c r="X238" s="242"/>
      <c r="Y238" s="242"/>
      <c r="Z238" s="242"/>
      <c r="AA238" s="242"/>
      <c r="AB238" s="242"/>
      <c r="AC238" s="242"/>
      <c r="AD238" s="242"/>
      <c r="AE238" s="242"/>
      <c r="AF238" s="242"/>
      <c r="AG238" s="242"/>
      <c r="AH238" s="242"/>
      <c r="AI238" s="242"/>
      <c r="AJ238" s="144"/>
      <c r="AK238" s="144"/>
      <c r="AL238" s="144"/>
      <c r="AM238" s="144"/>
      <c r="AN238" s="144"/>
      <c r="AO238" s="144"/>
      <c r="AP238" s="225"/>
      <c r="AQ238" s="144"/>
      <c r="AR238" s="144"/>
      <c r="AS238" s="144"/>
      <c r="AT238" s="144"/>
      <c r="AU238" s="144"/>
      <c r="AV238" s="144"/>
      <c r="AW238" s="144"/>
      <c r="AX238" s="144"/>
      <c r="AY238" s="144"/>
    </row>
    <row r="240" spans="1:52">
      <c r="G240" s="150"/>
      <c r="H240" s="150"/>
    </row>
  </sheetData>
  <mergeCells count="3">
    <mergeCell ref="AP1:AT1"/>
    <mergeCell ref="AN5:AO5"/>
    <mergeCell ref="E2:F2"/>
  </mergeCells>
  <pageMargins left="0.7" right="0.7" top="0.75" bottom="0.75" header="0.3" footer="0.3"/>
  <pageSetup scale="60" fitToHeight="3" pageOrder="overThenDown" orientation="portrait" r:id="rId1"/>
  <colBreaks count="1" manualBreakCount="1">
    <brk id="36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Normal="100" zoomScaleSheetLayoutView="100" workbookViewId="0">
      <selection activeCell="I73" sqref="I73"/>
    </sheetView>
  </sheetViews>
  <sheetFormatPr defaultRowHeight="15"/>
  <cols>
    <col min="1" max="1" width="22.28515625" style="153" customWidth="1"/>
    <col min="2" max="3" width="11.5703125" style="153" bestFit="1" customWidth="1"/>
    <col min="4" max="4" width="13.140625" style="154" bestFit="1" customWidth="1"/>
    <col min="5" max="5" width="13.140625" style="153" customWidth="1"/>
    <col min="6" max="6" width="14.5703125" style="153" bestFit="1" customWidth="1"/>
    <col min="7" max="13" width="11.5703125" style="153" bestFit="1" customWidth="1"/>
    <col min="14" max="16384" width="9.140625" style="153"/>
  </cols>
  <sheetData>
    <row r="1" spans="1:7" ht="45.75" customHeight="1">
      <c r="A1" s="248" t="s">
        <v>433</v>
      </c>
      <c r="B1" s="249"/>
      <c r="C1" s="249"/>
      <c r="D1" s="270" t="s">
        <v>671</v>
      </c>
      <c r="E1" s="270"/>
      <c r="F1" s="249"/>
      <c r="G1" s="249"/>
    </row>
    <row r="2" spans="1:7">
      <c r="A2" s="250" t="s">
        <v>639</v>
      </c>
      <c r="B2" s="249"/>
      <c r="C2" s="249"/>
      <c r="D2" s="251"/>
      <c r="E2" s="249"/>
      <c r="F2" s="249"/>
      <c r="G2" s="249"/>
    </row>
    <row r="3" spans="1:7">
      <c r="A3" s="250" t="s">
        <v>494</v>
      </c>
      <c r="B3" s="249"/>
      <c r="C3" s="249"/>
      <c r="D3" s="251"/>
      <c r="E3" s="249"/>
      <c r="F3" s="249"/>
      <c r="G3" s="249"/>
    </row>
    <row r="4" spans="1:7">
      <c r="A4" s="181"/>
      <c r="B4" s="249"/>
      <c r="C4" s="249"/>
      <c r="D4" s="251"/>
      <c r="E4" s="249"/>
      <c r="F4" s="249"/>
      <c r="G4" s="249"/>
    </row>
    <row r="5" spans="1:7">
      <c r="A5" s="271" t="s">
        <v>640</v>
      </c>
      <c r="B5" s="271"/>
      <c r="C5" s="271"/>
      <c r="D5" s="271"/>
      <c r="E5" s="271"/>
      <c r="F5" s="271"/>
      <c r="G5" s="249"/>
    </row>
    <row r="6" spans="1:7">
      <c r="A6" s="252" t="s">
        <v>436</v>
      </c>
      <c r="B6" s="250" t="s">
        <v>641</v>
      </c>
      <c r="C6" s="250" t="s">
        <v>642</v>
      </c>
      <c r="D6" s="250" t="s">
        <v>643</v>
      </c>
      <c r="E6" s="250" t="s">
        <v>439</v>
      </c>
      <c r="F6" s="250" t="s">
        <v>644</v>
      </c>
      <c r="G6" s="249"/>
    </row>
    <row r="7" spans="1:7">
      <c r="A7" s="253" t="s">
        <v>645</v>
      </c>
      <c r="B7" s="124">
        <v>208671.21999999997</v>
      </c>
      <c r="C7" s="124">
        <v>96.73</v>
      </c>
      <c r="D7" s="254">
        <f>+B7/C7</f>
        <v>2157.2544195182463</v>
      </c>
      <c r="E7" s="124">
        <f>+D7*$B$21</f>
        <v>728.43529118444508</v>
      </c>
      <c r="F7" s="124">
        <f t="shared" ref="F7:F18" si="0">+D7*$B$22</f>
        <v>1428.8191283338012</v>
      </c>
      <c r="G7" s="249"/>
    </row>
    <row r="8" spans="1:7">
      <c r="A8" s="253" t="s">
        <v>646</v>
      </c>
      <c r="B8" s="124">
        <v>248284.55000000002</v>
      </c>
      <c r="C8" s="124">
        <v>96.73</v>
      </c>
      <c r="D8" s="254">
        <f>+B8/C8</f>
        <v>2566.7791791584823</v>
      </c>
      <c r="E8" s="124">
        <f t="shared" ref="E8:E18" si="1">+D8*$B$21</f>
        <v>866.71860391600205</v>
      </c>
      <c r="F8" s="124">
        <f t="shared" si="0"/>
        <v>1700.0605752424801</v>
      </c>
      <c r="G8" s="249"/>
    </row>
    <row r="9" spans="1:7">
      <c r="A9" s="253" t="s">
        <v>647</v>
      </c>
      <c r="B9" s="124">
        <v>222701.8</v>
      </c>
      <c r="C9" s="124">
        <v>96.73</v>
      </c>
      <c r="D9" s="254">
        <f t="shared" ref="D9:D18" si="2">+B9/C9</f>
        <v>2302.303318515455</v>
      </c>
      <c r="E9" s="124">
        <f t="shared" si="1"/>
        <v>777.41362958581465</v>
      </c>
      <c r="F9" s="124">
        <f t="shared" si="0"/>
        <v>1524.8896889296402</v>
      </c>
      <c r="G9" s="249"/>
    </row>
    <row r="10" spans="1:7">
      <c r="A10" s="253" t="s">
        <v>648</v>
      </c>
      <c r="B10" s="124">
        <v>213513.59999999998</v>
      </c>
      <c r="C10" s="124">
        <v>96.73</v>
      </c>
      <c r="D10" s="254">
        <f t="shared" si="2"/>
        <v>2207.3152072779899</v>
      </c>
      <c r="E10" s="124">
        <f t="shared" si="1"/>
        <v>745.33920579866799</v>
      </c>
      <c r="F10" s="124">
        <f t="shared" si="0"/>
        <v>1461.9760014793219</v>
      </c>
      <c r="G10" s="249"/>
    </row>
    <row r="11" spans="1:7">
      <c r="A11" s="253" t="s">
        <v>649</v>
      </c>
      <c r="B11" s="124">
        <v>208884.33000000002</v>
      </c>
      <c r="C11" s="124">
        <v>96.73</v>
      </c>
      <c r="D11" s="254">
        <f t="shared" si="2"/>
        <v>2159.4575622867778</v>
      </c>
      <c r="E11" s="124">
        <f t="shared" si="1"/>
        <v>729.17922149215281</v>
      </c>
      <c r="F11" s="124">
        <f t="shared" si="0"/>
        <v>1430.2783407946249</v>
      </c>
      <c r="G11" s="249"/>
    </row>
    <row r="12" spans="1:7">
      <c r="A12" s="253" t="s">
        <v>650</v>
      </c>
      <c r="B12" s="124">
        <v>228110.38999999998</v>
      </c>
      <c r="C12" s="124">
        <v>96.73</v>
      </c>
      <c r="D12" s="254">
        <f t="shared" si="2"/>
        <v>2358.2176160446602</v>
      </c>
      <c r="E12" s="124">
        <f t="shared" si="1"/>
        <v>796.29408579605433</v>
      </c>
      <c r="F12" s="124">
        <f t="shared" si="0"/>
        <v>1561.9235302486059</v>
      </c>
      <c r="G12" s="249"/>
    </row>
    <row r="13" spans="1:7">
      <c r="A13" s="253" t="s">
        <v>651</v>
      </c>
      <c r="B13" s="124">
        <v>207370.69</v>
      </c>
      <c r="C13" s="124">
        <v>96.73</v>
      </c>
      <c r="D13" s="254">
        <f t="shared" si="2"/>
        <v>2143.8094696578105</v>
      </c>
      <c r="E13" s="124">
        <f t="shared" si="1"/>
        <v>723.89536493470121</v>
      </c>
      <c r="F13" s="124">
        <f t="shared" si="0"/>
        <v>1419.9141047231092</v>
      </c>
      <c r="G13" s="249"/>
    </row>
    <row r="14" spans="1:7">
      <c r="A14" s="253" t="s">
        <v>652</v>
      </c>
      <c r="B14" s="124">
        <v>205359.54</v>
      </c>
      <c r="C14" s="124">
        <v>96.73</v>
      </c>
      <c r="D14" s="254">
        <f t="shared" si="2"/>
        <v>2123.0180915951619</v>
      </c>
      <c r="E14" s="124">
        <f t="shared" si="1"/>
        <v>716.87478664956154</v>
      </c>
      <c r="F14" s="124">
        <f t="shared" si="0"/>
        <v>1406.1433049456002</v>
      </c>
      <c r="G14" s="249"/>
    </row>
    <row r="15" spans="1:7">
      <c r="A15" s="253" t="s">
        <v>653</v>
      </c>
      <c r="B15" s="124">
        <v>209749.99999999997</v>
      </c>
      <c r="C15" s="124">
        <v>96.73</v>
      </c>
      <c r="D15" s="254">
        <f t="shared" si="2"/>
        <v>2168.406905820324</v>
      </c>
      <c r="E15" s="124">
        <f t="shared" si="1"/>
        <v>732.20112637448199</v>
      </c>
      <c r="F15" s="124">
        <f t="shared" si="0"/>
        <v>1436.2057794458419</v>
      </c>
      <c r="G15" s="249"/>
    </row>
    <row r="16" spans="1:7">
      <c r="A16" s="253" t="s">
        <v>654</v>
      </c>
      <c r="B16" s="124">
        <v>191114.56</v>
      </c>
      <c r="C16" s="124">
        <v>96.73</v>
      </c>
      <c r="D16" s="254">
        <f t="shared" si="2"/>
        <v>1975.7527137392742</v>
      </c>
      <c r="E16" s="124">
        <f t="shared" si="1"/>
        <v>667.14801477265109</v>
      </c>
      <c r="F16" s="124">
        <f t="shared" si="0"/>
        <v>1308.6046989666231</v>
      </c>
      <c r="G16" s="249"/>
    </row>
    <row r="17" spans="1:7">
      <c r="A17" s="253" t="s">
        <v>655</v>
      </c>
      <c r="B17" s="124">
        <v>216189.27</v>
      </c>
      <c r="C17" s="124">
        <v>101</v>
      </c>
      <c r="D17" s="254">
        <f t="shared" si="2"/>
        <v>2140.4878217821779</v>
      </c>
      <c r="E17" s="124">
        <f t="shared" si="1"/>
        <v>722.77375150069611</v>
      </c>
      <c r="F17" s="124">
        <f t="shared" si="0"/>
        <v>1417.7140702814818</v>
      </c>
      <c r="G17" s="249"/>
    </row>
    <row r="18" spans="1:7">
      <c r="A18" s="253" t="s">
        <v>656</v>
      </c>
      <c r="B18" s="124">
        <v>181552.27999999997</v>
      </c>
      <c r="C18" s="124">
        <v>101</v>
      </c>
      <c r="D18" s="254">
        <f t="shared" si="2"/>
        <v>1797.5473267326729</v>
      </c>
      <c r="E18" s="124">
        <f t="shared" si="1"/>
        <v>606.97379897302392</v>
      </c>
      <c r="F18" s="124">
        <f t="shared" si="0"/>
        <v>1190.5735277596491</v>
      </c>
      <c r="G18" s="249"/>
    </row>
    <row r="19" spans="1:7">
      <c r="A19" s="255"/>
      <c r="B19" s="249"/>
      <c r="C19" s="249"/>
      <c r="D19" s="251"/>
      <c r="E19" s="254">
        <f>SUM(E7:E18)</f>
        <v>8813.2468809782513</v>
      </c>
      <c r="F19" s="254">
        <f>SUM(F7:F18)</f>
        <v>17287.102751150778</v>
      </c>
      <c r="G19" s="249"/>
    </row>
    <row r="20" spans="1:7">
      <c r="A20" s="271" t="s">
        <v>657</v>
      </c>
      <c r="B20" s="272"/>
      <c r="C20" s="272"/>
      <c r="D20" s="272"/>
      <c r="E20" s="272"/>
      <c r="F20" s="272"/>
      <c r="G20" s="249"/>
    </row>
    <row r="21" spans="1:7">
      <c r="A21" s="252" t="s">
        <v>439</v>
      </c>
      <c r="B21" s="256">
        <v>0.33766777093780054</v>
      </c>
      <c r="C21" s="249"/>
      <c r="D21" s="249"/>
      <c r="E21" s="249"/>
      <c r="F21" s="249"/>
      <c r="G21" s="249"/>
    </row>
    <row r="22" spans="1:7">
      <c r="A22" s="257" t="s">
        <v>644</v>
      </c>
      <c r="B22" s="258">
        <f>1-B21</f>
        <v>0.66233222906219946</v>
      </c>
      <c r="C22" s="251"/>
      <c r="D22" s="249"/>
      <c r="E22" s="249"/>
      <c r="F22" s="249"/>
      <c r="G22" s="249"/>
    </row>
    <row r="23" spans="1:7">
      <c r="A23" s="249"/>
      <c r="B23" s="249"/>
      <c r="C23" s="251"/>
      <c r="D23" s="249"/>
      <c r="E23" s="249"/>
      <c r="F23" s="249"/>
      <c r="G23" s="249"/>
    </row>
    <row r="24" spans="1:7">
      <c r="A24" s="249"/>
      <c r="B24" s="249"/>
      <c r="C24" s="251"/>
      <c r="D24" s="249"/>
      <c r="E24" s="249"/>
      <c r="F24" s="249"/>
      <c r="G24" s="249"/>
    </row>
    <row r="25" spans="1:7">
      <c r="A25" s="249"/>
      <c r="B25" s="249"/>
      <c r="C25" s="251"/>
      <c r="D25" s="249"/>
      <c r="E25" s="249"/>
      <c r="F25" s="249"/>
      <c r="G25" s="249"/>
    </row>
    <row r="26" spans="1:7">
      <c r="A26" s="249"/>
      <c r="B26" s="249"/>
      <c r="C26" s="251"/>
      <c r="D26" s="249"/>
      <c r="E26" s="249"/>
      <c r="F26" s="249"/>
      <c r="G26" s="249"/>
    </row>
    <row r="27" spans="1:7">
      <c r="A27" s="249"/>
      <c r="B27" s="249"/>
      <c r="C27" s="251"/>
      <c r="D27" s="249"/>
      <c r="E27" s="249"/>
      <c r="F27" s="249"/>
      <c r="G27" s="249"/>
    </row>
    <row r="28" spans="1:7">
      <c r="C28" s="154"/>
      <c r="D28" s="153"/>
    </row>
    <row r="29" spans="1:7">
      <c r="C29" s="154"/>
      <c r="D29" s="153"/>
    </row>
    <row r="30" spans="1:7">
      <c r="C30" s="154"/>
      <c r="D30" s="153"/>
    </row>
    <row r="31" spans="1:7">
      <c r="C31" s="154"/>
      <c r="D31" s="153"/>
    </row>
    <row r="32" spans="1:7">
      <c r="C32" s="154"/>
      <c r="D32" s="153"/>
    </row>
    <row r="33" spans="3:4">
      <c r="C33" s="154"/>
      <c r="D33" s="153"/>
    </row>
    <row r="34" spans="3:4">
      <c r="C34" s="154"/>
      <c r="D34" s="153"/>
    </row>
    <row r="35" spans="3:4">
      <c r="C35" s="154"/>
      <c r="D35" s="153"/>
    </row>
    <row r="36" spans="3:4">
      <c r="C36" s="154"/>
      <c r="D36" s="153"/>
    </row>
    <row r="37" spans="3:4">
      <c r="C37" s="154"/>
      <c r="D37" s="153"/>
    </row>
    <row r="38" spans="3:4">
      <c r="C38" s="154"/>
      <c r="D38" s="153"/>
    </row>
    <row r="39" spans="3:4">
      <c r="C39" s="154"/>
      <c r="D39" s="153"/>
    </row>
  </sheetData>
  <mergeCells count="3">
    <mergeCell ref="A5:F5"/>
    <mergeCell ref="A20:F20"/>
    <mergeCell ref="D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2019-11-12T08:00:00+00:00</OpenedDate>
    <SignificantOrder xmlns="dc463f71-b30c-4ab2-9473-d307f9d35888">false</SignificantOrder>
    <Date1 xmlns="dc463f71-b30c-4ab2-9473-d307f9d35888">2019-11-12T08:00:00+00:00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190934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612B8333ED03544B6FD6FFC3946E9C4" ma:contentTypeVersion="56" ma:contentTypeDescription="" ma:contentTypeScope="" ma:versionID="35e63c55c30fe932b01c51c788446c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DA519-8BE4-4984-AF59-50DD6E323FE5}"/>
</file>

<file path=customXml/itemProps4.xml><?xml version="1.0" encoding="utf-8"?>
<ds:datastoreItem xmlns:ds="http://schemas.openxmlformats.org/officeDocument/2006/customXml" ds:itemID="{3909170D-BCED-490F-8EAA-A20069702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Gray's DF Calc</vt:lpstr>
      <vt:lpstr>Proposed Rates</vt:lpstr>
      <vt:lpstr>Price Out</vt:lpstr>
      <vt:lpstr>Disposal</vt:lpstr>
      <vt:lpstr>Disposal!Print_Area</vt:lpstr>
      <vt:lpstr>'Gray''s DF Calc'!Print_Area</vt:lpstr>
      <vt:lpstr>'Price Out'!Print_Area</vt:lpstr>
      <vt:lpstr>'Gray''s DF Calc'!Print_Titles</vt:lpstr>
      <vt:lpstr>'Price Out'!Print_Titles</vt:lpstr>
      <vt:lpstr>'Proposed Rates'!Print_Titles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Heather Garland</cp:lastModifiedBy>
  <cp:lastPrinted>2018-11-11T19:40:08Z</cp:lastPrinted>
  <dcterms:created xsi:type="dcterms:W3CDTF">2013-10-29T22:33:54Z</dcterms:created>
  <dcterms:modified xsi:type="dcterms:W3CDTF">2019-11-11T21:47:38Z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0x0101006E56B4D1795A2E4DB2F0B01679ED314A00A612B8333ED03544B6FD6FFC3946E9C4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