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General Rate Case\2019\Submittal\"/>
    </mc:Choice>
  </mc:AlternateContent>
  <xr:revisionPtr revIDLastSave="0" documentId="13_ncr:1_{78B4F44D-3109-407F-9750-4A3B18BE4621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8" r:id="rId1"/>
    <sheet name="References" sheetId="4" r:id="rId2"/>
    <sheet name="Staff Calc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7" i="7" l="1"/>
  <c r="Q238" i="7"/>
  <c r="Q239" i="7"/>
  <c r="Q240" i="7"/>
  <c r="Q241" i="7"/>
  <c r="Q242" i="7"/>
  <c r="Q243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36" i="7"/>
  <c r="E27" i="7" l="1"/>
  <c r="E182" i="7"/>
  <c r="G182" i="7" s="1"/>
  <c r="I182" i="7" s="1"/>
  <c r="Q182" i="7" l="1"/>
  <c r="E31" i="7"/>
  <c r="E30" i="7"/>
  <c r="E29" i="7"/>
  <c r="E28" i="7"/>
  <c r="Q3" i="7" l="1"/>
  <c r="Q5" i="7"/>
  <c r="Q4" i="7"/>
  <c r="G147" i="7" l="1"/>
  <c r="N151" i="7"/>
  <c r="N149" i="7"/>
  <c r="N147" i="7"/>
  <c r="Q168" i="7"/>
  <c r="Q167" i="7"/>
  <c r="G167" i="7"/>
  <c r="I167" i="7" s="1"/>
  <c r="G166" i="7"/>
  <c r="E108" i="7"/>
  <c r="Q176" i="7"/>
  <c r="G176" i="7"/>
  <c r="I176" i="7" s="1"/>
  <c r="G161" i="7"/>
  <c r="G186" i="7"/>
  <c r="E190" i="7"/>
  <c r="G127" i="7"/>
  <c r="G171" i="7"/>
  <c r="Q147" i="7" l="1"/>
  <c r="Q31" i="7" l="1"/>
  <c r="Q32" i="7"/>
  <c r="G97" i="7"/>
  <c r="Q97" i="7"/>
  <c r="Q215" i="7" l="1"/>
  <c r="Q234" i="7"/>
  <c r="Q166" i="7"/>
  <c r="G120" i="7" l="1"/>
  <c r="I120" i="7" s="1"/>
  <c r="Q120" i="7" l="1"/>
  <c r="Q79" i="7"/>
  <c r="E79" i="7"/>
  <c r="E85" i="7"/>
  <c r="E88" i="7"/>
  <c r="E91" i="7"/>
  <c r="E94" i="7"/>
  <c r="E37" i="7" l="1"/>
  <c r="Q37" i="7" s="1"/>
  <c r="E36" i="7"/>
  <c r="Q36" i="7" s="1"/>
  <c r="E189" i="7" l="1"/>
  <c r="G189" i="7" s="1"/>
  <c r="Q6" i="7" l="1"/>
  <c r="Q30" i="7" l="1"/>
  <c r="G185" i="7" l="1"/>
  <c r="G159" i="7"/>
  <c r="Q159" i="7" s="1"/>
  <c r="G181" i="7" l="1"/>
  <c r="E181" i="7"/>
  <c r="Q181" i="7" s="1"/>
  <c r="E128" i="7"/>
  <c r="E187" i="7"/>
  <c r="G187" i="7" s="1"/>
  <c r="G193" i="7"/>
  <c r="H121" i="7"/>
  <c r="G121" i="7"/>
  <c r="G122" i="7"/>
  <c r="Q122" i="7" l="1"/>
  <c r="I121" i="7"/>
  <c r="I122" i="7"/>
  <c r="Q121" i="7"/>
  <c r="G190" i="7" l="1"/>
  <c r="E188" i="7"/>
  <c r="G188" i="7" s="1"/>
  <c r="E183" i="7"/>
  <c r="G183" i="7" s="1"/>
  <c r="Q28" i="7"/>
  <c r="E152" i="7"/>
  <c r="G173" i="7"/>
  <c r="E175" i="7"/>
  <c r="G175" i="7" s="1"/>
  <c r="E174" i="7"/>
  <c r="G174" i="7" s="1"/>
  <c r="Q29" i="7"/>
  <c r="P7" i="7" l="1"/>
  <c r="R7" i="7" s="1"/>
  <c r="S7" i="7" s="1"/>
  <c r="E7" i="7"/>
  <c r="O182" i="7" s="1"/>
  <c r="E75" i="7"/>
  <c r="T182" i="7" l="1"/>
  <c r="U182" i="7" s="1"/>
  <c r="P182" i="7"/>
  <c r="R182" i="7" s="1"/>
  <c r="S182" i="7" s="1"/>
  <c r="O246" i="7"/>
  <c r="O250" i="7"/>
  <c r="O254" i="7"/>
  <c r="O258" i="7"/>
  <c r="O262" i="7"/>
  <c r="O267" i="7"/>
  <c r="P267" i="7" s="1"/>
  <c r="R267" i="7" s="1"/>
  <c r="S267" i="7" s="1"/>
  <c r="O271" i="7"/>
  <c r="O275" i="7"/>
  <c r="O279" i="7"/>
  <c r="O245" i="7"/>
  <c r="O257" i="7"/>
  <c r="O274" i="7"/>
  <c r="O247" i="7"/>
  <c r="O251" i="7"/>
  <c r="O255" i="7"/>
  <c r="O259" i="7"/>
  <c r="O263" i="7"/>
  <c r="O268" i="7"/>
  <c r="P268" i="7" s="1"/>
  <c r="R268" i="7" s="1"/>
  <c r="S268" i="7" s="1"/>
  <c r="O272" i="7"/>
  <c r="O276" i="7"/>
  <c r="O280" i="7"/>
  <c r="O253" i="7"/>
  <c r="O265" i="7"/>
  <c r="O278" i="7"/>
  <c r="O248" i="7"/>
  <c r="O252" i="7"/>
  <c r="O256" i="7"/>
  <c r="O260" i="7"/>
  <c r="O264" i="7"/>
  <c r="O269" i="7"/>
  <c r="O273" i="7"/>
  <c r="O277" i="7"/>
  <c r="O281" i="7"/>
  <c r="O249" i="7"/>
  <c r="O261" i="7"/>
  <c r="O270" i="7"/>
  <c r="O282" i="7"/>
  <c r="O160" i="7"/>
  <c r="P160" i="7" s="1"/>
  <c r="O129" i="7"/>
  <c r="P129" i="7" s="1"/>
  <c r="O168" i="7"/>
  <c r="O167" i="7"/>
  <c r="O151" i="7"/>
  <c r="O147" i="7"/>
  <c r="O149" i="7"/>
  <c r="O105" i="7"/>
  <c r="O176" i="7"/>
  <c r="O241" i="7"/>
  <c r="P241" i="7" s="1"/>
  <c r="R241" i="7" s="1"/>
  <c r="S241" i="7" s="1"/>
  <c r="O236" i="7"/>
  <c r="P236" i="7" s="1"/>
  <c r="R236" i="7" s="1"/>
  <c r="S236" i="7" s="1"/>
  <c r="O239" i="7"/>
  <c r="P239" i="7" s="1"/>
  <c r="R239" i="7" s="1"/>
  <c r="S239" i="7" s="1"/>
  <c r="O242" i="7"/>
  <c r="P242" i="7" s="1"/>
  <c r="R242" i="7" s="1"/>
  <c r="S242" i="7" s="1"/>
  <c r="O243" i="7"/>
  <c r="P243" i="7" s="1"/>
  <c r="R243" i="7" s="1"/>
  <c r="S243" i="7" s="1"/>
  <c r="O237" i="7"/>
  <c r="P237" i="7" s="1"/>
  <c r="R237" i="7" s="1"/>
  <c r="S237" i="7" s="1"/>
  <c r="O240" i="7"/>
  <c r="P240" i="7" s="1"/>
  <c r="R240" i="7" s="1"/>
  <c r="S240" i="7" s="1"/>
  <c r="O215" i="7"/>
  <c r="O238" i="7"/>
  <c r="P238" i="7" s="1"/>
  <c r="R238" i="7" s="1"/>
  <c r="S238" i="7" s="1"/>
  <c r="O234" i="7"/>
  <c r="O166" i="7"/>
  <c r="O159" i="7"/>
  <c r="T159" i="7" s="1"/>
  <c r="U159" i="7" s="1"/>
  <c r="O120" i="7"/>
  <c r="O122" i="7"/>
  <c r="O121" i="7"/>
  <c r="O233" i="7"/>
  <c r="O72" i="7"/>
  <c r="O82" i="7"/>
  <c r="O153" i="7"/>
  <c r="O52" i="7"/>
  <c r="O185" i="7"/>
  <c r="O33" i="7"/>
  <c r="O64" i="7"/>
  <c r="O48" i="7"/>
  <c r="O98" i="7"/>
  <c r="O135" i="7"/>
  <c r="O202" i="7"/>
  <c r="O23" i="7"/>
  <c r="O56" i="7"/>
  <c r="O113" i="7"/>
  <c r="O37" i="7"/>
  <c r="O68" i="7"/>
  <c r="O90" i="7"/>
  <c r="O124" i="7"/>
  <c r="O29" i="7"/>
  <c r="O60" i="7"/>
  <c r="O44" i="7"/>
  <c r="O107" i="7"/>
  <c r="O139" i="7"/>
  <c r="O173" i="7"/>
  <c r="O164" i="7"/>
  <c r="O189" i="7"/>
  <c r="O211" i="7"/>
  <c r="O222" i="7"/>
  <c r="O32" i="7"/>
  <c r="O67" i="7"/>
  <c r="O55" i="7"/>
  <c r="O47" i="7"/>
  <c r="O83" i="7"/>
  <c r="O100" i="7"/>
  <c r="O114" i="7"/>
  <c r="O136" i="7"/>
  <c r="O158" i="7"/>
  <c r="O148" i="7"/>
  <c r="O186" i="7"/>
  <c r="O190" i="7"/>
  <c r="O205" i="7"/>
  <c r="O178" i="7"/>
  <c r="O226" i="7"/>
  <c r="O39" i="7"/>
  <c r="O35" i="7"/>
  <c r="O31" i="7"/>
  <c r="O42" i="7"/>
  <c r="O70" i="7"/>
  <c r="O66" i="7"/>
  <c r="O62" i="7"/>
  <c r="O58" i="7"/>
  <c r="O54" i="7"/>
  <c r="O50" i="7"/>
  <c r="O46" i="7"/>
  <c r="O78" i="7"/>
  <c r="O86" i="7"/>
  <c r="O94" i="7"/>
  <c r="O103" i="7"/>
  <c r="O117" i="7"/>
  <c r="O133" i="7"/>
  <c r="O137" i="7"/>
  <c r="O145" i="7"/>
  <c r="O157" i="7"/>
  <c r="O171" i="7"/>
  <c r="O175" i="7"/>
  <c r="O187" i="7"/>
  <c r="O193" i="7"/>
  <c r="O206" i="7"/>
  <c r="O181" i="7"/>
  <c r="O230" i="7"/>
  <c r="O14" i="7"/>
  <c r="O22" i="7"/>
  <c r="O27" i="7"/>
  <c r="O36" i="7"/>
  <c r="O28" i="7"/>
  <c r="O71" i="7"/>
  <c r="O63" i="7"/>
  <c r="O59" i="7"/>
  <c r="O51" i="7"/>
  <c r="O43" i="7"/>
  <c r="O91" i="7"/>
  <c r="O108" i="7"/>
  <c r="O125" i="7"/>
  <c r="O140" i="7"/>
  <c r="O174" i="7"/>
  <c r="O38" i="7"/>
  <c r="O34" i="7"/>
  <c r="O30" i="7"/>
  <c r="O73" i="7"/>
  <c r="O69" i="7"/>
  <c r="O65" i="7"/>
  <c r="O61" i="7"/>
  <c r="O57" i="7"/>
  <c r="O53" i="7"/>
  <c r="O49" i="7"/>
  <c r="O45" i="7"/>
  <c r="O79" i="7"/>
  <c r="O87" i="7"/>
  <c r="O95" i="7"/>
  <c r="O104" i="7"/>
  <c r="O111" i="7"/>
  <c r="O118" i="7"/>
  <c r="O134" i="7"/>
  <c r="O138" i="7"/>
  <c r="O165" i="7"/>
  <c r="O154" i="7"/>
  <c r="O172" i="7"/>
  <c r="O183" i="7"/>
  <c r="O188" i="7"/>
  <c r="O201" i="7"/>
  <c r="O209" i="7"/>
  <c r="O217" i="7"/>
  <c r="O80" i="7"/>
  <c r="O84" i="7"/>
  <c r="O88" i="7"/>
  <c r="O92" i="7"/>
  <c r="O96" i="7"/>
  <c r="O101" i="7"/>
  <c r="O109" i="7"/>
  <c r="O112" i="7"/>
  <c r="O115" i="7"/>
  <c r="P115" i="7" s="1"/>
  <c r="O119" i="7"/>
  <c r="O146" i="7"/>
  <c r="O163" i="7"/>
  <c r="O156" i="7"/>
  <c r="O152" i="7"/>
  <c r="O199" i="7"/>
  <c r="O203" i="7"/>
  <c r="O207" i="7"/>
  <c r="O179" i="7"/>
  <c r="O213" i="7"/>
  <c r="O126" i="7"/>
  <c r="O192" i="7"/>
  <c r="O224" i="7"/>
  <c r="O228" i="7"/>
  <c r="O232" i="7"/>
  <c r="O210" i="7"/>
  <c r="O212" i="7"/>
  <c r="O177" i="7"/>
  <c r="O216" i="7"/>
  <c r="O191" i="7"/>
  <c r="O223" i="7"/>
  <c r="O227" i="7"/>
  <c r="O231" i="7"/>
  <c r="O77" i="7"/>
  <c r="O81" i="7"/>
  <c r="O85" i="7"/>
  <c r="O89" i="7"/>
  <c r="O93" i="7"/>
  <c r="O97" i="7"/>
  <c r="O102" i="7"/>
  <c r="O106" i="7"/>
  <c r="O110" i="7"/>
  <c r="O116" i="7"/>
  <c r="O123" i="7"/>
  <c r="O162" i="7"/>
  <c r="O155" i="7"/>
  <c r="O150" i="7"/>
  <c r="O200" i="7"/>
  <c r="O204" i="7"/>
  <c r="O208" i="7"/>
  <c r="O180" i="7"/>
  <c r="O128" i="7"/>
  <c r="O214" i="7"/>
  <c r="O127" i="7"/>
  <c r="O161" i="7"/>
  <c r="O225" i="7"/>
  <c r="O229" i="7"/>
  <c r="P151" i="7" l="1"/>
  <c r="P147" i="7"/>
  <c r="R147" i="7" s="1"/>
  <c r="S147" i="7" s="1"/>
  <c r="T147" i="7"/>
  <c r="U147" i="7" s="1"/>
  <c r="P167" i="7"/>
  <c r="R167" i="7" s="1"/>
  <c r="S167" i="7" s="1"/>
  <c r="T167" i="7"/>
  <c r="U167" i="7" s="1"/>
  <c r="P149" i="7"/>
  <c r="P168" i="7"/>
  <c r="R168" i="7" s="1"/>
  <c r="S168" i="7" s="1"/>
  <c r="T168" i="7"/>
  <c r="U168" i="7" s="1"/>
  <c r="T176" i="7"/>
  <c r="P176" i="7"/>
  <c r="R176" i="7" s="1"/>
  <c r="S176" i="7" s="1"/>
  <c r="T215" i="7"/>
  <c r="P215" i="7"/>
  <c r="R215" i="7" s="1"/>
  <c r="S215" i="7" s="1"/>
  <c r="P159" i="7"/>
  <c r="R159" i="7" s="1"/>
  <c r="S159" i="7" s="1"/>
  <c r="T166" i="7"/>
  <c r="U166" i="7" s="1"/>
  <c r="P166" i="7"/>
  <c r="R166" i="7" s="1"/>
  <c r="S166" i="7" s="1"/>
  <c r="T234" i="7"/>
  <c r="U234" i="7" s="1"/>
  <c r="P234" i="7"/>
  <c r="R234" i="7" s="1"/>
  <c r="S234" i="7" s="1"/>
  <c r="T120" i="7"/>
  <c r="U120" i="7" s="1"/>
  <c r="P120" i="7"/>
  <c r="R120" i="7" s="1"/>
  <c r="S120" i="7" s="1"/>
  <c r="T121" i="7"/>
  <c r="U121" i="7" s="1"/>
  <c r="P121" i="7"/>
  <c r="R121" i="7" s="1"/>
  <c r="S121" i="7" s="1"/>
  <c r="P122" i="7"/>
  <c r="R122" i="7" s="1"/>
  <c r="S122" i="7" s="1"/>
  <c r="T122" i="7"/>
  <c r="U122" i="7" s="1"/>
  <c r="Q8" i="7"/>
  <c r="G41" i="7" l="1"/>
  <c r="I41" i="7" s="1"/>
  <c r="G42" i="7"/>
  <c r="I42" i="7" s="1"/>
  <c r="G43" i="7"/>
  <c r="I43" i="7" s="1"/>
  <c r="G44" i="7"/>
  <c r="I44" i="7" s="1"/>
  <c r="G45" i="7"/>
  <c r="I45" i="7" s="1"/>
  <c r="G48" i="7"/>
  <c r="I48" i="7" s="1"/>
  <c r="G49" i="7"/>
  <c r="I49" i="7" s="1"/>
  <c r="G52" i="7"/>
  <c r="I52" i="7" s="1"/>
  <c r="G53" i="7"/>
  <c r="I53" i="7" s="1"/>
  <c r="G56" i="7"/>
  <c r="I56" i="7" s="1"/>
  <c r="G57" i="7"/>
  <c r="I57" i="7" s="1"/>
  <c r="G60" i="7"/>
  <c r="I60" i="7" s="1"/>
  <c r="G61" i="7"/>
  <c r="I61" i="7" s="1"/>
  <c r="G64" i="7"/>
  <c r="I64" i="7" s="1"/>
  <c r="G65" i="7"/>
  <c r="I65" i="7" s="1"/>
  <c r="G68" i="7"/>
  <c r="I68" i="7" s="1"/>
  <c r="G69" i="7"/>
  <c r="I69" i="7" s="1"/>
  <c r="G72" i="7"/>
  <c r="I72" i="7" s="1"/>
  <c r="G73" i="7"/>
  <c r="I73" i="7" s="1"/>
  <c r="G115" i="7"/>
  <c r="G116" i="7"/>
  <c r="G117" i="7"/>
  <c r="I117" i="7" s="1"/>
  <c r="G118" i="7"/>
  <c r="Q118" i="7" s="1"/>
  <c r="G119" i="7"/>
  <c r="Q119" i="7" s="1"/>
  <c r="G123" i="7"/>
  <c r="Q123" i="7" s="1"/>
  <c r="G124" i="7"/>
  <c r="Q124" i="7" s="1"/>
  <c r="G125" i="7"/>
  <c r="Q125" i="7" s="1"/>
  <c r="G129" i="7"/>
  <c r="G130" i="7"/>
  <c r="G131" i="7"/>
  <c r="G132" i="7"/>
  <c r="G133" i="7"/>
  <c r="I133" i="7" s="1"/>
  <c r="G134" i="7"/>
  <c r="I134" i="7" s="1"/>
  <c r="G135" i="7"/>
  <c r="Q135" i="7" s="1"/>
  <c r="G136" i="7"/>
  <c r="Q136" i="7" s="1"/>
  <c r="G137" i="7"/>
  <c r="Q137" i="7" s="1"/>
  <c r="G138" i="7"/>
  <c r="I138" i="7" s="1"/>
  <c r="G139" i="7"/>
  <c r="Q139" i="7" s="1"/>
  <c r="G140" i="7"/>
  <c r="G144" i="7"/>
  <c r="E184" i="7"/>
  <c r="E169" i="7"/>
  <c r="Q140" i="7"/>
  <c r="I140" i="7"/>
  <c r="Q233" i="7"/>
  <c r="Q232" i="7"/>
  <c r="Q231" i="7"/>
  <c r="Q230" i="7"/>
  <c r="Q229" i="7"/>
  <c r="Q228" i="7"/>
  <c r="Q227" i="7"/>
  <c r="Q226" i="7"/>
  <c r="Q225" i="7"/>
  <c r="Q224" i="7"/>
  <c r="Q223" i="7"/>
  <c r="Q222" i="7"/>
  <c r="Q161" i="7"/>
  <c r="Q192" i="7"/>
  <c r="Q191" i="7"/>
  <c r="Q217" i="7"/>
  <c r="G233" i="7"/>
  <c r="I233" i="7" s="1"/>
  <c r="G232" i="7"/>
  <c r="I232" i="7" s="1"/>
  <c r="G231" i="7"/>
  <c r="I231" i="7" s="1"/>
  <c r="G230" i="7"/>
  <c r="I230" i="7" s="1"/>
  <c r="G229" i="7"/>
  <c r="I229" i="7" s="1"/>
  <c r="G228" i="7"/>
  <c r="I228" i="7" s="1"/>
  <c r="G227" i="7"/>
  <c r="I227" i="7" s="1"/>
  <c r="G226" i="7"/>
  <c r="I226" i="7" s="1"/>
  <c r="G225" i="7"/>
  <c r="I225" i="7" s="1"/>
  <c r="G224" i="7"/>
  <c r="I224" i="7" s="1"/>
  <c r="G223" i="7"/>
  <c r="I223" i="7" s="1"/>
  <c r="G222" i="7"/>
  <c r="I222" i="7" s="1"/>
  <c r="I161" i="7"/>
  <c r="G192" i="7"/>
  <c r="I192" i="7" s="1"/>
  <c r="G191" i="7"/>
  <c r="I191" i="7" s="1"/>
  <c r="Q213" i="7"/>
  <c r="Q128" i="7"/>
  <c r="Q178" i="7"/>
  <c r="Q177" i="7"/>
  <c r="Q214" i="7"/>
  <c r="Q216" i="7"/>
  <c r="Q126" i="7"/>
  <c r="Q127" i="7"/>
  <c r="G177" i="7"/>
  <c r="I177" i="7" s="1"/>
  <c r="G214" i="7"/>
  <c r="I214" i="7" s="1"/>
  <c r="I181" i="7"/>
  <c r="G216" i="7"/>
  <c r="I216" i="7" s="1"/>
  <c r="G126" i="7"/>
  <c r="I126" i="7" s="1"/>
  <c r="I127" i="7"/>
  <c r="G217" i="7"/>
  <c r="I217" i="7" s="1"/>
  <c r="G178" i="7"/>
  <c r="I178" i="7" s="1"/>
  <c r="G98" i="7"/>
  <c r="Q98" i="7" s="1"/>
  <c r="H75" i="7"/>
  <c r="Q42" i="7"/>
  <c r="Q43" i="7"/>
  <c r="Q44" i="7"/>
  <c r="Q45" i="7"/>
  <c r="Q46" i="7"/>
  <c r="Q48" i="7"/>
  <c r="Q49" i="7"/>
  <c r="Q50" i="7"/>
  <c r="Q52" i="7"/>
  <c r="Q53" i="7"/>
  <c r="Q54" i="7"/>
  <c r="Q56" i="7"/>
  <c r="Q57" i="7"/>
  <c r="Q58" i="7"/>
  <c r="Q60" i="7"/>
  <c r="Q61" i="7"/>
  <c r="Q62" i="7"/>
  <c r="Q64" i="7"/>
  <c r="Q65" i="7"/>
  <c r="Q66" i="7"/>
  <c r="Q68" i="7"/>
  <c r="Q69" i="7"/>
  <c r="Q70" i="7"/>
  <c r="Q72" i="7"/>
  <c r="Q73" i="7"/>
  <c r="I175" i="7"/>
  <c r="Q175" i="7"/>
  <c r="I98" i="7" l="1"/>
  <c r="I119" i="7"/>
  <c r="I136" i="7"/>
  <c r="I118" i="7"/>
  <c r="I137" i="7"/>
  <c r="Q117" i="7"/>
  <c r="I124" i="7"/>
  <c r="Q138" i="7"/>
  <c r="I123" i="7"/>
  <c r="Q133" i="7"/>
  <c r="Q134" i="7"/>
  <c r="I125" i="7"/>
  <c r="I135" i="7"/>
  <c r="I139" i="7"/>
  <c r="G128" i="7" l="1"/>
  <c r="I128" i="7" s="1"/>
  <c r="G213" i="7"/>
  <c r="I213" i="7" s="1"/>
  <c r="Q116" i="7" l="1"/>
  <c r="G113" i="7"/>
  <c r="G111" i="7"/>
  <c r="Q111" i="7" s="1"/>
  <c r="G109" i="7"/>
  <c r="G108" i="7"/>
  <c r="G106" i="7"/>
  <c r="Q106" i="7" s="1"/>
  <c r="G104" i="7"/>
  <c r="F102" i="7"/>
  <c r="G102" i="7" s="1"/>
  <c r="G100" i="7"/>
  <c r="Q100" i="7" s="1"/>
  <c r="Q94" i="7"/>
  <c r="Q91" i="7"/>
  <c r="Q88" i="7"/>
  <c r="Q85" i="7"/>
  <c r="G82" i="7"/>
  <c r="I82" i="7" s="1"/>
  <c r="I79" i="7"/>
  <c r="P82" i="7"/>
  <c r="P250" i="7" s="1"/>
  <c r="R250" i="7" s="1"/>
  <c r="S250" i="7" s="1"/>
  <c r="Q39" i="7"/>
  <c r="Q38" i="7"/>
  <c r="Q35" i="7"/>
  <c r="Q34" i="7"/>
  <c r="Q33" i="7"/>
  <c r="Q27" i="7"/>
  <c r="Q173" i="7"/>
  <c r="I173" i="7"/>
  <c r="I100" i="7" l="1"/>
  <c r="I111" i="7"/>
  <c r="I116" i="7"/>
  <c r="I106" i="7"/>
  <c r="I102" i="7"/>
  <c r="I109" i="7"/>
  <c r="Q109" i="7"/>
  <c r="Q102" i="7"/>
  <c r="Q113" i="7"/>
  <c r="I104" i="7"/>
  <c r="I108" i="7"/>
  <c r="I113" i="7"/>
  <c r="Q104" i="7"/>
  <c r="Q108" i="7"/>
  <c r="I97" i="7"/>
  <c r="I91" i="7"/>
  <c r="I94" i="7"/>
  <c r="I88" i="7"/>
  <c r="I85" i="7"/>
  <c r="Q82" i="7"/>
  <c r="R82" i="7"/>
  <c r="T82" i="7"/>
  <c r="S82" i="7" l="1"/>
  <c r="U82" i="7"/>
  <c r="N25" i="7" l="1"/>
  <c r="O25" i="7" s="1"/>
  <c r="N24" i="7"/>
  <c r="O24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Q180" i="7" l="1"/>
  <c r="G180" i="7"/>
  <c r="I180" i="7" s="1"/>
  <c r="Q179" i="7"/>
  <c r="G179" i="7"/>
  <c r="I179" i="7" s="1"/>
  <c r="G172" i="7" l="1"/>
  <c r="H189" i="7"/>
  <c r="G194" i="7" l="1"/>
  <c r="E194" i="7"/>
  <c r="Q172" i="7"/>
  <c r="G184" i="7"/>
  <c r="Q24" i="7" l="1"/>
  <c r="Q21" i="7"/>
  <c r="I188" i="7"/>
  <c r="Q188" i="7"/>
  <c r="I189" i="7"/>
  <c r="Q189" i="7"/>
  <c r="I190" i="7"/>
  <c r="Q190" i="7"/>
  <c r="B17" i="4" l="1"/>
  <c r="B20" i="4" s="1"/>
  <c r="C16" i="4"/>
  <c r="C15" i="4"/>
  <c r="C17" i="4" l="1"/>
  <c r="K159" i="7" s="1"/>
  <c r="D6" i="4"/>
  <c r="G6" i="4" s="1"/>
  <c r="E6" i="4" l="1"/>
  <c r="F6" i="4"/>
  <c r="Q212" i="7" l="1"/>
  <c r="G212" i="7"/>
  <c r="I212" i="7" s="1"/>
  <c r="Q211" i="7"/>
  <c r="G211" i="7"/>
  <c r="I211" i="7" s="1"/>
  <c r="Q210" i="7"/>
  <c r="G210" i="7"/>
  <c r="I210" i="7" s="1"/>
  <c r="Q209" i="7"/>
  <c r="G209" i="7"/>
  <c r="I209" i="7" s="1"/>
  <c r="Q208" i="7"/>
  <c r="G208" i="7"/>
  <c r="I208" i="7" s="1"/>
  <c r="Q207" i="7"/>
  <c r="G207" i="7"/>
  <c r="I207" i="7" s="1"/>
  <c r="Q206" i="7"/>
  <c r="F206" i="7"/>
  <c r="G206" i="7" s="1"/>
  <c r="I206" i="7" s="1"/>
  <c r="Q205" i="7"/>
  <c r="G205" i="7"/>
  <c r="I205" i="7" s="1"/>
  <c r="Q204" i="7"/>
  <c r="F204" i="7"/>
  <c r="G204" i="7" s="1"/>
  <c r="I204" i="7" s="1"/>
  <c r="Q203" i="7"/>
  <c r="G203" i="7"/>
  <c r="I203" i="7" s="1"/>
  <c r="Q202" i="7"/>
  <c r="F202" i="7"/>
  <c r="G202" i="7" s="1"/>
  <c r="I202" i="7" s="1"/>
  <c r="Q201" i="7"/>
  <c r="G201" i="7"/>
  <c r="I201" i="7" s="1"/>
  <c r="Q200" i="7"/>
  <c r="G200" i="7"/>
  <c r="I200" i="7" s="1"/>
  <c r="Q199" i="7"/>
  <c r="G199" i="7"/>
  <c r="I199" i="7" s="1"/>
  <c r="Q193" i="7"/>
  <c r="Q187" i="7"/>
  <c r="Q186" i="7"/>
  <c r="Q183" i="7"/>
  <c r="Q174" i="7"/>
  <c r="Q25" i="7"/>
  <c r="Q14" i="7"/>
  <c r="Q20" i="7"/>
  <c r="Q19" i="7"/>
  <c r="Q18" i="7"/>
  <c r="Q17" i="7"/>
  <c r="Q16" i="7"/>
  <c r="Q15" i="7"/>
  <c r="I172" i="7" l="1"/>
  <c r="I193" i="7"/>
  <c r="I183" i="7"/>
  <c r="I171" i="7"/>
  <c r="I174" i="7"/>
  <c r="I185" i="7"/>
  <c r="I187" i="7"/>
  <c r="I186" i="7"/>
  <c r="E195" i="7"/>
  <c r="Q171" i="7"/>
  <c r="Q184" i="7" s="1"/>
  <c r="Q185" i="7"/>
  <c r="Q194" i="7" s="1"/>
  <c r="I194" i="7" l="1"/>
  <c r="I184" i="7"/>
  <c r="F15" i="4"/>
  <c r="F16" i="4"/>
  <c r="D9" i="4"/>
  <c r="D8" i="4"/>
  <c r="D7" i="4"/>
  <c r="F151" i="7" l="1"/>
  <c r="G151" i="7" s="1"/>
  <c r="F149" i="7"/>
  <c r="G149" i="7" s="1"/>
  <c r="F166" i="7"/>
  <c r="F47" i="7"/>
  <c r="F51" i="7"/>
  <c r="F59" i="7"/>
  <c r="F63" i="7"/>
  <c r="F71" i="7"/>
  <c r="F46" i="7"/>
  <c r="G46" i="7" s="1"/>
  <c r="I46" i="7" s="1"/>
  <c r="F50" i="7"/>
  <c r="G50" i="7" s="1"/>
  <c r="I50" i="7" s="1"/>
  <c r="F54" i="7"/>
  <c r="G54" i="7" s="1"/>
  <c r="I54" i="7" s="1"/>
  <c r="F58" i="7"/>
  <c r="G58" i="7" s="1"/>
  <c r="I58" i="7" s="1"/>
  <c r="F62" i="7"/>
  <c r="G62" i="7" s="1"/>
  <c r="I62" i="7" s="1"/>
  <c r="F66" i="7"/>
  <c r="G66" i="7" s="1"/>
  <c r="I66" i="7" s="1"/>
  <c r="F70" i="7"/>
  <c r="G70" i="7" s="1"/>
  <c r="I70" i="7" s="1"/>
  <c r="F55" i="7"/>
  <c r="F67" i="7"/>
  <c r="F38" i="7"/>
  <c r="G38" i="7" s="1"/>
  <c r="I38" i="7" s="1"/>
  <c r="F34" i="7"/>
  <c r="G34" i="7" s="1"/>
  <c r="I34" i="7" s="1"/>
  <c r="F30" i="7"/>
  <c r="G30" i="7" s="1"/>
  <c r="I30" i="7" s="1"/>
  <c r="F33" i="7"/>
  <c r="G33" i="7" s="1"/>
  <c r="I33" i="7" s="1"/>
  <c r="F29" i="7"/>
  <c r="G29" i="7" s="1"/>
  <c r="I29" i="7" s="1"/>
  <c r="F32" i="7"/>
  <c r="G32" i="7" s="1"/>
  <c r="I32" i="7" s="1"/>
  <c r="F28" i="7"/>
  <c r="G28" i="7" s="1"/>
  <c r="I28" i="7" s="1"/>
  <c r="F39" i="7"/>
  <c r="G39" i="7" s="1"/>
  <c r="I39" i="7" s="1"/>
  <c r="F31" i="7"/>
  <c r="G31" i="7" s="1"/>
  <c r="I31" i="7" s="1"/>
  <c r="F27" i="7"/>
  <c r="G27" i="7" s="1"/>
  <c r="G112" i="7"/>
  <c r="G105" i="7"/>
  <c r="Q105" i="7" s="1"/>
  <c r="F101" i="7"/>
  <c r="G101" i="7" s="1"/>
  <c r="G114" i="7"/>
  <c r="F37" i="7"/>
  <c r="G37" i="7" s="1"/>
  <c r="I37" i="7" s="1"/>
  <c r="F107" i="7"/>
  <c r="G107" i="7" s="1"/>
  <c r="F103" i="7"/>
  <c r="G103" i="7" s="1"/>
  <c r="F36" i="7"/>
  <c r="G36" i="7" s="1"/>
  <c r="I36" i="7" s="1"/>
  <c r="G110" i="7"/>
  <c r="F35" i="7"/>
  <c r="G35" i="7" s="1"/>
  <c r="I35" i="7" s="1"/>
  <c r="F165" i="7"/>
  <c r="G165" i="7" s="1"/>
  <c r="F155" i="7"/>
  <c r="G155" i="7" s="1"/>
  <c r="F162" i="7"/>
  <c r="G162" i="7" s="1"/>
  <c r="F156" i="7"/>
  <c r="G156" i="7" s="1"/>
  <c r="F153" i="7"/>
  <c r="G153" i="7" s="1"/>
  <c r="F152" i="7"/>
  <c r="G152" i="7" s="1"/>
  <c r="F163" i="7"/>
  <c r="G163" i="7" s="1"/>
  <c r="F157" i="7"/>
  <c r="G157" i="7" s="1"/>
  <c r="F164" i="7"/>
  <c r="G164" i="7" s="1"/>
  <c r="F154" i="7"/>
  <c r="G154" i="7" s="1"/>
  <c r="G90" i="7"/>
  <c r="F23" i="7"/>
  <c r="G23" i="7" s="1"/>
  <c r="G93" i="7"/>
  <c r="F22" i="7"/>
  <c r="G22" i="7" s="1"/>
  <c r="G78" i="7"/>
  <c r="I78" i="7" s="1"/>
  <c r="G96" i="7"/>
  <c r="Q96" i="7" s="1"/>
  <c r="F95" i="7"/>
  <c r="G95" i="7" s="1"/>
  <c r="F83" i="7"/>
  <c r="G83" i="7" s="1"/>
  <c r="F92" i="7"/>
  <c r="G92" i="7" s="1"/>
  <c r="F89" i="7"/>
  <c r="G89" i="7" s="1"/>
  <c r="Q89" i="7" s="1"/>
  <c r="F77" i="7"/>
  <c r="G77" i="7" s="1"/>
  <c r="F86" i="7"/>
  <c r="F80" i="7"/>
  <c r="G80" i="7" s="1"/>
  <c r="F146" i="7"/>
  <c r="G146" i="7" s="1"/>
  <c r="F145" i="7"/>
  <c r="G145" i="7" s="1"/>
  <c r="F148" i="7"/>
  <c r="G148" i="7" s="1"/>
  <c r="F150" i="7"/>
  <c r="G150" i="7" s="1"/>
  <c r="F158" i="7"/>
  <c r="G158" i="7" s="1"/>
  <c r="F24" i="7"/>
  <c r="G24" i="7" s="1"/>
  <c r="I24" i="7" s="1"/>
  <c r="F21" i="7"/>
  <c r="G21" i="7" s="1"/>
  <c r="I21" i="7" s="1"/>
  <c r="F25" i="7"/>
  <c r="G25" i="7" s="1"/>
  <c r="I25" i="7" s="1"/>
  <c r="F20" i="7"/>
  <c r="G20" i="7" s="1"/>
  <c r="I20" i="7" s="1"/>
  <c r="F17" i="4"/>
  <c r="F18" i="4" s="1"/>
  <c r="G8" i="4"/>
  <c r="F8" i="4"/>
  <c r="E8" i="4"/>
  <c r="G81" i="7"/>
  <c r="I81" i="7" s="1"/>
  <c r="G7" i="4"/>
  <c r="F7" i="4"/>
  <c r="E7" i="4"/>
  <c r="G84" i="7"/>
  <c r="Q84" i="7" s="1"/>
  <c r="F14" i="7"/>
  <c r="G14" i="7" s="1"/>
  <c r="I14" i="7" s="1"/>
  <c r="F19" i="7"/>
  <c r="G19" i="7" s="1"/>
  <c r="I19" i="7" s="1"/>
  <c r="F17" i="7"/>
  <c r="G17" i="7" s="1"/>
  <c r="I17" i="7" s="1"/>
  <c r="F15" i="7"/>
  <c r="G15" i="7" s="1"/>
  <c r="I15" i="7" s="1"/>
  <c r="F18" i="7"/>
  <c r="G18" i="7" s="1"/>
  <c r="I18" i="7" s="1"/>
  <c r="F16" i="7"/>
  <c r="G16" i="7" s="1"/>
  <c r="I16" i="7" s="1"/>
  <c r="G9" i="4"/>
  <c r="F9" i="4"/>
  <c r="E9" i="4"/>
  <c r="G47" i="7" l="1"/>
  <c r="I47" i="7" s="1"/>
  <c r="Q47" i="7"/>
  <c r="G63" i="7"/>
  <c r="I63" i="7" s="1"/>
  <c r="Q63" i="7"/>
  <c r="G59" i="7"/>
  <c r="I59" i="7" s="1"/>
  <c r="Q59" i="7"/>
  <c r="G55" i="7"/>
  <c r="I55" i="7" s="1"/>
  <c r="Q55" i="7"/>
  <c r="G71" i="7"/>
  <c r="I71" i="7" s="1"/>
  <c r="Q71" i="7"/>
  <c r="G67" i="7"/>
  <c r="I67" i="7" s="1"/>
  <c r="Q67" i="7"/>
  <c r="G51" i="7"/>
  <c r="I51" i="7" s="1"/>
  <c r="Q51" i="7"/>
  <c r="Q149" i="7"/>
  <c r="T149" i="7"/>
  <c r="U149" i="7" s="1"/>
  <c r="R149" i="7"/>
  <c r="Q151" i="7"/>
  <c r="T151" i="7"/>
  <c r="R151" i="7"/>
  <c r="B23" i="4"/>
  <c r="L159" i="7"/>
  <c r="M159" i="7" s="1"/>
  <c r="I154" i="7"/>
  <c r="Q154" i="7"/>
  <c r="I152" i="7"/>
  <c r="Q152" i="7"/>
  <c r="I155" i="7"/>
  <c r="Q155" i="7"/>
  <c r="I114" i="7"/>
  <c r="Q114" i="7"/>
  <c r="I27" i="7"/>
  <c r="Q164" i="7"/>
  <c r="I164" i="7"/>
  <c r="Q153" i="7"/>
  <c r="I153" i="7"/>
  <c r="I165" i="7"/>
  <c r="Q165" i="7"/>
  <c r="I103" i="7"/>
  <c r="Q103" i="7"/>
  <c r="Q101" i="7"/>
  <c r="I101" i="7"/>
  <c r="I157" i="7"/>
  <c r="Q157" i="7"/>
  <c r="I156" i="7"/>
  <c r="Q156" i="7"/>
  <c r="Q107" i="7"/>
  <c r="I107" i="7"/>
  <c r="I105" i="7"/>
  <c r="I163" i="7"/>
  <c r="Q163" i="7"/>
  <c r="I162" i="7"/>
  <c r="Q162" i="7"/>
  <c r="Q110" i="7"/>
  <c r="I110" i="7"/>
  <c r="I112" i="7"/>
  <c r="Q112" i="7"/>
  <c r="Q77" i="7"/>
  <c r="G86" i="7"/>
  <c r="Q86" i="7" s="1"/>
  <c r="G87" i="7"/>
  <c r="I158" i="7"/>
  <c r="Q158" i="7"/>
  <c r="Q150" i="7"/>
  <c r="I150" i="7"/>
  <c r="Q92" i="7"/>
  <c r="I92" i="7"/>
  <c r="Q146" i="7"/>
  <c r="I146" i="7"/>
  <c r="Q93" i="7"/>
  <c r="I93" i="7"/>
  <c r="I148" i="7"/>
  <c r="Q148" i="7"/>
  <c r="I145" i="7"/>
  <c r="Q145" i="7"/>
  <c r="I95" i="7"/>
  <c r="Q95" i="7"/>
  <c r="Q90" i="7"/>
  <c r="I90" i="7"/>
  <c r="Q81" i="7"/>
  <c r="I83" i="7"/>
  <c r="Q83" i="7"/>
  <c r="I80" i="7"/>
  <c r="Q80" i="7"/>
  <c r="Q78" i="7"/>
  <c r="I77" i="7"/>
  <c r="I89" i="7"/>
  <c r="Q22" i="7"/>
  <c r="I22" i="7"/>
  <c r="I96" i="7"/>
  <c r="I23" i="7"/>
  <c r="Q23" i="7"/>
  <c r="I84" i="7"/>
  <c r="G75" i="7" l="1"/>
  <c r="Q75" i="7"/>
  <c r="S149" i="7"/>
  <c r="S151" i="7"/>
  <c r="U151" i="7"/>
  <c r="Q40" i="7"/>
  <c r="P3" i="7" s="1"/>
  <c r="Q169" i="7"/>
  <c r="Q195" i="7" s="1"/>
  <c r="I75" i="7"/>
  <c r="G169" i="7"/>
  <c r="Q87" i="7"/>
  <c r="Q141" i="7" s="1"/>
  <c r="P4" i="7" s="1"/>
  <c r="I87" i="7"/>
  <c r="I86" i="7"/>
  <c r="P5" i="7" l="1"/>
  <c r="G195" i="7"/>
  <c r="I169" i="7"/>
  <c r="I195" i="7" s="1"/>
  <c r="J182" i="7" s="1"/>
  <c r="K182" i="7" s="1"/>
  <c r="L182" i="7" s="1"/>
  <c r="M182" i="7" s="1"/>
  <c r="J176" i="7" l="1"/>
  <c r="K176" i="7" s="1"/>
  <c r="L176" i="7" s="1"/>
  <c r="M176" i="7" s="1"/>
  <c r="J167" i="7"/>
  <c r="K167" i="7" s="1"/>
  <c r="L167" i="7" s="1"/>
  <c r="M167" i="7" s="1"/>
  <c r="J120" i="7"/>
  <c r="K120" i="7" s="1"/>
  <c r="L120" i="7" s="1"/>
  <c r="M120" i="7" s="1"/>
  <c r="J122" i="7"/>
  <c r="K122" i="7" s="1"/>
  <c r="L122" i="7" s="1"/>
  <c r="M122" i="7" s="1"/>
  <c r="J121" i="7"/>
  <c r="K121" i="7" s="1"/>
  <c r="L121" i="7" s="1"/>
  <c r="M121" i="7" s="1"/>
  <c r="J222" i="7"/>
  <c r="K222" i="7" s="1"/>
  <c r="L222" i="7" s="1"/>
  <c r="J161" i="7"/>
  <c r="K161" i="7" s="1"/>
  <c r="L161" i="7" s="1"/>
  <c r="J192" i="7"/>
  <c r="K192" i="7" s="1"/>
  <c r="L192" i="7" s="1"/>
  <c r="J231" i="7"/>
  <c r="K231" i="7" s="1"/>
  <c r="L231" i="7" s="1"/>
  <c r="J230" i="7"/>
  <c r="K230" i="7" s="1"/>
  <c r="L230" i="7" s="1"/>
  <c r="J228" i="7"/>
  <c r="K228" i="7" s="1"/>
  <c r="L228" i="7" s="1"/>
  <c r="J226" i="7"/>
  <c r="K226" i="7" s="1"/>
  <c r="L226" i="7" s="1"/>
  <c r="J224" i="7"/>
  <c r="K224" i="7" s="1"/>
  <c r="L224" i="7" s="1"/>
  <c r="J233" i="7"/>
  <c r="K233" i="7" s="1"/>
  <c r="L233" i="7" s="1"/>
  <c r="J232" i="7"/>
  <c r="K232" i="7" s="1"/>
  <c r="L232" i="7" s="1"/>
  <c r="J227" i="7"/>
  <c r="K227" i="7" s="1"/>
  <c r="L227" i="7" s="1"/>
  <c r="J229" i="7"/>
  <c r="K229" i="7" s="1"/>
  <c r="L229" i="7" s="1"/>
  <c r="J223" i="7"/>
  <c r="K223" i="7" s="1"/>
  <c r="L223" i="7" s="1"/>
  <c r="J225" i="7"/>
  <c r="K225" i="7" s="1"/>
  <c r="L225" i="7" s="1"/>
  <c r="J125" i="7"/>
  <c r="K125" i="7" s="1"/>
  <c r="L125" i="7" s="1"/>
  <c r="M125" i="7" s="1"/>
  <c r="P125" i="7" s="1"/>
  <c r="R125" i="7" s="1"/>
  <c r="S125" i="7" s="1"/>
  <c r="J139" i="7"/>
  <c r="K139" i="7" s="1"/>
  <c r="L139" i="7" s="1"/>
  <c r="M139" i="7" s="1"/>
  <c r="J135" i="7"/>
  <c r="K135" i="7" s="1"/>
  <c r="L135" i="7" s="1"/>
  <c r="M135" i="7" s="1"/>
  <c r="J178" i="7"/>
  <c r="K178" i="7" s="1"/>
  <c r="L178" i="7" s="1"/>
  <c r="J217" i="7"/>
  <c r="K217" i="7" s="1"/>
  <c r="L217" i="7" s="1"/>
  <c r="J137" i="7"/>
  <c r="K137" i="7" s="1"/>
  <c r="L137" i="7" s="1"/>
  <c r="M137" i="7" s="1"/>
  <c r="J133" i="7"/>
  <c r="K133" i="7" s="1"/>
  <c r="L133" i="7" s="1"/>
  <c r="M133" i="7" s="1"/>
  <c r="J138" i="7"/>
  <c r="K138" i="7" s="1"/>
  <c r="L138" i="7" s="1"/>
  <c r="M138" i="7" s="1"/>
  <c r="J134" i="7"/>
  <c r="K134" i="7" s="1"/>
  <c r="L134" i="7" s="1"/>
  <c r="M134" i="7" s="1"/>
  <c r="J140" i="7"/>
  <c r="K140" i="7" s="1"/>
  <c r="L140" i="7" s="1"/>
  <c r="M140" i="7" s="1"/>
  <c r="J136" i="7"/>
  <c r="K136" i="7" s="1"/>
  <c r="L136" i="7" s="1"/>
  <c r="M136" i="7" s="1"/>
  <c r="J128" i="7"/>
  <c r="K128" i="7" s="1"/>
  <c r="L128" i="7" s="1"/>
  <c r="J126" i="7"/>
  <c r="K126" i="7" s="1"/>
  <c r="L126" i="7" s="1"/>
  <c r="J213" i="7"/>
  <c r="K213" i="7" s="1"/>
  <c r="L213" i="7" s="1"/>
  <c r="J181" i="7"/>
  <c r="K181" i="7" s="1"/>
  <c r="L181" i="7" s="1"/>
  <c r="J127" i="7"/>
  <c r="K127" i="7" s="1"/>
  <c r="L127" i="7" s="1"/>
  <c r="J216" i="7"/>
  <c r="K216" i="7" s="1"/>
  <c r="L216" i="7" s="1"/>
  <c r="J177" i="7"/>
  <c r="K177" i="7" s="1"/>
  <c r="L177" i="7" s="1"/>
  <c r="J214" i="7"/>
  <c r="K214" i="7" s="1"/>
  <c r="L214" i="7" s="1"/>
  <c r="J191" i="7"/>
  <c r="K191" i="7" s="1"/>
  <c r="L191" i="7" s="1"/>
  <c r="J98" i="7"/>
  <c r="K98" i="7" s="1"/>
  <c r="L98" i="7" s="1"/>
  <c r="M98" i="7" s="1"/>
  <c r="P98" i="7" s="1"/>
  <c r="J118" i="7"/>
  <c r="K118" i="7" s="1"/>
  <c r="L118" i="7" s="1"/>
  <c r="M118" i="7" s="1"/>
  <c r="J119" i="7"/>
  <c r="K119" i="7" s="1"/>
  <c r="L119" i="7" s="1"/>
  <c r="M119" i="7" s="1"/>
  <c r="J123" i="7"/>
  <c r="K123" i="7" s="1"/>
  <c r="L123" i="7" s="1"/>
  <c r="M123" i="7" s="1"/>
  <c r="J117" i="7"/>
  <c r="K117" i="7" s="1"/>
  <c r="L117" i="7" s="1"/>
  <c r="M117" i="7" s="1"/>
  <c r="J124" i="7"/>
  <c r="K124" i="7" s="1"/>
  <c r="L124" i="7" s="1"/>
  <c r="M124" i="7" s="1"/>
  <c r="J165" i="7"/>
  <c r="K165" i="7" s="1"/>
  <c r="L165" i="7" s="1"/>
  <c r="M165" i="7" s="1"/>
  <c r="J162" i="7"/>
  <c r="K162" i="7" s="1"/>
  <c r="L162" i="7" s="1"/>
  <c r="M162" i="7" s="1"/>
  <c r="J65" i="7"/>
  <c r="K65" i="7" s="1"/>
  <c r="L65" i="7" s="1"/>
  <c r="M65" i="7" s="1"/>
  <c r="J54" i="7"/>
  <c r="K54" i="7" s="1"/>
  <c r="L54" i="7" s="1"/>
  <c r="M54" i="7" s="1"/>
  <c r="J43" i="7"/>
  <c r="K43" i="7" s="1"/>
  <c r="L43" i="7" s="1"/>
  <c r="M43" i="7" s="1"/>
  <c r="J56" i="7"/>
  <c r="K56" i="7" s="1"/>
  <c r="L56" i="7" s="1"/>
  <c r="M56" i="7" s="1"/>
  <c r="J66" i="7"/>
  <c r="K66" i="7" s="1"/>
  <c r="L66" i="7" s="1"/>
  <c r="M66" i="7" s="1"/>
  <c r="J55" i="7"/>
  <c r="K55" i="7" s="1"/>
  <c r="L55" i="7" s="1"/>
  <c r="M55" i="7" s="1"/>
  <c r="J45" i="7"/>
  <c r="K45" i="7" s="1"/>
  <c r="L45" i="7" s="1"/>
  <c r="M45" i="7" s="1"/>
  <c r="J164" i="7"/>
  <c r="K164" i="7" s="1"/>
  <c r="L164" i="7" s="1"/>
  <c r="M164" i="7" s="1"/>
  <c r="J44" i="7"/>
  <c r="K44" i="7" s="1"/>
  <c r="L44" i="7" s="1"/>
  <c r="M44" i="7" s="1"/>
  <c r="J48" i="7"/>
  <c r="K48" i="7" s="1"/>
  <c r="L48" i="7" s="1"/>
  <c r="M48" i="7" s="1"/>
  <c r="J53" i="7"/>
  <c r="K53" i="7" s="1"/>
  <c r="L53" i="7" s="1"/>
  <c r="M53" i="7" s="1"/>
  <c r="J68" i="7"/>
  <c r="K68" i="7" s="1"/>
  <c r="L68" i="7" s="1"/>
  <c r="M68" i="7" s="1"/>
  <c r="J46" i="7"/>
  <c r="K46" i="7" s="1"/>
  <c r="L46" i="7" s="1"/>
  <c r="M46" i="7" s="1"/>
  <c r="J69" i="7"/>
  <c r="K69" i="7" s="1"/>
  <c r="L69" i="7" s="1"/>
  <c r="M69" i="7" s="1"/>
  <c r="J73" i="7"/>
  <c r="K73" i="7" s="1"/>
  <c r="L73" i="7" s="1"/>
  <c r="M73" i="7" s="1"/>
  <c r="J62" i="7"/>
  <c r="K62" i="7" s="1"/>
  <c r="L62" i="7" s="1"/>
  <c r="M62" i="7" s="1"/>
  <c r="J51" i="7"/>
  <c r="K51" i="7" s="1"/>
  <c r="L51" i="7" s="1"/>
  <c r="M51" i="7" s="1"/>
  <c r="J163" i="7"/>
  <c r="K163" i="7" s="1"/>
  <c r="L163" i="7" s="1"/>
  <c r="M163" i="7" s="1"/>
  <c r="J63" i="7"/>
  <c r="K63" i="7" s="1"/>
  <c r="L63" i="7" s="1"/>
  <c r="M63" i="7" s="1"/>
  <c r="J41" i="7"/>
  <c r="J70" i="7"/>
  <c r="K70" i="7" s="1"/>
  <c r="L70" i="7" s="1"/>
  <c r="M70" i="7" s="1"/>
  <c r="J59" i="7"/>
  <c r="K59" i="7" s="1"/>
  <c r="L59" i="7" s="1"/>
  <c r="M59" i="7" s="1"/>
  <c r="J49" i="7"/>
  <c r="K49" i="7" s="1"/>
  <c r="L49" i="7" s="1"/>
  <c r="M49" i="7" s="1"/>
  <c r="J72" i="7"/>
  <c r="K72" i="7" s="1"/>
  <c r="L72" i="7" s="1"/>
  <c r="M72" i="7" s="1"/>
  <c r="J42" i="7"/>
  <c r="K42" i="7" s="1"/>
  <c r="L42" i="7" s="1"/>
  <c r="M42" i="7" s="1"/>
  <c r="J71" i="7"/>
  <c r="K71" i="7" s="1"/>
  <c r="L71" i="7" s="1"/>
  <c r="M71" i="7" s="1"/>
  <c r="J61" i="7"/>
  <c r="K61" i="7" s="1"/>
  <c r="L61" i="7" s="1"/>
  <c r="M61" i="7" s="1"/>
  <c r="J50" i="7"/>
  <c r="K50" i="7" s="1"/>
  <c r="L50" i="7" s="1"/>
  <c r="M50" i="7" s="1"/>
  <c r="J60" i="7"/>
  <c r="K60" i="7" s="1"/>
  <c r="L60" i="7" s="1"/>
  <c r="M60" i="7" s="1"/>
  <c r="J57" i="7"/>
  <c r="K57" i="7" s="1"/>
  <c r="L57" i="7" s="1"/>
  <c r="M57" i="7" s="1"/>
  <c r="J47" i="7"/>
  <c r="K47" i="7" s="1"/>
  <c r="L47" i="7" s="1"/>
  <c r="M47" i="7" s="1"/>
  <c r="J67" i="7"/>
  <c r="K67" i="7" s="1"/>
  <c r="L67" i="7" s="1"/>
  <c r="M67" i="7" s="1"/>
  <c r="J64" i="7"/>
  <c r="K64" i="7" s="1"/>
  <c r="L64" i="7" s="1"/>
  <c r="M64" i="7" s="1"/>
  <c r="J58" i="7"/>
  <c r="K58" i="7" s="1"/>
  <c r="L58" i="7" s="1"/>
  <c r="M58" i="7" s="1"/>
  <c r="J52" i="7"/>
  <c r="K52" i="7" s="1"/>
  <c r="L52" i="7" s="1"/>
  <c r="M52" i="7" s="1"/>
  <c r="J175" i="7"/>
  <c r="K175" i="7" s="1"/>
  <c r="L175" i="7" s="1"/>
  <c r="M175" i="7" s="1"/>
  <c r="P175" i="7" s="1"/>
  <c r="R175" i="7" s="1"/>
  <c r="S175" i="7" s="1"/>
  <c r="J155" i="7"/>
  <c r="K155" i="7" s="1"/>
  <c r="J153" i="7"/>
  <c r="K153" i="7" s="1"/>
  <c r="L153" i="7" s="1"/>
  <c r="M153" i="7" s="1"/>
  <c r="J157" i="7"/>
  <c r="K157" i="7" s="1"/>
  <c r="L157" i="7" s="1"/>
  <c r="M157" i="7" s="1"/>
  <c r="J152" i="7"/>
  <c r="K152" i="7" s="1"/>
  <c r="L152" i="7" s="1"/>
  <c r="M152" i="7" s="1"/>
  <c r="J156" i="7"/>
  <c r="K156" i="7" s="1"/>
  <c r="J154" i="7"/>
  <c r="K154" i="7" s="1"/>
  <c r="J112" i="7"/>
  <c r="K112" i="7" s="1"/>
  <c r="L112" i="7" s="1"/>
  <c r="M112" i="7" s="1"/>
  <c r="J106" i="7"/>
  <c r="K106" i="7" s="1"/>
  <c r="L106" i="7" s="1"/>
  <c r="M106" i="7" s="1"/>
  <c r="J101" i="7"/>
  <c r="K101" i="7" s="1"/>
  <c r="L101" i="7" s="1"/>
  <c r="M101" i="7" s="1"/>
  <c r="J109" i="7"/>
  <c r="K109" i="7" s="1"/>
  <c r="L109" i="7" s="1"/>
  <c r="M109" i="7" s="1"/>
  <c r="J105" i="7"/>
  <c r="K105" i="7" s="1"/>
  <c r="L105" i="7" s="1"/>
  <c r="M105" i="7" s="1"/>
  <c r="J113" i="7"/>
  <c r="K113" i="7" s="1"/>
  <c r="L113" i="7" s="1"/>
  <c r="M113" i="7" s="1"/>
  <c r="J110" i="7"/>
  <c r="K110" i="7" s="1"/>
  <c r="L110" i="7" s="1"/>
  <c r="M110" i="7" s="1"/>
  <c r="J108" i="7"/>
  <c r="K108" i="7" s="1"/>
  <c r="L108" i="7" s="1"/>
  <c r="M108" i="7" s="1"/>
  <c r="J104" i="7"/>
  <c r="K104" i="7" s="1"/>
  <c r="L104" i="7" s="1"/>
  <c r="M104" i="7" s="1"/>
  <c r="J102" i="7"/>
  <c r="K102" i="7" s="1"/>
  <c r="L102" i="7" s="1"/>
  <c r="M102" i="7" s="1"/>
  <c r="J116" i="7"/>
  <c r="K116" i="7" s="1"/>
  <c r="L116" i="7" s="1"/>
  <c r="M116" i="7" s="1"/>
  <c r="J111" i="7"/>
  <c r="K111" i="7" s="1"/>
  <c r="L111" i="7" s="1"/>
  <c r="M111" i="7" s="1"/>
  <c r="J107" i="7"/>
  <c r="K107" i="7" s="1"/>
  <c r="L107" i="7" s="1"/>
  <c r="M107" i="7" s="1"/>
  <c r="J100" i="7"/>
  <c r="K100" i="7" s="1"/>
  <c r="L100" i="7" s="1"/>
  <c r="M100" i="7" s="1"/>
  <c r="J114" i="7"/>
  <c r="K114" i="7" s="1"/>
  <c r="L114" i="7" s="1"/>
  <c r="M114" i="7" s="1"/>
  <c r="J103" i="7"/>
  <c r="K103" i="7" s="1"/>
  <c r="L103" i="7" s="1"/>
  <c r="M103" i="7" s="1"/>
  <c r="J97" i="7"/>
  <c r="K97" i="7" s="1"/>
  <c r="L97" i="7" s="1"/>
  <c r="M97" i="7" s="1"/>
  <c r="T97" i="7" s="1"/>
  <c r="U97" i="7" s="1"/>
  <c r="J91" i="7"/>
  <c r="K91" i="7" s="1"/>
  <c r="L91" i="7" s="1"/>
  <c r="M91" i="7" s="1"/>
  <c r="P91" i="7" s="1"/>
  <c r="J94" i="7"/>
  <c r="K94" i="7" s="1"/>
  <c r="L94" i="7" s="1"/>
  <c r="M94" i="7" s="1"/>
  <c r="J87" i="7"/>
  <c r="K87" i="7" s="1"/>
  <c r="L87" i="7" s="1"/>
  <c r="M87" i="7" s="1"/>
  <c r="J88" i="7"/>
  <c r="K88" i="7" s="1"/>
  <c r="L88" i="7" s="1"/>
  <c r="M88" i="7" s="1"/>
  <c r="J85" i="7"/>
  <c r="K85" i="7" s="1"/>
  <c r="L85" i="7" s="1"/>
  <c r="M85" i="7" s="1"/>
  <c r="T85" i="7" s="1"/>
  <c r="U85" i="7" s="1"/>
  <c r="J81" i="7"/>
  <c r="K81" i="7" s="1"/>
  <c r="L81" i="7" s="1"/>
  <c r="J82" i="7"/>
  <c r="K82" i="7" s="1"/>
  <c r="L82" i="7" s="1"/>
  <c r="J78" i="7"/>
  <c r="K78" i="7" s="1"/>
  <c r="L78" i="7" s="1"/>
  <c r="M78" i="7" s="1"/>
  <c r="J79" i="7"/>
  <c r="K79" i="7" s="1"/>
  <c r="L79" i="7" s="1"/>
  <c r="M79" i="7" s="1"/>
  <c r="J173" i="7"/>
  <c r="K173" i="7" s="1"/>
  <c r="L173" i="7" s="1"/>
  <c r="M173" i="7" s="1"/>
  <c r="P173" i="7" s="1"/>
  <c r="R173" i="7" s="1"/>
  <c r="S173" i="7" s="1"/>
  <c r="T173" i="7" s="1"/>
  <c r="U173" i="7" s="1"/>
  <c r="J27" i="7"/>
  <c r="K27" i="7" s="1"/>
  <c r="L27" i="7" s="1"/>
  <c r="M27" i="7" s="1"/>
  <c r="J34" i="7"/>
  <c r="K34" i="7" s="1"/>
  <c r="L34" i="7" s="1"/>
  <c r="M34" i="7" s="1"/>
  <c r="J30" i="7"/>
  <c r="K30" i="7" s="1"/>
  <c r="L30" i="7" s="1"/>
  <c r="M30" i="7" s="1"/>
  <c r="J38" i="7"/>
  <c r="K38" i="7" s="1"/>
  <c r="L38" i="7" s="1"/>
  <c r="M38" i="7" s="1"/>
  <c r="J37" i="7"/>
  <c r="K37" i="7" s="1"/>
  <c r="L37" i="7" s="1"/>
  <c r="M37" i="7" s="1"/>
  <c r="J33" i="7"/>
  <c r="K33" i="7" s="1"/>
  <c r="L33" i="7" s="1"/>
  <c r="M33" i="7" s="1"/>
  <c r="J29" i="7"/>
  <c r="K29" i="7" s="1"/>
  <c r="L29" i="7" s="1"/>
  <c r="M29" i="7" s="1"/>
  <c r="J39" i="7"/>
  <c r="K39" i="7" s="1"/>
  <c r="L39" i="7" s="1"/>
  <c r="M39" i="7" s="1"/>
  <c r="J36" i="7"/>
  <c r="K36" i="7" s="1"/>
  <c r="L36" i="7" s="1"/>
  <c r="M36" i="7" s="1"/>
  <c r="J32" i="7"/>
  <c r="K32" i="7" s="1"/>
  <c r="L32" i="7" s="1"/>
  <c r="M32" i="7" s="1"/>
  <c r="J28" i="7"/>
  <c r="K28" i="7" s="1"/>
  <c r="L28" i="7" s="1"/>
  <c r="M28" i="7" s="1"/>
  <c r="J35" i="7"/>
  <c r="K35" i="7" s="1"/>
  <c r="L35" i="7" s="1"/>
  <c r="M35" i="7" s="1"/>
  <c r="J31" i="7"/>
  <c r="K31" i="7" s="1"/>
  <c r="L31" i="7" s="1"/>
  <c r="M31" i="7" s="1"/>
  <c r="J14" i="7"/>
  <c r="J180" i="7"/>
  <c r="K180" i="7" s="1"/>
  <c r="L180" i="7" s="1"/>
  <c r="J179" i="7"/>
  <c r="K179" i="7" s="1"/>
  <c r="L179" i="7" s="1"/>
  <c r="J189" i="7"/>
  <c r="K189" i="7" s="1"/>
  <c r="L189" i="7" s="1"/>
  <c r="M189" i="7" s="1"/>
  <c r="J190" i="7"/>
  <c r="K190" i="7" s="1"/>
  <c r="L190" i="7" s="1"/>
  <c r="M190" i="7" s="1"/>
  <c r="J188" i="7"/>
  <c r="K188" i="7" s="1"/>
  <c r="L188" i="7" s="1"/>
  <c r="M188" i="7" s="1"/>
  <c r="J146" i="7"/>
  <c r="K146" i="7" s="1"/>
  <c r="L146" i="7" s="1"/>
  <c r="M146" i="7" s="1"/>
  <c r="J150" i="7"/>
  <c r="K150" i="7" s="1"/>
  <c r="L150" i="7" s="1"/>
  <c r="M150" i="7" s="1"/>
  <c r="J148" i="7"/>
  <c r="K148" i="7" s="1"/>
  <c r="L148" i="7" s="1"/>
  <c r="M148" i="7" s="1"/>
  <c r="J145" i="7"/>
  <c r="K145" i="7" s="1"/>
  <c r="L145" i="7" s="1"/>
  <c r="M145" i="7" s="1"/>
  <c r="J158" i="7"/>
  <c r="K158" i="7" s="1"/>
  <c r="L158" i="7" s="1"/>
  <c r="M158" i="7" s="1"/>
  <c r="R98" i="7" l="1"/>
  <c r="S98" i="7" s="1"/>
  <c r="P42" i="7"/>
  <c r="R91" i="7"/>
  <c r="S91" i="7" s="1"/>
  <c r="P259" i="7"/>
  <c r="R259" i="7" s="1"/>
  <c r="S259" i="7" s="1"/>
  <c r="L156" i="7"/>
  <c r="M156" i="7" s="1"/>
  <c r="L155" i="7"/>
  <c r="M155" i="7" s="1"/>
  <c r="R4" i="7"/>
  <c r="S4" i="7" s="1"/>
  <c r="L154" i="7"/>
  <c r="M154" i="7" s="1"/>
  <c r="M229" i="7"/>
  <c r="M231" i="7"/>
  <c r="M226" i="7"/>
  <c r="M192" i="7"/>
  <c r="M225" i="7"/>
  <c r="M232" i="7"/>
  <c r="M228" i="7"/>
  <c r="M161" i="7"/>
  <c r="M224" i="7"/>
  <c r="M227" i="7"/>
  <c r="M223" i="7"/>
  <c r="M233" i="7"/>
  <c r="M230" i="7"/>
  <c r="M222" i="7"/>
  <c r="T125" i="7"/>
  <c r="U125" i="7" s="1"/>
  <c r="T140" i="7"/>
  <c r="U140" i="7" s="1"/>
  <c r="P140" i="7"/>
  <c r="R140" i="7" s="1"/>
  <c r="S140" i="7" s="1"/>
  <c r="T137" i="7"/>
  <c r="U137" i="7" s="1"/>
  <c r="P137" i="7"/>
  <c r="R137" i="7" s="1"/>
  <c r="S137" i="7" s="1"/>
  <c r="P135" i="7"/>
  <c r="R135" i="7" s="1"/>
  <c r="S135" i="7" s="1"/>
  <c r="T135" i="7"/>
  <c r="U135" i="7" s="1"/>
  <c r="T136" i="7"/>
  <c r="U136" i="7" s="1"/>
  <c r="P136" i="7"/>
  <c r="R136" i="7" s="1"/>
  <c r="S136" i="7" s="1"/>
  <c r="T134" i="7"/>
  <c r="U134" i="7" s="1"/>
  <c r="P134" i="7"/>
  <c r="R134" i="7" s="1"/>
  <c r="S134" i="7" s="1"/>
  <c r="T139" i="7"/>
  <c r="U139" i="7" s="1"/>
  <c r="P139" i="7"/>
  <c r="R139" i="7" s="1"/>
  <c r="S139" i="7" s="1"/>
  <c r="T133" i="7"/>
  <c r="U133" i="7" s="1"/>
  <c r="P133" i="7"/>
  <c r="R133" i="7" s="1"/>
  <c r="S133" i="7" s="1"/>
  <c r="T138" i="7"/>
  <c r="U138" i="7" s="1"/>
  <c r="P138" i="7"/>
  <c r="R138" i="7" s="1"/>
  <c r="S138" i="7" s="1"/>
  <c r="M213" i="7"/>
  <c r="M179" i="7"/>
  <c r="M216" i="7"/>
  <c r="M126" i="7"/>
  <c r="M177" i="7"/>
  <c r="M180" i="7"/>
  <c r="M191" i="7"/>
  <c r="M127" i="7"/>
  <c r="M128" i="7"/>
  <c r="M217" i="7"/>
  <c r="M214" i="7"/>
  <c r="M181" i="7"/>
  <c r="M178" i="7"/>
  <c r="P117" i="7"/>
  <c r="R117" i="7" s="1"/>
  <c r="S117" i="7" s="1"/>
  <c r="T117" i="7"/>
  <c r="U117" i="7" s="1"/>
  <c r="P124" i="7"/>
  <c r="R124" i="7" s="1"/>
  <c r="S124" i="7" s="1"/>
  <c r="T124" i="7"/>
  <c r="U124" i="7" s="1"/>
  <c r="P123" i="7"/>
  <c r="R123" i="7" s="1"/>
  <c r="S123" i="7" s="1"/>
  <c r="T123" i="7"/>
  <c r="U123" i="7" s="1"/>
  <c r="P118" i="7"/>
  <c r="R118" i="7" s="1"/>
  <c r="S118" i="7" s="1"/>
  <c r="T118" i="7"/>
  <c r="U118" i="7" s="1"/>
  <c r="T98" i="7"/>
  <c r="U98" i="7" s="1"/>
  <c r="T119" i="7"/>
  <c r="U119" i="7" s="1"/>
  <c r="P119" i="7"/>
  <c r="R119" i="7" s="1"/>
  <c r="S119" i="7" s="1"/>
  <c r="T154" i="7"/>
  <c r="U154" i="7" s="1"/>
  <c r="P154" i="7"/>
  <c r="R154" i="7" s="1"/>
  <c r="S154" i="7" s="1"/>
  <c r="T153" i="7"/>
  <c r="U153" i="7" s="1"/>
  <c r="P153" i="7"/>
  <c r="R153" i="7" s="1"/>
  <c r="S153" i="7" s="1"/>
  <c r="T58" i="7"/>
  <c r="U58" i="7" s="1"/>
  <c r="P57" i="7"/>
  <c r="R57" i="7" s="1"/>
  <c r="S57" i="7" s="1"/>
  <c r="T57" i="7"/>
  <c r="U57" i="7" s="1"/>
  <c r="P71" i="7"/>
  <c r="T71" i="7"/>
  <c r="U71" i="7" s="1"/>
  <c r="P59" i="7"/>
  <c r="T59" i="7"/>
  <c r="U59" i="7" s="1"/>
  <c r="P163" i="7"/>
  <c r="R163" i="7" s="1"/>
  <c r="S163" i="7" s="1"/>
  <c r="T163" i="7"/>
  <c r="U163" i="7" s="1"/>
  <c r="P69" i="7"/>
  <c r="R69" i="7" s="1"/>
  <c r="S69" i="7" s="1"/>
  <c r="T69" i="7"/>
  <c r="U69" i="7" s="1"/>
  <c r="T48" i="7"/>
  <c r="U48" i="7" s="1"/>
  <c r="P48" i="7"/>
  <c r="R48" i="7" s="1"/>
  <c r="S48" i="7" s="1"/>
  <c r="P55" i="7"/>
  <c r="T55" i="7"/>
  <c r="U55" i="7" s="1"/>
  <c r="T54" i="7"/>
  <c r="U54" i="7" s="1"/>
  <c r="T156" i="7"/>
  <c r="U156" i="7" s="1"/>
  <c r="P156" i="7"/>
  <c r="R156" i="7" s="1"/>
  <c r="S156" i="7" s="1"/>
  <c r="P155" i="7"/>
  <c r="R155" i="7" s="1"/>
  <c r="S155" i="7" s="1"/>
  <c r="T155" i="7"/>
  <c r="U155" i="7" s="1"/>
  <c r="T64" i="7"/>
  <c r="U64" i="7" s="1"/>
  <c r="P64" i="7"/>
  <c r="R64" i="7" s="1"/>
  <c r="S64" i="7" s="1"/>
  <c r="T60" i="7"/>
  <c r="U60" i="7" s="1"/>
  <c r="P60" i="7"/>
  <c r="R60" i="7" s="1"/>
  <c r="S60" i="7" s="1"/>
  <c r="R42" i="7"/>
  <c r="S42" i="7" s="1"/>
  <c r="T42" i="7"/>
  <c r="U42" i="7" s="1"/>
  <c r="T70" i="7"/>
  <c r="U70" i="7" s="1"/>
  <c r="T51" i="7"/>
  <c r="U51" i="7" s="1"/>
  <c r="P51" i="7"/>
  <c r="T46" i="7"/>
  <c r="U46" i="7" s="1"/>
  <c r="T44" i="7"/>
  <c r="U44" i="7" s="1"/>
  <c r="P44" i="7"/>
  <c r="R44" i="7" s="1"/>
  <c r="S44" i="7" s="1"/>
  <c r="T66" i="7"/>
  <c r="U66" i="7" s="1"/>
  <c r="P65" i="7"/>
  <c r="R65" i="7" s="1"/>
  <c r="S65" i="7" s="1"/>
  <c r="T65" i="7"/>
  <c r="U65" i="7" s="1"/>
  <c r="T152" i="7"/>
  <c r="U152" i="7" s="1"/>
  <c r="P152" i="7"/>
  <c r="R152" i="7" s="1"/>
  <c r="S152" i="7" s="1"/>
  <c r="T67" i="7"/>
  <c r="U67" i="7" s="1"/>
  <c r="P67" i="7"/>
  <c r="T50" i="7"/>
  <c r="U50" i="7" s="1"/>
  <c r="P72" i="7"/>
  <c r="R72" i="7" s="1"/>
  <c r="S72" i="7" s="1"/>
  <c r="T72" i="7"/>
  <c r="U72" i="7" s="1"/>
  <c r="T62" i="7"/>
  <c r="U62" i="7" s="1"/>
  <c r="T68" i="7"/>
  <c r="U68" i="7" s="1"/>
  <c r="T164" i="7"/>
  <c r="U164" i="7" s="1"/>
  <c r="P164" i="7"/>
  <c r="R164" i="7" s="1"/>
  <c r="S164" i="7" s="1"/>
  <c r="P56" i="7"/>
  <c r="R56" i="7" s="1"/>
  <c r="S56" i="7" s="1"/>
  <c r="T56" i="7"/>
  <c r="U56" i="7" s="1"/>
  <c r="P162" i="7"/>
  <c r="R162" i="7" s="1"/>
  <c r="S162" i="7" s="1"/>
  <c r="T162" i="7"/>
  <c r="U162" i="7" s="1"/>
  <c r="T175" i="7"/>
  <c r="U175" i="7" s="1"/>
  <c r="T157" i="7"/>
  <c r="U157" i="7" s="1"/>
  <c r="P157" i="7"/>
  <c r="R157" i="7" s="1"/>
  <c r="S157" i="7" s="1"/>
  <c r="T52" i="7"/>
  <c r="U52" i="7" s="1"/>
  <c r="P52" i="7"/>
  <c r="R52" i="7" s="1"/>
  <c r="S52" i="7" s="1"/>
  <c r="P47" i="7"/>
  <c r="R47" i="7" s="1"/>
  <c r="T47" i="7"/>
  <c r="U47" i="7" s="1"/>
  <c r="P61" i="7"/>
  <c r="R61" i="7" s="1"/>
  <c r="S61" i="7" s="1"/>
  <c r="T61" i="7"/>
  <c r="U61" i="7" s="1"/>
  <c r="P49" i="7"/>
  <c r="R49" i="7" s="1"/>
  <c r="S49" i="7" s="1"/>
  <c r="T49" i="7"/>
  <c r="U49" i="7" s="1"/>
  <c r="T63" i="7"/>
  <c r="U63" i="7" s="1"/>
  <c r="P63" i="7"/>
  <c r="T73" i="7"/>
  <c r="U73" i="7" s="1"/>
  <c r="P53" i="7"/>
  <c r="R53" i="7" s="1"/>
  <c r="S53" i="7" s="1"/>
  <c r="T53" i="7"/>
  <c r="U53" i="7" s="1"/>
  <c r="P45" i="7"/>
  <c r="R45" i="7" s="1"/>
  <c r="S45" i="7" s="1"/>
  <c r="T45" i="7"/>
  <c r="U45" i="7" s="1"/>
  <c r="T43" i="7"/>
  <c r="U43" i="7" s="1"/>
  <c r="P43" i="7"/>
  <c r="R43" i="7" s="1"/>
  <c r="S43" i="7" s="1"/>
  <c r="P165" i="7"/>
  <c r="R165" i="7" s="1"/>
  <c r="S165" i="7" s="1"/>
  <c r="T165" i="7"/>
  <c r="U165" i="7" s="1"/>
  <c r="P116" i="7"/>
  <c r="R116" i="7" s="1"/>
  <c r="S116" i="7" s="1"/>
  <c r="T116" i="7"/>
  <c r="U116" i="7" s="1"/>
  <c r="P102" i="7"/>
  <c r="T102" i="7"/>
  <c r="U102" i="7" s="1"/>
  <c r="P113" i="7"/>
  <c r="T113" i="7"/>
  <c r="U113" i="7" s="1"/>
  <c r="P106" i="7"/>
  <c r="T106" i="7"/>
  <c r="U106" i="7" s="1"/>
  <c r="P103" i="7"/>
  <c r="T103" i="7"/>
  <c r="U103" i="7" s="1"/>
  <c r="P110" i="7"/>
  <c r="T110" i="7"/>
  <c r="U110" i="7" s="1"/>
  <c r="P114" i="7"/>
  <c r="T114" i="7"/>
  <c r="U114" i="7" s="1"/>
  <c r="P107" i="7"/>
  <c r="T107" i="7"/>
  <c r="U107" i="7" s="1"/>
  <c r="P104" i="7"/>
  <c r="T104" i="7"/>
  <c r="U104" i="7" s="1"/>
  <c r="P105" i="7"/>
  <c r="T105" i="7"/>
  <c r="U105" i="7" s="1"/>
  <c r="T101" i="7"/>
  <c r="U101" i="7" s="1"/>
  <c r="P101" i="7"/>
  <c r="P100" i="7"/>
  <c r="T100" i="7"/>
  <c r="U100" i="7" s="1"/>
  <c r="P111" i="7"/>
  <c r="T111" i="7"/>
  <c r="U111" i="7" s="1"/>
  <c r="P108" i="7"/>
  <c r="R108" i="7" s="1"/>
  <c r="S108" i="7" s="1"/>
  <c r="T108" i="7"/>
  <c r="U108" i="7" s="1"/>
  <c r="P109" i="7"/>
  <c r="T109" i="7"/>
  <c r="U109" i="7" s="1"/>
  <c r="P112" i="7"/>
  <c r="T112" i="7"/>
  <c r="U112" i="7" s="1"/>
  <c r="P97" i="7"/>
  <c r="T91" i="7"/>
  <c r="U91" i="7" s="1"/>
  <c r="P94" i="7"/>
  <c r="T94" i="7"/>
  <c r="U94" i="7" s="1"/>
  <c r="T88" i="7"/>
  <c r="U88" i="7" s="1"/>
  <c r="P88" i="7"/>
  <c r="P85" i="7"/>
  <c r="P79" i="7"/>
  <c r="T79" i="7"/>
  <c r="U79" i="7" s="1"/>
  <c r="T35" i="7"/>
  <c r="U35" i="7" s="1"/>
  <c r="P35" i="7"/>
  <c r="R35" i="7" s="1"/>
  <c r="S35" i="7" s="1"/>
  <c r="T39" i="7"/>
  <c r="U39" i="7" s="1"/>
  <c r="T38" i="7"/>
  <c r="U38" i="7" s="1"/>
  <c r="T28" i="7"/>
  <c r="U28" i="7" s="1"/>
  <c r="P28" i="7"/>
  <c r="R28" i="7" s="1"/>
  <c r="S28" i="7" s="1"/>
  <c r="T29" i="7"/>
  <c r="U29" i="7" s="1"/>
  <c r="P29" i="7"/>
  <c r="R29" i="7" s="1"/>
  <c r="S29" i="7" s="1"/>
  <c r="T30" i="7"/>
  <c r="U30" i="7" s="1"/>
  <c r="P30" i="7"/>
  <c r="T32" i="7"/>
  <c r="U32" i="7" s="1"/>
  <c r="P32" i="7"/>
  <c r="R32" i="7" s="1"/>
  <c r="S32" i="7" s="1"/>
  <c r="T33" i="7"/>
  <c r="U33" i="7" s="1"/>
  <c r="P33" i="7"/>
  <c r="R33" i="7" s="1"/>
  <c r="S33" i="7" s="1"/>
  <c r="T34" i="7"/>
  <c r="U34" i="7" s="1"/>
  <c r="P34" i="7"/>
  <c r="R34" i="7" s="1"/>
  <c r="S34" i="7" s="1"/>
  <c r="P31" i="7"/>
  <c r="T31" i="7"/>
  <c r="U31" i="7" s="1"/>
  <c r="T36" i="7"/>
  <c r="U36" i="7" s="1"/>
  <c r="P36" i="7"/>
  <c r="R36" i="7" s="1"/>
  <c r="S36" i="7" s="1"/>
  <c r="T37" i="7"/>
  <c r="U37" i="7" s="1"/>
  <c r="P37" i="7"/>
  <c r="R37" i="7" s="1"/>
  <c r="S37" i="7" s="1"/>
  <c r="T27" i="7"/>
  <c r="U27" i="7" s="1"/>
  <c r="P27" i="7"/>
  <c r="R27" i="7" s="1"/>
  <c r="S27" i="7" s="1"/>
  <c r="T145" i="7"/>
  <c r="U145" i="7" s="1"/>
  <c r="P145" i="7"/>
  <c r="R145" i="7" s="1"/>
  <c r="T188" i="7"/>
  <c r="U188" i="7" s="1"/>
  <c r="P188" i="7"/>
  <c r="R188" i="7" s="1"/>
  <c r="S188" i="7" s="1"/>
  <c r="T190" i="7"/>
  <c r="U190" i="7" s="1"/>
  <c r="P190" i="7"/>
  <c r="R190" i="7" s="1"/>
  <c r="S190" i="7" s="1"/>
  <c r="T158" i="7"/>
  <c r="U158" i="7" s="1"/>
  <c r="P158" i="7"/>
  <c r="R158" i="7" s="1"/>
  <c r="S158" i="7" s="1"/>
  <c r="T148" i="7"/>
  <c r="U148" i="7" s="1"/>
  <c r="P148" i="7"/>
  <c r="R148" i="7" s="1"/>
  <c r="S148" i="7" s="1"/>
  <c r="T150" i="7"/>
  <c r="U150" i="7" s="1"/>
  <c r="P150" i="7"/>
  <c r="R150" i="7" s="1"/>
  <c r="S150" i="7" s="1"/>
  <c r="T189" i="7"/>
  <c r="U189" i="7" s="1"/>
  <c r="P189" i="7"/>
  <c r="R189" i="7" s="1"/>
  <c r="S189" i="7" s="1"/>
  <c r="J84" i="7"/>
  <c r="K84" i="7" s="1"/>
  <c r="L84" i="7" s="1"/>
  <c r="J95" i="7"/>
  <c r="K95" i="7" s="1"/>
  <c r="L95" i="7" s="1"/>
  <c r="M95" i="7" s="1"/>
  <c r="J96" i="7"/>
  <c r="K96" i="7" s="1"/>
  <c r="L96" i="7" s="1"/>
  <c r="M96" i="7" s="1"/>
  <c r="J183" i="7"/>
  <c r="K183" i="7" s="1"/>
  <c r="L183" i="7" s="1"/>
  <c r="M183" i="7" s="1"/>
  <c r="J17" i="7"/>
  <c r="K17" i="7" s="1"/>
  <c r="L17" i="7" s="1"/>
  <c r="M17" i="7" s="1"/>
  <c r="J22" i="7"/>
  <c r="K22" i="7" s="1"/>
  <c r="L22" i="7" s="1"/>
  <c r="M22" i="7" s="1"/>
  <c r="J208" i="7"/>
  <c r="K208" i="7" s="1"/>
  <c r="L208" i="7" s="1"/>
  <c r="J210" i="7"/>
  <c r="K210" i="7" s="1"/>
  <c r="L210" i="7" s="1"/>
  <c r="J202" i="7"/>
  <c r="K202" i="7" s="1"/>
  <c r="L202" i="7" s="1"/>
  <c r="J172" i="7"/>
  <c r="K172" i="7" s="1"/>
  <c r="L172" i="7" s="1"/>
  <c r="M172" i="7" s="1"/>
  <c r="P172" i="7" s="1"/>
  <c r="J89" i="7"/>
  <c r="K89" i="7" s="1"/>
  <c r="L89" i="7" s="1"/>
  <c r="M89" i="7" s="1"/>
  <c r="J80" i="7"/>
  <c r="K80" i="7" s="1"/>
  <c r="L80" i="7" s="1"/>
  <c r="M80" i="7" s="1"/>
  <c r="J203" i="7"/>
  <c r="K203" i="7" s="1"/>
  <c r="L203" i="7" s="1"/>
  <c r="J174" i="7"/>
  <c r="K174" i="7" s="1"/>
  <c r="L174" i="7" s="1"/>
  <c r="M174" i="7" s="1"/>
  <c r="J15" i="7"/>
  <c r="K15" i="7" s="1"/>
  <c r="L15" i="7" s="1"/>
  <c r="M15" i="7" s="1"/>
  <c r="J207" i="7"/>
  <c r="K207" i="7" s="1"/>
  <c r="L207" i="7" s="1"/>
  <c r="J171" i="7"/>
  <c r="J212" i="7"/>
  <c r="K212" i="7" s="1"/>
  <c r="L212" i="7" s="1"/>
  <c r="J193" i="7"/>
  <c r="K193" i="7" s="1"/>
  <c r="L193" i="7" s="1"/>
  <c r="M193" i="7" s="1"/>
  <c r="J209" i="7"/>
  <c r="K209" i="7" s="1"/>
  <c r="L209" i="7" s="1"/>
  <c r="J18" i="7"/>
  <c r="K18" i="7" s="1"/>
  <c r="L18" i="7" s="1"/>
  <c r="M18" i="7" s="1"/>
  <c r="J199" i="7"/>
  <c r="K199" i="7" s="1"/>
  <c r="L199" i="7" s="1"/>
  <c r="J201" i="7"/>
  <c r="K201" i="7" s="1"/>
  <c r="L201" i="7" s="1"/>
  <c r="J93" i="7"/>
  <c r="K93" i="7" s="1"/>
  <c r="L93" i="7" s="1"/>
  <c r="M93" i="7" s="1"/>
  <c r="J206" i="7"/>
  <c r="K206" i="7" s="1"/>
  <c r="L206" i="7" s="1"/>
  <c r="J86" i="7"/>
  <c r="K86" i="7" s="1"/>
  <c r="L86" i="7" s="1"/>
  <c r="M86" i="7" s="1"/>
  <c r="J92" i="7"/>
  <c r="K92" i="7" s="1"/>
  <c r="L92" i="7" s="1"/>
  <c r="M92" i="7" s="1"/>
  <c r="J90" i="7"/>
  <c r="K90" i="7" s="1"/>
  <c r="L90" i="7" s="1"/>
  <c r="M90" i="7" s="1"/>
  <c r="J205" i="7"/>
  <c r="K205" i="7" s="1"/>
  <c r="L205" i="7" s="1"/>
  <c r="J25" i="7"/>
  <c r="K25" i="7" s="1"/>
  <c r="L25" i="7" s="1"/>
  <c r="M25" i="7" s="1"/>
  <c r="J77" i="7"/>
  <c r="J23" i="7"/>
  <c r="K23" i="7" s="1"/>
  <c r="L23" i="7" s="1"/>
  <c r="J204" i="7"/>
  <c r="K204" i="7" s="1"/>
  <c r="L204" i="7" s="1"/>
  <c r="J20" i="7"/>
  <c r="K20" i="7" s="1"/>
  <c r="L20" i="7" s="1"/>
  <c r="M20" i="7" s="1"/>
  <c r="J200" i="7"/>
  <c r="K200" i="7" s="1"/>
  <c r="L200" i="7" s="1"/>
  <c r="J186" i="7"/>
  <c r="K186" i="7" s="1"/>
  <c r="L186" i="7" s="1"/>
  <c r="M186" i="7" s="1"/>
  <c r="J83" i="7"/>
  <c r="K83" i="7" s="1"/>
  <c r="L83" i="7" s="1"/>
  <c r="M83" i="7" s="1"/>
  <c r="J211" i="7"/>
  <c r="K211" i="7" s="1"/>
  <c r="L211" i="7" s="1"/>
  <c r="J16" i="7"/>
  <c r="K16" i="7" s="1"/>
  <c r="L16" i="7" s="1"/>
  <c r="M16" i="7" s="1"/>
  <c r="J185" i="7"/>
  <c r="J24" i="7"/>
  <c r="K24" i="7" s="1"/>
  <c r="L24" i="7" s="1"/>
  <c r="M24" i="7" s="1"/>
  <c r="J187" i="7"/>
  <c r="K187" i="7" s="1"/>
  <c r="L187" i="7" s="1"/>
  <c r="M187" i="7" s="1"/>
  <c r="J19" i="7"/>
  <c r="K19" i="7" s="1"/>
  <c r="L19" i="7" s="1"/>
  <c r="M19" i="7" s="1"/>
  <c r="J21" i="7"/>
  <c r="K21" i="7" s="1"/>
  <c r="L21" i="7" s="1"/>
  <c r="M21" i="7" s="1"/>
  <c r="R94" i="7" l="1"/>
  <c r="S94" i="7" s="1"/>
  <c r="P68" i="7"/>
  <c r="R68" i="7" s="1"/>
  <c r="S68" i="7" s="1"/>
  <c r="P262" i="7"/>
  <c r="R262" i="7" s="1"/>
  <c r="S262" i="7" s="1"/>
  <c r="R112" i="7"/>
  <c r="S112" i="7" s="1"/>
  <c r="P279" i="7"/>
  <c r="R279" i="7" s="1"/>
  <c r="S279" i="7" s="1"/>
  <c r="R105" i="7"/>
  <c r="S105" i="7" s="1"/>
  <c r="P273" i="7"/>
  <c r="R273" i="7" s="1"/>
  <c r="S273" i="7" s="1"/>
  <c r="R106" i="7"/>
  <c r="S106" i="7" s="1"/>
  <c r="P276" i="7"/>
  <c r="R276" i="7" s="1"/>
  <c r="S276" i="7" s="1"/>
  <c r="R102" i="7"/>
  <c r="S102" i="7" s="1"/>
  <c r="P272" i="7"/>
  <c r="R272" i="7" s="1"/>
  <c r="S272" i="7" s="1"/>
  <c r="R88" i="7"/>
  <c r="S88" i="7" s="1"/>
  <c r="P256" i="7"/>
  <c r="R256" i="7" s="1"/>
  <c r="S256" i="7" s="1"/>
  <c r="R101" i="7"/>
  <c r="S101" i="7" s="1"/>
  <c r="P269" i="7"/>
  <c r="R269" i="7" s="1"/>
  <c r="S269" i="7" s="1"/>
  <c r="R85" i="7"/>
  <c r="S85" i="7" s="1"/>
  <c r="P253" i="7"/>
  <c r="R253" i="7" s="1"/>
  <c r="S253" i="7" s="1"/>
  <c r="R100" i="7"/>
  <c r="S100" i="7" s="1"/>
  <c r="P270" i="7"/>
  <c r="R270" i="7" s="1"/>
  <c r="S270" i="7" s="1"/>
  <c r="R107" i="7"/>
  <c r="S107" i="7" s="1"/>
  <c r="P275" i="7"/>
  <c r="R275" i="7" s="1"/>
  <c r="S275" i="7" s="1"/>
  <c r="R30" i="7"/>
  <c r="S30" i="7" s="1"/>
  <c r="P38" i="7"/>
  <c r="R38" i="7" s="1"/>
  <c r="S38" i="7" s="1"/>
  <c r="R97" i="7"/>
  <c r="S97" i="7" s="1"/>
  <c r="P265" i="7"/>
  <c r="R265" i="7" s="1"/>
  <c r="S265" i="7" s="1"/>
  <c r="R109" i="7"/>
  <c r="S109" i="7" s="1"/>
  <c r="P278" i="7"/>
  <c r="R278" i="7" s="1"/>
  <c r="S278" i="7" s="1"/>
  <c r="R111" i="7"/>
  <c r="S111" i="7" s="1"/>
  <c r="P280" i="7"/>
  <c r="R280" i="7" s="1"/>
  <c r="S280" i="7" s="1"/>
  <c r="R104" i="7"/>
  <c r="S104" i="7" s="1"/>
  <c r="P274" i="7"/>
  <c r="R274" i="7" s="1"/>
  <c r="S274" i="7" s="1"/>
  <c r="R114" i="7"/>
  <c r="S114" i="7" s="1"/>
  <c r="P281" i="7"/>
  <c r="R281" i="7" s="1"/>
  <c r="S281" i="7" s="1"/>
  <c r="R103" i="7"/>
  <c r="S103" i="7" s="1"/>
  <c r="P271" i="7"/>
  <c r="R271" i="7" s="1"/>
  <c r="S271" i="7" s="1"/>
  <c r="R113" i="7"/>
  <c r="S113" i="7" s="1"/>
  <c r="P282" i="7"/>
  <c r="R282" i="7" s="1"/>
  <c r="S282" i="7" s="1"/>
  <c r="R110" i="7"/>
  <c r="S110" i="7" s="1"/>
  <c r="P277" i="7"/>
  <c r="R277" i="7" s="1"/>
  <c r="S277" i="7" s="1"/>
  <c r="R31" i="7"/>
  <c r="S31" i="7" s="1"/>
  <c r="P39" i="7"/>
  <c r="R39" i="7" s="1"/>
  <c r="S39" i="7" s="1"/>
  <c r="R79" i="7"/>
  <c r="S79" i="7" s="1"/>
  <c r="P247" i="7"/>
  <c r="R247" i="7" s="1"/>
  <c r="S247" i="7" s="1"/>
  <c r="R67" i="7"/>
  <c r="S67" i="7" s="1"/>
  <c r="R51" i="7"/>
  <c r="S51" i="7" s="1"/>
  <c r="R63" i="7"/>
  <c r="S63" i="7" s="1"/>
  <c r="R55" i="7"/>
  <c r="S55" i="7" s="1"/>
  <c r="R59" i="7"/>
  <c r="S59" i="7" s="1"/>
  <c r="R71" i="7"/>
  <c r="S71" i="7" s="1"/>
  <c r="S47" i="7"/>
  <c r="S145" i="7"/>
  <c r="R3" i="7"/>
  <c r="S3" i="7" s="1"/>
  <c r="T232" i="7"/>
  <c r="P232" i="7"/>
  <c r="R232" i="7" s="1"/>
  <c r="S232" i="7" s="1"/>
  <c r="P233" i="7"/>
  <c r="R233" i="7" s="1"/>
  <c r="S233" i="7" s="1"/>
  <c r="T233" i="7"/>
  <c r="T227" i="7"/>
  <c r="P227" i="7"/>
  <c r="R227" i="7" s="1"/>
  <c r="S227" i="7" s="1"/>
  <c r="T231" i="7"/>
  <c r="P231" i="7"/>
  <c r="R231" i="7" s="1"/>
  <c r="S231" i="7" s="1"/>
  <c r="T223" i="7"/>
  <c r="P223" i="7"/>
  <c r="R223" i="7" s="1"/>
  <c r="S223" i="7" s="1"/>
  <c r="T228" i="7"/>
  <c r="P228" i="7"/>
  <c r="R228" i="7" s="1"/>
  <c r="S228" i="7" s="1"/>
  <c r="T192" i="7"/>
  <c r="P192" i="7"/>
  <c r="R192" i="7" s="1"/>
  <c r="S192" i="7" s="1"/>
  <c r="P222" i="7"/>
  <c r="R222" i="7" s="1"/>
  <c r="S222" i="7" s="1"/>
  <c r="T222" i="7"/>
  <c r="P161" i="7"/>
  <c r="R161" i="7" s="1"/>
  <c r="S161" i="7" s="1"/>
  <c r="T161" i="7"/>
  <c r="T230" i="7"/>
  <c r="P230" i="7"/>
  <c r="R230" i="7" s="1"/>
  <c r="S230" i="7" s="1"/>
  <c r="T224" i="7"/>
  <c r="P224" i="7"/>
  <c r="R224" i="7" s="1"/>
  <c r="S224" i="7" s="1"/>
  <c r="P225" i="7"/>
  <c r="R225" i="7" s="1"/>
  <c r="S225" i="7" s="1"/>
  <c r="T225" i="7"/>
  <c r="P226" i="7"/>
  <c r="R226" i="7" s="1"/>
  <c r="S226" i="7" s="1"/>
  <c r="T226" i="7"/>
  <c r="P229" i="7"/>
  <c r="R229" i="7" s="1"/>
  <c r="S229" i="7" s="1"/>
  <c r="T229" i="7"/>
  <c r="K185" i="7"/>
  <c r="L185" i="7" s="1"/>
  <c r="M185" i="7" s="1"/>
  <c r="P185" i="7" s="1"/>
  <c r="R185" i="7" s="1"/>
  <c r="J194" i="7"/>
  <c r="K171" i="7"/>
  <c r="L171" i="7" s="1"/>
  <c r="M171" i="7" s="1"/>
  <c r="J184" i="7"/>
  <c r="J169" i="7"/>
  <c r="M199" i="7"/>
  <c r="T178" i="7"/>
  <c r="P178" i="7"/>
  <c r="R178" i="7" s="1"/>
  <c r="S178" i="7" s="1"/>
  <c r="T128" i="7"/>
  <c r="P128" i="7"/>
  <c r="R128" i="7" s="1"/>
  <c r="S128" i="7" s="1"/>
  <c r="T191" i="7"/>
  <c r="P191" i="7"/>
  <c r="R191" i="7" s="1"/>
  <c r="S191" i="7" s="1"/>
  <c r="P126" i="7"/>
  <c r="R126" i="7" s="1"/>
  <c r="S126" i="7" s="1"/>
  <c r="T126" i="7"/>
  <c r="P214" i="7"/>
  <c r="R214" i="7" s="1"/>
  <c r="S214" i="7" s="1"/>
  <c r="T214" i="7"/>
  <c r="T179" i="7"/>
  <c r="P179" i="7"/>
  <c r="R179" i="7" s="1"/>
  <c r="S179" i="7" s="1"/>
  <c r="M212" i="7"/>
  <c r="M204" i="7"/>
  <c r="M206" i="7"/>
  <c r="M202" i="7"/>
  <c r="M209" i="7"/>
  <c r="M207" i="7"/>
  <c r="M210" i="7"/>
  <c r="T181" i="7"/>
  <c r="P181" i="7"/>
  <c r="R181" i="7" s="1"/>
  <c r="S181" i="7" s="1"/>
  <c r="T217" i="7"/>
  <c r="P217" i="7"/>
  <c r="R217" i="7" s="1"/>
  <c r="S217" i="7" s="1"/>
  <c r="T127" i="7"/>
  <c r="P127" i="7"/>
  <c r="R127" i="7" s="1"/>
  <c r="S127" i="7" s="1"/>
  <c r="P213" i="7"/>
  <c r="R213" i="7" s="1"/>
  <c r="S213" i="7" s="1"/>
  <c r="T213" i="7"/>
  <c r="M211" i="7"/>
  <c r="M205" i="7"/>
  <c r="M203" i="7"/>
  <c r="M200" i="7"/>
  <c r="M201" i="7"/>
  <c r="M208" i="7"/>
  <c r="T180" i="7"/>
  <c r="P180" i="7"/>
  <c r="R180" i="7" s="1"/>
  <c r="S180" i="7" s="1"/>
  <c r="T177" i="7"/>
  <c r="P177" i="7"/>
  <c r="R177" i="7" s="1"/>
  <c r="S177" i="7" s="1"/>
  <c r="T216" i="7"/>
  <c r="P216" i="7"/>
  <c r="R216" i="7" s="1"/>
  <c r="S216" i="7" s="1"/>
  <c r="J75" i="7"/>
  <c r="R172" i="7"/>
  <c r="R5" i="7"/>
  <c r="S5" i="7" s="1"/>
  <c r="M84" i="7"/>
  <c r="M81" i="7"/>
  <c r="P81" i="7" s="1"/>
  <c r="P249" i="7" s="1"/>
  <c r="R249" i="7" s="1"/>
  <c r="S249" i="7" s="1"/>
  <c r="M23" i="7"/>
  <c r="T183" i="7"/>
  <c r="U183" i="7" s="1"/>
  <c r="P183" i="7"/>
  <c r="R183" i="7" s="1"/>
  <c r="S183" i="7" s="1"/>
  <c r="T25" i="7"/>
  <c r="U25" i="7" s="1"/>
  <c r="T193" i="7"/>
  <c r="U193" i="7" s="1"/>
  <c r="P193" i="7"/>
  <c r="R193" i="7" s="1"/>
  <c r="S193" i="7" s="1"/>
  <c r="T80" i="7"/>
  <c r="U80" i="7" s="1"/>
  <c r="P80" i="7"/>
  <c r="T185" i="7"/>
  <c r="T16" i="7"/>
  <c r="U16" i="7" s="1"/>
  <c r="P16" i="7"/>
  <c r="T90" i="7"/>
  <c r="U90" i="7" s="1"/>
  <c r="P90" i="7"/>
  <c r="P258" i="7" s="1"/>
  <c r="R258" i="7" s="1"/>
  <c r="S258" i="7" s="1"/>
  <c r="T93" i="7"/>
  <c r="U93" i="7" s="1"/>
  <c r="P93" i="7"/>
  <c r="P261" i="7" s="1"/>
  <c r="R261" i="7" s="1"/>
  <c r="S261" i="7" s="1"/>
  <c r="T174" i="7"/>
  <c r="U174" i="7" s="1"/>
  <c r="P174" i="7"/>
  <c r="R174" i="7" s="1"/>
  <c r="S174" i="7" s="1"/>
  <c r="T89" i="7"/>
  <c r="U89" i="7" s="1"/>
  <c r="P89" i="7"/>
  <c r="P96" i="7"/>
  <c r="P264" i="7" s="1"/>
  <c r="R264" i="7" s="1"/>
  <c r="S264" i="7" s="1"/>
  <c r="T96" i="7"/>
  <c r="U96" i="7" s="1"/>
  <c r="T21" i="7"/>
  <c r="U21" i="7" s="1"/>
  <c r="P21" i="7"/>
  <c r="R21" i="7" s="1"/>
  <c r="S21" i="7" s="1"/>
  <c r="T24" i="7"/>
  <c r="U24" i="7" s="1"/>
  <c r="T20" i="7"/>
  <c r="U20" i="7" s="1"/>
  <c r="P20" i="7"/>
  <c r="R20" i="7" s="1"/>
  <c r="S20" i="7" s="1"/>
  <c r="T86" i="7"/>
  <c r="U86" i="7" s="1"/>
  <c r="P86" i="7"/>
  <c r="T19" i="7"/>
  <c r="U19" i="7" s="1"/>
  <c r="P19" i="7"/>
  <c r="R19" i="7" s="1"/>
  <c r="S19" i="7" s="1"/>
  <c r="P83" i="7"/>
  <c r="T83" i="7"/>
  <c r="U83" i="7" s="1"/>
  <c r="T18" i="7"/>
  <c r="U18" i="7" s="1"/>
  <c r="P18" i="7"/>
  <c r="R18" i="7" s="1"/>
  <c r="S18" i="7" s="1"/>
  <c r="T15" i="7"/>
  <c r="U15" i="7" s="1"/>
  <c r="P15" i="7"/>
  <c r="R15" i="7" s="1"/>
  <c r="T187" i="7"/>
  <c r="U187" i="7" s="1"/>
  <c r="P187" i="7"/>
  <c r="R187" i="7" s="1"/>
  <c r="S187" i="7" s="1"/>
  <c r="T186" i="7"/>
  <c r="U186" i="7" s="1"/>
  <c r="P186" i="7"/>
  <c r="T87" i="7"/>
  <c r="U87" i="7" s="1"/>
  <c r="P87" i="7"/>
  <c r="P255" i="7" s="1"/>
  <c r="R255" i="7" s="1"/>
  <c r="S255" i="7" s="1"/>
  <c r="T92" i="7"/>
  <c r="U92" i="7" s="1"/>
  <c r="P92" i="7"/>
  <c r="T22" i="7"/>
  <c r="U22" i="7" s="1"/>
  <c r="P22" i="7"/>
  <c r="R22" i="7" s="1"/>
  <c r="S22" i="7" s="1"/>
  <c r="P95" i="7"/>
  <c r="T95" i="7"/>
  <c r="U95" i="7" s="1"/>
  <c r="T146" i="7"/>
  <c r="U146" i="7" s="1"/>
  <c r="P146" i="7"/>
  <c r="R146" i="7" s="1"/>
  <c r="S146" i="7" s="1"/>
  <c r="T17" i="7"/>
  <c r="U17" i="7" s="1"/>
  <c r="P17" i="7"/>
  <c r="K14" i="7"/>
  <c r="L14" i="7" s="1"/>
  <c r="M14" i="7" s="1"/>
  <c r="K77" i="7"/>
  <c r="L77" i="7" s="1"/>
  <c r="M77" i="7" s="1"/>
  <c r="R17" i="7" l="1"/>
  <c r="S17" i="7" s="1"/>
  <c r="P25" i="7"/>
  <c r="R25" i="7" s="1"/>
  <c r="S25" i="7" s="1"/>
  <c r="R92" i="7"/>
  <c r="S92" i="7" s="1"/>
  <c r="P260" i="7"/>
  <c r="R260" i="7" s="1"/>
  <c r="S260" i="7" s="1"/>
  <c r="R186" i="7"/>
  <c r="S186" i="7" s="1"/>
  <c r="P73" i="7"/>
  <c r="R73" i="7" s="1"/>
  <c r="S73" i="7" s="1"/>
  <c r="R86" i="7"/>
  <c r="S86" i="7" s="1"/>
  <c r="P254" i="7"/>
  <c r="R254" i="7" s="1"/>
  <c r="S254" i="7" s="1"/>
  <c r="R95" i="7"/>
  <c r="S95" i="7" s="1"/>
  <c r="P263" i="7"/>
  <c r="R263" i="7" s="1"/>
  <c r="S263" i="7" s="1"/>
  <c r="R83" i="7"/>
  <c r="S83" i="7" s="1"/>
  <c r="P251" i="7"/>
  <c r="R251" i="7" s="1"/>
  <c r="S251" i="7" s="1"/>
  <c r="R80" i="7"/>
  <c r="S80" i="7" s="1"/>
  <c r="P248" i="7"/>
  <c r="R248" i="7" s="1"/>
  <c r="S248" i="7" s="1"/>
  <c r="S169" i="7"/>
  <c r="R89" i="7"/>
  <c r="S89" i="7" s="1"/>
  <c r="P257" i="7"/>
  <c r="R257" i="7" s="1"/>
  <c r="S257" i="7" s="1"/>
  <c r="R16" i="7"/>
  <c r="S16" i="7" s="1"/>
  <c r="P24" i="7"/>
  <c r="R24" i="7" s="1"/>
  <c r="S24" i="7" s="1"/>
  <c r="R96" i="7"/>
  <c r="S96" i="7" s="1"/>
  <c r="P70" i="7"/>
  <c r="R70" i="7" s="1"/>
  <c r="S70" i="7" s="1"/>
  <c r="R87" i="7"/>
  <c r="S87" i="7" s="1"/>
  <c r="P58" i="7"/>
  <c r="R58" i="7" s="1"/>
  <c r="S58" i="7" s="1"/>
  <c r="R93" i="7"/>
  <c r="S93" i="7" s="1"/>
  <c r="P66" i="7"/>
  <c r="R66" i="7" s="1"/>
  <c r="S66" i="7" s="1"/>
  <c r="R81" i="7"/>
  <c r="S81" i="7" s="1"/>
  <c r="P50" i="7"/>
  <c r="R50" i="7" s="1"/>
  <c r="S50" i="7" s="1"/>
  <c r="S15" i="7"/>
  <c r="R90" i="7"/>
  <c r="S90" i="7" s="1"/>
  <c r="P62" i="7"/>
  <c r="R62" i="7" s="1"/>
  <c r="S62" i="7" s="1"/>
  <c r="R194" i="7"/>
  <c r="R169" i="7"/>
  <c r="P6" i="7"/>
  <c r="U185" i="7"/>
  <c r="U194" i="7" s="1"/>
  <c r="T194" i="7"/>
  <c r="T208" i="7"/>
  <c r="P208" i="7"/>
  <c r="R208" i="7" s="1"/>
  <c r="S208" i="7" s="1"/>
  <c r="T210" i="7"/>
  <c r="P210" i="7"/>
  <c r="R210" i="7" s="1"/>
  <c r="S210" i="7" s="1"/>
  <c r="T201" i="7"/>
  <c r="P201" i="7"/>
  <c r="R201" i="7" s="1"/>
  <c r="S201" i="7" s="1"/>
  <c r="T203" i="7"/>
  <c r="P203" i="7"/>
  <c r="R203" i="7" s="1"/>
  <c r="S203" i="7" s="1"/>
  <c r="T211" i="7"/>
  <c r="P211" i="7"/>
  <c r="R211" i="7" s="1"/>
  <c r="S211" i="7" s="1"/>
  <c r="T207" i="7"/>
  <c r="P207" i="7"/>
  <c r="R207" i="7" s="1"/>
  <c r="S207" i="7" s="1"/>
  <c r="T202" i="7"/>
  <c r="P202" i="7"/>
  <c r="R202" i="7" s="1"/>
  <c r="S202" i="7" s="1"/>
  <c r="T204" i="7"/>
  <c r="P204" i="7"/>
  <c r="R204" i="7" s="1"/>
  <c r="S204" i="7" s="1"/>
  <c r="T205" i="7"/>
  <c r="P205" i="7"/>
  <c r="R205" i="7" s="1"/>
  <c r="S205" i="7" s="1"/>
  <c r="T200" i="7"/>
  <c r="P200" i="7"/>
  <c r="R200" i="7" s="1"/>
  <c r="S200" i="7" s="1"/>
  <c r="T209" i="7"/>
  <c r="P209" i="7"/>
  <c r="R209" i="7" s="1"/>
  <c r="S209" i="7" s="1"/>
  <c r="T206" i="7"/>
  <c r="P206" i="7"/>
  <c r="R206" i="7" s="1"/>
  <c r="S206" i="7" s="1"/>
  <c r="T212" i="7"/>
  <c r="P212" i="7"/>
  <c r="R212" i="7" s="1"/>
  <c r="S212" i="7" s="1"/>
  <c r="T199" i="7"/>
  <c r="P199" i="7"/>
  <c r="R199" i="7" s="1"/>
  <c r="S199" i="7" s="1"/>
  <c r="S172" i="7"/>
  <c r="T172" i="7" s="1"/>
  <c r="U172" i="7" s="1"/>
  <c r="P78" i="7"/>
  <c r="P246" i="7" s="1"/>
  <c r="R246" i="7" s="1"/>
  <c r="S246" i="7" s="1"/>
  <c r="T78" i="7"/>
  <c r="U78" i="7" s="1"/>
  <c r="T84" i="7"/>
  <c r="U84" i="7" s="1"/>
  <c r="P84" i="7"/>
  <c r="P252" i="7" s="1"/>
  <c r="R252" i="7" s="1"/>
  <c r="S252" i="7" s="1"/>
  <c r="T81" i="7"/>
  <c r="U81" i="7" s="1"/>
  <c r="T23" i="7"/>
  <c r="U23" i="7" s="1"/>
  <c r="P23" i="7"/>
  <c r="R23" i="7" s="1"/>
  <c r="S23" i="7" s="1"/>
  <c r="T171" i="7"/>
  <c r="P171" i="7"/>
  <c r="R171" i="7" s="1"/>
  <c r="R184" i="7" s="1"/>
  <c r="S185" i="7"/>
  <c r="S194" i="7" s="1"/>
  <c r="P77" i="7"/>
  <c r="T77" i="7"/>
  <c r="T14" i="7"/>
  <c r="P14" i="7"/>
  <c r="R14" i="7" s="1"/>
  <c r="J195" i="7"/>
  <c r="R77" i="7" l="1"/>
  <c r="P245" i="7"/>
  <c r="R245" i="7" s="1"/>
  <c r="S245" i="7" s="1"/>
  <c r="R40" i="7"/>
  <c r="R78" i="7"/>
  <c r="S78" i="7" s="1"/>
  <c r="P46" i="7"/>
  <c r="R46" i="7" s="1"/>
  <c r="R84" i="7"/>
  <c r="S84" i="7" s="1"/>
  <c r="P54" i="7"/>
  <c r="R54" i="7" s="1"/>
  <c r="S54" i="7" s="1"/>
  <c r="P8" i="7"/>
  <c r="R8" i="7" s="1"/>
  <c r="S8" i="7" s="1"/>
  <c r="T141" i="7"/>
  <c r="T169" i="7" s="1"/>
  <c r="R6" i="7"/>
  <c r="S6" i="7" s="1"/>
  <c r="U171" i="7"/>
  <c r="U184" i="7" s="1"/>
  <c r="T184" i="7"/>
  <c r="U77" i="7"/>
  <c r="S77" i="7"/>
  <c r="U14" i="7"/>
  <c r="U75" i="7" s="1"/>
  <c r="T75" i="7"/>
  <c r="S14" i="7"/>
  <c r="S171" i="7"/>
  <c r="S184" i="7" s="1"/>
  <c r="S46" i="7" l="1"/>
  <c r="S75" i="7" s="1"/>
  <c r="R75" i="7"/>
  <c r="R141" i="7"/>
  <c r="U141" i="7"/>
  <c r="U169" i="7" s="1"/>
  <c r="U195" i="7" s="1"/>
  <c r="B28" i="4" s="1"/>
  <c r="B29" i="4" s="1"/>
  <c r="C29" i="4" s="1"/>
  <c r="S141" i="7"/>
  <c r="T195" i="7"/>
  <c r="R195" i="7" l="1"/>
  <c r="S195" i="7"/>
  <c r="B25" i="4"/>
  <c r="B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Logan Davis</author>
    <author>Randy Poole</author>
  </authors>
  <commentList>
    <comment ref="Q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Logan Davis:</t>
        </r>
        <r>
          <rPr>
            <sz val="9"/>
            <color indexed="81"/>
            <rFont val="Tahoma"/>
            <family val="2"/>
          </rPr>
          <t xml:space="preserve">
Yard Waste service available for 9 months out of the year</t>
        </r>
      </text>
    </comment>
    <comment ref="D197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Randy Poole:</t>
        </r>
        <r>
          <rPr>
            <sz val="9"/>
            <color indexed="81"/>
            <rFont val="Tahoma"/>
            <family val="2"/>
          </rPr>
          <t xml:space="preserve">
Not updated</t>
        </r>
      </text>
    </comment>
  </commentList>
</comments>
</file>

<file path=xl/sharedStrings.xml><?xml version="1.0" encoding="utf-8"?>
<sst xmlns="http://schemas.openxmlformats.org/spreadsheetml/2006/main" count="401" uniqueCount="310">
  <si>
    <t>Monthly Frequency</t>
  </si>
  <si>
    <t>Annual PU's</t>
  </si>
  <si>
    <t>Gross Up</t>
  </si>
  <si>
    <t>Totals</t>
  </si>
  <si>
    <t>Increase per ton</t>
  </si>
  <si>
    <t>Per Ton</t>
  </si>
  <si>
    <t>Per Pound</t>
  </si>
  <si>
    <t>Increase</t>
  </si>
  <si>
    <t>Disposal fee</t>
  </si>
  <si>
    <t>Meeks Weights</t>
  </si>
  <si>
    <t>Collected Revenue Excess/(Deficiency)</t>
  </si>
  <si>
    <t>Residential</t>
  </si>
  <si>
    <t>Commercial</t>
  </si>
  <si>
    <t>mini can MG</t>
  </si>
  <si>
    <t>2 cans MG</t>
  </si>
  <si>
    <t>3 cans MG</t>
  </si>
  <si>
    <t>4 can EOW</t>
  </si>
  <si>
    <t>4 cans MG</t>
  </si>
  <si>
    <t>64 gal cart EOW</t>
  </si>
  <si>
    <t>64 gal cart MG</t>
  </si>
  <si>
    <t>96 gal cart EOW</t>
  </si>
  <si>
    <t>96 gal cart MG</t>
  </si>
  <si>
    <t>Extra minican</t>
  </si>
  <si>
    <t>Extra bag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</si>
  <si>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</si>
  <si>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</si>
  <si>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</si>
  <si>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</si>
  <si>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</si>
  <si>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</si>
  <si>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</si>
  <si>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</si>
  <si>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</si>
  <si>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</si>
  <si>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</si>
  <si>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</si>
  <si>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</si>
  <si>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</si>
  <si>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</si>
  <si>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</si>
  <si>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</si>
  <si>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Bags-on call</t>
  </si>
  <si>
    <t>Calculated Annual Pounds</t>
  </si>
  <si>
    <t>Adjusted Annual Pounds</t>
  </si>
  <si>
    <t>No Current Customers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</si>
  <si>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</si>
  <si>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</si>
  <si>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</si>
  <si>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</si>
  <si>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</si>
  <si>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</si>
  <si>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</si>
  <si>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</si>
  <si>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</si>
  <si>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</si>
  <si>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</si>
  <si>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</si>
  <si>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</si>
  <si>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</si>
  <si>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</si>
  <si>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</si>
  <si>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Some County Disposal Fees</t>
  </si>
  <si>
    <t>Current Rate</t>
  </si>
  <si>
    <t>New Rate</t>
  </si>
  <si>
    <t>Staff Revenue Increase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</si>
  <si>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</si>
  <si>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</si>
  <si>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</si>
  <si>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</si>
  <si>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</si>
  <si>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</si>
  <si>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</si>
  <si>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</si>
  <si>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</si>
  <si>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</si>
  <si>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</si>
  <si>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</si>
  <si>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</si>
  <si>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</si>
  <si>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</si>
  <si>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</si>
  <si>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</si>
  <si>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</si>
  <si>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</si>
  <si>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</si>
  <si>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</si>
  <si>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</si>
  <si>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Pullman Disposal</t>
  </si>
  <si>
    <t>Note: Include bad debt if it was included in Lurito model</t>
  </si>
  <si>
    <t>6 cans weekly</t>
  </si>
  <si>
    <t>1 can weekly</t>
  </si>
  <si>
    <t>2 cans weekly</t>
  </si>
  <si>
    <t>3 cans weekly</t>
  </si>
  <si>
    <t>4 cans weekly</t>
  </si>
  <si>
    <t>5 cans weekly</t>
  </si>
  <si>
    <t>Mini-can weekly</t>
  </si>
  <si>
    <t>95 Gal weekly</t>
  </si>
  <si>
    <t>68 Gal YW eow</t>
  </si>
  <si>
    <t>95 Gal YW eow</t>
  </si>
  <si>
    <t>Micro-can weekly</t>
  </si>
  <si>
    <t>1.0 Yd. pu</t>
  </si>
  <si>
    <t>1.0 Yd. rent</t>
  </si>
  <si>
    <t>1.5 Yd. rent</t>
  </si>
  <si>
    <t>1.5 Yd. pu</t>
  </si>
  <si>
    <t>2.0 Yd. rent</t>
  </si>
  <si>
    <t>2.0 Yd, pu</t>
  </si>
  <si>
    <t>3.0 Yd. rent</t>
  </si>
  <si>
    <t>3.0 Yd. pu</t>
  </si>
  <si>
    <t>4.0 Yd. rent</t>
  </si>
  <si>
    <t>4.0 Yd. pu</t>
  </si>
  <si>
    <t>6.0 Yd. rent</t>
  </si>
  <si>
    <t>6.0 Yd. pu</t>
  </si>
  <si>
    <t>8.0 Yd. rent</t>
  </si>
  <si>
    <t>8.0 Yd. pu</t>
  </si>
  <si>
    <t>20,30,40 Yd rent</t>
  </si>
  <si>
    <t>20 Yd p/u</t>
  </si>
  <si>
    <t>30 Yd p/u</t>
  </si>
  <si>
    <t>40 Yd p/u</t>
  </si>
  <si>
    <t>Distance 5'-25'</t>
  </si>
  <si>
    <t>Drive Ins</t>
  </si>
  <si>
    <t>Loose Yards</t>
  </si>
  <si>
    <t>Daily rent (avg)</t>
  </si>
  <si>
    <t>Extra 64 gal cart</t>
  </si>
  <si>
    <t>Extra 96 gal cart</t>
  </si>
  <si>
    <t>Drop Box</t>
  </si>
  <si>
    <t>Once/month "On-call"</t>
  </si>
  <si>
    <t>Extras - see also p. 26 &amp; 30</t>
  </si>
  <si>
    <t>*City tax</t>
  </si>
  <si>
    <t>Extra 64 gal cart - no city tax</t>
  </si>
  <si>
    <t>Extra 96 gal cart - no city tax</t>
  </si>
  <si>
    <t>micro can</t>
  </si>
  <si>
    <t>Extras (ppd extra bag)</t>
  </si>
  <si>
    <t>p 26</t>
  </si>
  <si>
    <t>City with mandatory recycling</t>
  </si>
  <si>
    <t>Outside City with voluntary recycle</t>
  </si>
  <si>
    <t>Recycle every other week</t>
  </si>
  <si>
    <t>Yard waste 68 gall eow</t>
  </si>
  <si>
    <t>68 Gall weekly</t>
  </si>
  <si>
    <t>Yard waste 95 gall eow</t>
  </si>
  <si>
    <t>p 26, 30</t>
  </si>
  <si>
    <t>p 26, 29 also for item 100 res</t>
  </si>
  <si>
    <t>p 35</t>
  </si>
  <si>
    <t>Loose and bulky carry charge</t>
  </si>
  <si>
    <t>Delivery charge</t>
  </si>
  <si>
    <t>p 42</t>
  </si>
  <si>
    <t>1.0 Yd. pu special</t>
  </si>
  <si>
    <t>1.5 Yd pu special</t>
  </si>
  <si>
    <t>3.0 Yd. pu special</t>
  </si>
  <si>
    <t>4.0 Yd. pu special</t>
  </si>
  <si>
    <t>6.0 Yd. pu special</t>
  </si>
  <si>
    <t>8.0 Yd. pu special</t>
  </si>
  <si>
    <t>Permanent Service</t>
  </si>
  <si>
    <t>Temporary Service</t>
  </si>
  <si>
    <t xml:space="preserve"> delivery - all sizes temp</t>
  </si>
  <si>
    <t>32 gal toter pu customer owned cont</t>
  </si>
  <si>
    <t>1 yd pu customer owned</t>
  </si>
  <si>
    <t>1.5 yd pu customer owned</t>
  </si>
  <si>
    <t>2 yd customer owned</t>
  </si>
  <si>
    <t>Can adjustment charge</t>
  </si>
  <si>
    <t>p 46</t>
  </si>
  <si>
    <t>Returned check charge</t>
  </si>
  <si>
    <t>Delinquent account restart fee</t>
  </si>
  <si>
    <t>Garbage service start stop fee</t>
  </si>
  <si>
    <t>Yard waste service start stop fee</t>
  </si>
  <si>
    <t>overfill charge residential</t>
  </si>
  <si>
    <t>time charges for holidays overtime</t>
  </si>
  <si>
    <t>return trip charges:</t>
  </si>
  <si>
    <t>Distance each addt'l 25'</t>
  </si>
  <si>
    <t>Each addt'l 25'</t>
  </si>
  <si>
    <t>Drive in driveway</t>
  </si>
  <si>
    <t>Stairs per step - res</t>
  </si>
  <si>
    <t>Overhead obstructions - res</t>
  </si>
  <si>
    <t>Sunken or elevated cans - res</t>
  </si>
  <si>
    <t>Stairs per step - com</t>
  </si>
  <si>
    <t>Overhead obstructions - com</t>
  </si>
  <si>
    <t>Sunken or elevated cans - com</t>
  </si>
  <si>
    <t>Extras Yard Waste</t>
  </si>
  <si>
    <t>Initial delivery all sizes</t>
  </si>
  <si>
    <t>Rent per day all sizes</t>
  </si>
  <si>
    <t>Recycle shed per month</t>
  </si>
  <si>
    <t>1 yd rent</t>
  </si>
  <si>
    <t>1 yd pu</t>
  </si>
  <si>
    <t>1 yd special pu</t>
  </si>
  <si>
    <t>2 yd rent</t>
  </si>
  <si>
    <t>2 yd pu</t>
  </si>
  <si>
    <t>2 yd mf recycling rate</t>
  </si>
  <si>
    <t>2 yd special pu</t>
  </si>
  <si>
    <t>3 yd rent</t>
  </si>
  <si>
    <t>3 yd pu</t>
  </si>
  <si>
    <t>3 yd mf recycling rate</t>
  </si>
  <si>
    <t>3 yd special pu</t>
  </si>
  <si>
    <t>1.5 yd pu</t>
  </si>
  <si>
    <t>1.5 yd mf recycling rate</t>
  </si>
  <si>
    <t>1.5 yd special pu</t>
  </si>
  <si>
    <t>4 yd rent</t>
  </si>
  <si>
    <t>4 yd pu</t>
  </si>
  <si>
    <t>4 yd mf recycling rate</t>
  </si>
  <si>
    <t>4 yd special pu</t>
  </si>
  <si>
    <t>6 yd rent</t>
  </si>
  <si>
    <t>6 yd pu</t>
  </si>
  <si>
    <t>6 yd mf recycling rate</t>
  </si>
  <si>
    <t>6 yd special pu</t>
  </si>
  <si>
    <t>8 yd rent</t>
  </si>
  <si>
    <t>8 yd pu</t>
  </si>
  <si>
    <t>8 yd mf recycling rate</t>
  </si>
  <si>
    <t>8 yd special pu</t>
  </si>
  <si>
    <t>Extras for recycling</t>
  </si>
  <si>
    <t>Drum regular route</t>
  </si>
  <si>
    <t>Drum special pu</t>
  </si>
  <si>
    <t>Time charges truck and driver</t>
  </si>
  <si>
    <t>Each extra person</t>
  </si>
  <si>
    <t>Minimum charge</t>
  </si>
  <si>
    <t>Rollout container</t>
  </si>
  <si>
    <t>Roll out toter</t>
  </si>
  <si>
    <t>Sanitize</t>
  </si>
  <si>
    <t>Washing, steam cln</t>
  </si>
  <si>
    <t>Pickup/delivery less than 8 yds</t>
  </si>
  <si>
    <t>Pickup/delivery more than 8 yds</t>
  </si>
  <si>
    <t>Heavy material non compacted</t>
  </si>
  <si>
    <t>Compacted material</t>
  </si>
  <si>
    <t>2 yd each pu</t>
  </si>
  <si>
    <t>3 yd each pu</t>
  </si>
  <si>
    <t>4 yd each pu</t>
  </si>
  <si>
    <t>47a</t>
  </si>
  <si>
    <t>6 yd each pu</t>
  </si>
  <si>
    <t>also 255 47a</t>
  </si>
  <si>
    <t>20, 30, 40 delivery</t>
  </si>
  <si>
    <t>Rent per day</t>
  </si>
  <si>
    <t>1.5 yd rent</t>
  </si>
  <si>
    <t>Multifamily Service</t>
  </si>
  <si>
    <t>1 yd mf recycling rate (part of above rate?)</t>
  </si>
  <si>
    <t>32 gall toter</t>
  </si>
  <si>
    <t>Addt'l cans (32 gall, mini, micro or bag)</t>
  </si>
  <si>
    <t>Rate Design</t>
  </si>
  <si>
    <t>Lurito-Gallagher Calculated Increase</t>
  </si>
  <si>
    <t>Rate increase</t>
  </si>
  <si>
    <t>Historical revenue</t>
  </si>
  <si>
    <t>Company Calculated Rate</t>
  </si>
  <si>
    <t xml:space="preserve">Test Year  </t>
  </si>
  <si>
    <t>Test Year</t>
  </si>
  <si>
    <t>Calculated Revenue</t>
  </si>
  <si>
    <t>Actual Revenue</t>
  </si>
  <si>
    <t>Difference</t>
  </si>
  <si>
    <t>Change</t>
  </si>
  <si>
    <t>Sub Total</t>
  </si>
  <si>
    <t>Pass-Thru</t>
  </si>
  <si>
    <t xml:space="preserve">Total </t>
  </si>
  <si>
    <t>68 Gal weekly gar eow rec</t>
  </si>
  <si>
    <t>Unlock or opening charge</t>
  </si>
  <si>
    <t>Relocate Drop Box</t>
  </si>
  <si>
    <t>70, 240</t>
  </si>
  <si>
    <t>21, 42</t>
  </si>
  <si>
    <t>2.0 Yd pu special</t>
  </si>
  <si>
    <t xml:space="preserve">  Return - Can, unit, minican, microcan</t>
  </si>
  <si>
    <t xml:space="preserve">  Return - Drum, bale, receptacle, toters</t>
  </si>
  <si>
    <t xml:space="preserve">64 gal toter pu </t>
  </si>
  <si>
    <t xml:space="preserve">96 gal toter pu </t>
  </si>
  <si>
    <t xml:space="preserve">32 gal toter pu - special </t>
  </si>
  <si>
    <t>32 gal toter pu</t>
  </si>
  <si>
    <t>Drive in / Carry-Out commercial</t>
  </si>
  <si>
    <t>105, 240</t>
  </si>
  <si>
    <t>33, 43</t>
  </si>
  <si>
    <t>Latching fee compactor/drop box</t>
  </si>
  <si>
    <t>Excess Miles</t>
  </si>
  <si>
    <t>Compacted Material, cust owned cont</t>
  </si>
  <si>
    <t>2 yd schedule pu</t>
  </si>
  <si>
    <t>6 yd schedule pu</t>
  </si>
  <si>
    <t>4 yd schedule pu</t>
  </si>
  <si>
    <t>3 yd schedule pu</t>
  </si>
  <si>
    <t>Yard waste redelivery fee</t>
  </si>
  <si>
    <t>1-8 Yd. pu delivery</t>
  </si>
  <si>
    <t>additional being billed time charge</t>
  </si>
  <si>
    <t>10 yd compacted, incl time</t>
  </si>
  <si>
    <t>15 yd compacted, incl time</t>
  </si>
  <si>
    <t>20 yd compacted, incl time</t>
  </si>
  <si>
    <t>25 yd compacted, incl time</t>
  </si>
  <si>
    <t>35 yd compacted, incl time</t>
  </si>
  <si>
    <t>40 yd compacted, incl time</t>
  </si>
  <si>
    <t xml:space="preserve"> Return -  Drop box or container</t>
  </si>
  <si>
    <t>33, 42</t>
  </si>
  <si>
    <t>10yd-40yd pu without time charge</t>
  </si>
  <si>
    <t>1 yd monthly rent - heavy</t>
  </si>
  <si>
    <t>1 yd pu - heavy</t>
  </si>
  <si>
    <t>1 yd special pu - heavy</t>
  </si>
  <si>
    <t>1.5 yd monthly rent - heavy</t>
  </si>
  <si>
    <t>1.5 yd pu - heavy</t>
  </si>
  <si>
    <t>1.5 yd special pu - heavy</t>
  </si>
  <si>
    <t>2 yd monthly rent - heavy</t>
  </si>
  <si>
    <t>2 yd pu - heavy</t>
  </si>
  <si>
    <t>2 yd special pu - heavy</t>
  </si>
  <si>
    <t>3 yd monthly rent - heavy</t>
  </si>
  <si>
    <t>3 yd pu - heavy</t>
  </si>
  <si>
    <t>3 yd special pu - heavy</t>
  </si>
  <si>
    <t>4 yd monthly rent - heavy</t>
  </si>
  <si>
    <t>4 yd pu - heavy</t>
  </si>
  <si>
    <t>4 yd special pu - heavy</t>
  </si>
  <si>
    <t>6 yd monthly rent - heavy</t>
  </si>
  <si>
    <t>6 yd pu - heavy</t>
  </si>
  <si>
    <t>6 yd special pu - heavy</t>
  </si>
  <si>
    <t>8 yd montlhly rent - heavy</t>
  </si>
  <si>
    <t>8 yd pu - heavy</t>
  </si>
  <si>
    <t>8 yd special pu - heavy</t>
  </si>
  <si>
    <t>Heavy Loads - Permanent Service:</t>
  </si>
  <si>
    <t>Heavy Loads - Temporary Service:</t>
  </si>
  <si>
    <t>Initial delivery - all sizes - heavy</t>
  </si>
  <si>
    <t>Daily rent - all sizes - heavy</t>
  </si>
  <si>
    <t>Residential customer adjustment factor</t>
  </si>
  <si>
    <t>Commercial and Multi-family solid waste</t>
  </si>
  <si>
    <t>Residential garbage and recycling</t>
  </si>
  <si>
    <t>mulit family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</si>
</sst>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0.000000"/>
    <numFmt numFmtId="169" formatCode="General_)"/>
    <numFmt numFmtId="170" formatCode="0.0%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41" fontId="3" fillId="0" borderId="0"/>
    <xf numFmtId="0" fontId="11" fillId="10" borderId="0" applyNumberFormat="0" applyBorder="0" applyAlignment="0" applyProtection="0"/>
    <xf numFmtId="3" fontId="3" fillId="0" borderId="0"/>
    <xf numFmtId="0" fontId="12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3" fillId="0" borderId="0"/>
    <xf numFmtId="0" fontId="14" fillId="0" borderId="0"/>
    <xf numFmtId="0" fontId="14" fillId="0" borderId="0"/>
    <xf numFmtId="0" fontId="15" fillId="12" borderId="1" applyAlignment="0">
      <alignment horizontal="right"/>
      <protection locked="0"/>
    </xf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13" borderId="0">
      <alignment horizontal="right"/>
      <protection locked="0"/>
    </xf>
    <xf numFmtId="2" fontId="16" fillId="13" borderId="0">
      <alignment horizontal="right"/>
      <protection locked="0"/>
    </xf>
    <xf numFmtId="0" fontId="17" fillId="1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" fontId="23" fillId="15" borderId="0">
      <protection locked="0"/>
    </xf>
    <xf numFmtId="4" fontId="23" fillId="15" borderId="0">
      <protection locked="0"/>
    </xf>
    <xf numFmtId="0" fontId="24" fillId="0" borderId="10" applyNumberFormat="0" applyFill="0" applyAlignment="0" applyProtection="0"/>
    <xf numFmtId="0" fontId="25" fillId="4" borderId="0" applyNumberFormat="0" applyBorder="0" applyAlignment="0" applyProtection="0"/>
    <xf numFmtId="43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6" fillId="0" borderId="0"/>
    <xf numFmtId="0" fontId="27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6" borderId="11" applyNumberFormat="0" applyFont="0" applyAlignment="0" applyProtection="0"/>
    <xf numFmtId="170" fontId="28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29" fillId="0" borderId="0" applyNumberFormat="0" applyFont="0" applyFill="0" applyBorder="0" applyAlignment="0" applyProtection="0">
      <alignment horizontal="left"/>
    </xf>
    <xf numFmtId="0" fontId="30" fillId="0" borderId="5">
      <alignment horizontal="center"/>
    </xf>
    <xf numFmtId="0" fontId="13" fillId="0" borderId="0">
      <alignment vertical="top"/>
    </xf>
    <xf numFmtId="0" fontId="13" fillId="0" borderId="0" applyNumberFormat="0" applyBorder="0" applyAlignment="0"/>
    <xf numFmtId="0" fontId="31" fillId="0" borderId="12" applyNumberFormat="0" applyFill="0" applyAlignment="0" applyProtection="0"/>
  </cellStyleXfs>
  <cellXfs count="2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4" fontId="0" fillId="0" borderId="0" xfId="2" applyFont="1"/>
    <xf numFmtId="44" fontId="0" fillId="0" borderId="1" xfId="2" applyFont="1" applyBorder="1"/>
    <xf numFmtId="165" fontId="0" fillId="0" borderId="0" xfId="2" applyNumberFormat="1" applyFont="1"/>
    <xf numFmtId="165" fontId="0" fillId="0" borderId="1" xfId="2" applyNumberFormat="1" applyFont="1" applyBorder="1"/>
    <xf numFmtId="0" fontId="4" fillId="0" borderId="0" xfId="4" applyFont="1" applyFill="1" applyBorder="1" applyAlignment="1">
      <alignment horizontal="left"/>
    </xf>
    <xf numFmtId="44" fontId="0" fillId="0" borderId="0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/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0" fillId="0" borderId="0" xfId="0" applyBorder="1"/>
    <xf numFmtId="0" fontId="3" fillId="0" borderId="0" xfId="4" applyFont="1" applyFill="1" applyBorder="1" applyAlignment="1">
      <alignment horizontal="left"/>
    </xf>
    <xf numFmtId="3" fontId="0" fillId="0" borderId="0" xfId="0" applyNumberFormat="1" applyFill="1" applyBorder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 applyBorder="1"/>
    <xf numFmtId="167" fontId="0" fillId="0" borderId="0" xfId="1" applyNumberFormat="1" applyFont="1" applyFill="1"/>
    <xf numFmtId="0" fontId="0" fillId="0" borderId="0" xfId="0" applyFill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" xfId="4" applyFont="1" applyFill="1" applyBorder="1" applyAlignment="1">
      <alignment horizontal="left"/>
    </xf>
    <xf numFmtId="43" fontId="0" fillId="0" borderId="3" xfId="0" applyNumberFormat="1" applyFill="1" applyBorder="1"/>
    <xf numFmtId="43" fontId="0" fillId="0" borderId="3" xfId="1" applyFont="1" applyFill="1" applyBorder="1" applyAlignment="1">
      <alignment horizontal="center" wrapText="1"/>
    </xf>
    <xf numFmtId="43" fontId="0" fillId="0" borderId="3" xfId="1" applyFont="1" applyFill="1" applyBorder="1"/>
    <xf numFmtId="0" fontId="0" fillId="0" borderId="1" xfId="0" applyFill="1" applyBorder="1" applyAlignment="1">
      <alignment vertical="center"/>
    </xf>
    <xf numFmtId="0" fontId="3" fillId="0" borderId="1" xfId="4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0" fontId="0" fillId="0" borderId="0" xfId="0" applyAlignment="1">
      <alignment horizontal="center"/>
    </xf>
    <xf numFmtId="0" fontId="5" fillId="0" borderId="1" xfId="0" applyFont="1" applyBorder="1"/>
    <xf numFmtId="44" fontId="0" fillId="0" borderId="0" xfId="0" applyNumberFormat="1"/>
    <xf numFmtId="168" fontId="0" fillId="0" borderId="0" xfId="0" applyNumberFormat="1"/>
    <xf numFmtId="0" fontId="5" fillId="0" borderId="0" xfId="0" applyFont="1"/>
    <xf numFmtId="0" fontId="0" fillId="0" borderId="0" xfId="0" applyBorder="1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 applyBorder="1"/>
    <xf numFmtId="0" fontId="6" fillId="0" borderId="0" xfId="4" applyFont="1" applyFill="1" applyBorder="1" applyAlignment="1">
      <alignment horizontal="left"/>
    </xf>
    <xf numFmtId="3" fontId="5" fillId="0" borderId="0" xfId="0" applyNumberFormat="1" applyFont="1" applyFill="1" applyBorder="1"/>
    <xf numFmtId="44" fontId="0" fillId="0" borderId="3" xfId="1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5" fillId="0" borderId="0" xfId="0" applyNumberFormat="1" applyFont="1" applyFill="1" applyBorder="1"/>
    <xf numFmtId="164" fontId="0" fillId="0" borderId="0" xfId="0" applyNumberFormat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3" xfId="0" applyNumberFormat="1" applyFill="1" applyBorder="1"/>
    <xf numFmtId="167" fontId="0" fillId="0" borderId="0" xfId="0" applyNumberFormat="1" applyFill="1" applyBorder="1"/>
    <xf numFmtId="167" fontId="5" fillId="0" borderId="0" xfId="0" applyNumberFormat="1" applyFont="1" applyFill="1" applyBorder="1"/>
    <xf numFmtId="43" fontId="5" fillId="0" borderId="2" xfId="1" applyFont="1" applyFill="1" applyBorder="1" applyAlignment="1">
      <alignment wrapText="1"/>
    </xf>
    <xf numFmtId="0" fontId="0" fillId="0" borderId="2" xfId="0" applyFill="1" applyBorder="1"/>
    <xf numFmtId="0" fontId="6" fillId="0" borderId="2" xfId="4" applyFont="1" applyFill="1" applyBorder="1" applyAlignment="1">
      <alignment horizontal="left"/>
    </xf>
    <xf numFmtId="0" fontId="0" fillId="0" borderId="2" xfId="0" applyFill="1" applyBorder="1" applyAlignment="1">
      <alignment vertical="center" textRotation="90"/>
    </xf>
    <xf numFmtId="0" fontId="0" fillId="0" borderId="2" xfId="0" applyBorder="1"/>
    <xf numFmtId="0" fontId="6" fillId="0" borderId="2" xfId="4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6" fillId="0" borderId="0" xfId="4" applyFont="1" applyFill="1" applyBorder="1" applyAlignment="1">
      <alignment horizontal="center" vertical="center"/>
    </xf>
    <xf numFmtId="164" fontId="0" fillId="0" borderId="0" xfId="1" applyNumberFormat="1" applyFont="1" applyFill="1"/>
    <xf numFmtId="44" fontId="0" fillId="0" borderId="0" xfId="1" applyNumberFormat="1" applyFont="1" applyFill="1" applyBorder="1" applyAlignment="1">
      <alignment horizontal="center" wrapText="1"/>
    </xf>
    <xf numFmtId="44" fontId="0" fillId="0" borderId="1" xfId="1" applyNumberFormat="1" applyFont="1" applyFill="1" applyBorder="1" applyAlignment="1">
      <alignment horizontal="center" wrapText="1"/>
    </xf>
    <xf numFmtId="44" fontId="5" fillId="0" borderId="2" xfId="1" applyNumberFormat="1" applyFont="1" applyFill="1" applyBorder="1" applyAlignment="1">
      <alignment horizontal="center" wrapText="1"/>
    </xf>
    <xf numFmtId="44" fontId="5" fillId="0" borderId="0" xfId="1" applyNumberFormat="1" applyFont="1" applyFill="1" applyBorder="1" applyAlignment="1">
      <alignment horizontal="center" wrapText="1"/>
    </xf>
    <xf numFmtId="0" fontId="0" fillId="0" borderId="4" xfId="0" applyBorder="1"/>
    <xf numFmtId="0" fontId="6" fillId="0" borderId="4" xfId="4" applyFont="1" applyFill="1" applyBorder="1" applyAlignment="1">
      <alignment horizontal="left"/>
    </xf>
    <xf numFmtId="164" fontId="5" fillId="0" borderId="4" xfId="0" applyNumberFormat="1" applyFont="1" applyBorder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164" fontId="0" fillId="0" borderId="0" xfId="2" applyNumberFormat="1" applyFont="1" applyFill="1" applyBorder="1"/>
    <xf numFmtId="164" fontId="0" fillId="0" borderId="0" xfId="0" applyNumberFormat="1" applyFill="1" applyBorder="1"/>
    <xf numFmtId="0" fontId="0" fillId="0" borderId="1" xfId="0" applyBorder="1" applyAlignment="1">
      <alignment horizontal="center"/>
    </xf>
    <xf numFmtId="44" fontId="5" fillId="0" borderId="0" xfId="0" applyNumberFormat="1" applyFont="1"/>
    <xf numFmtId="44" fontId="5" fillId="0" borderId="1" xfId="0" applyNumberFormat="1" applyFont="1" applyBorder="1"/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164" fontId="5" fillId="0" borderId="4" xfId="0" applyNumberFormat="1" applyFont="1" applyFill="1" applyBorder="1"/>
    <xf numFmtId="0" fontId="5" fillId="0" borderId="1" xfId="0" applyFon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/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3" fontId="0" fillId="0" borderId="0" xfId="1" applyNumberFormat="1" applyFont="1" applyFill="1" applyAlignment="1">
      <alignment horizontal="center"/>
    </xf>
    <xf numFmtId="0" fontId="5" fillId="0" borderId="0" xfId="0" applyFont="1" applyFill="1"/>
    <xf numFmtId="43" fontId="0" fillId="0" borderId="1" xfId="1" applyNumberFormat="1" applyFont="1" applyFill="1" applyBorder="1"/>
    <xf numFmtId="0" fontId="34" fillId="0" borderId="0" xfId="0" applyFont="1" applyFill="1"/>
    <xf numFmtId="0" fontId="2" fillId="0" borderId="0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right"/>
    </xf>
    <xf numFmtId="10" fontId="0" fillId="0" borderId="0" xfId="3" applyNumberFormat="1" applyFont="1" applyFill="1"/>
    <xf numFmtId="43" fontId="0" fillId="0" borderId="0" xfId="0" applyNumberFormat="1" applyFill="1"/>
    <xf numFmtId="0" fontId="0" fillId="0" borderId="0" xfId="0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3" fontId="5" fillId="0" borderId="0" xfId="1" applyFont="1" applyFill="1" applyBorder="1" applyAlignment="1">
      <alignment horizontal="center" wrapText="1"/>
    </xf>
    <xf numFmtId="3" fontId="5" fillId="0" borderId="4" xfId="0" applyNumberFormat="1" applyFont="1" applyFill="1" applyBorder="1"/>
    <xf numFmtId="0" fontId="0" fillId="0" borderId="4" xfId="0" applyFill="1" applyBorder="1"/>
    <xf numFmtId="2" fontId="0" fillId="0" borderId="4" xfId="0" applyNumberFormat="1" applyFill="1" applyBorder="1"/>
    <xf numFmtId="0" fontId="0" fillId="0" borderId="0" xfId="0" applyFill="1" applyBorder="1" applyAlignment="1">
      <alignment horizontal="right"/>
    </xf>
    <xf numFmtId="44" fontId="0" fillId="0" borderId="0" xfId="2" applyFont="1" applyFill="1" applyBorder="1"/>
    <xf numFmtId="167" fontId="0" fillId="0" borderId="0" xfId="0" applyNumberFormat="1" applyFill="1"/>
    <xf numFmtId="0" fontId="0" fillId="0" borderId="0" xfId="0" applyFill="1" applyBorder="1"/>
    <xf numFmtId="10" fontId="0" fillId="0" borderId="0" xfId="3" applyNumberFormat="1" applyFont="1" applyFill="1" applyBorder="1"/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44" fontId="0" fillId="0" borderId="0" xfId="0" applyNumberFormat="1" applyFill="1" applyBorder="1"/>
    <xf numFmtId="165" fontId="0" fillId="0" borderId="0" xfId="2" applyNumberFormat="1" applyFont="1" applyFill="1" applyBorder="1"/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43" fontId="0" fillId="17" borderId="0" xfId="0" applyNumberFormat="1" applyFill="1" applyBorder="1"/>
    <xf numFmtId="0" fontId="0" fillId="0" borderId="2" xfId="0" applyFill="1" applyBorder="1" applyAlignment="1">
      <alignment horizontal="right"/>
    </xf>
    <xf numFmtId="10" fontId="0" fillId="0" borderId="2" xfId="3" applyNumberFormat="1" applyFont="1" applyFill="1" applyBorder="1"/>
    <xf numFmtId="43" fontId="0" fillId="0" borderId="2" xfId="0" applyNumberFormat="1" applyFill="1" applyBorder="1"/>
    <xf numFmtId="164" fontId="0" fillId="0" borderId="2" xfId="0" applyNumberFormat="1" applyFill="1" applyBorder="1"/>
    <xf numFmtId="3" fontId="5" fillId="0" borderId="0" xfId="0" applyNumberFormat="1" applyFon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10" fontId="0" fillId="0" borderId="0" xfId="0" applyNumberFormat="1" applyFill="1"/>
    <xf numFmtId="0" fontId="36" fillId="0" borderId="0" xfId="0" applyFont="1"/>
    <xf numFmtId="167" fontId="37" fillId="0" borderId="0" xfId="1" applyNumberFormat="1" applyFont="1" applyAlignment="1">
      <alignment horizontal="center"/>
    </xf>
    <xf numFmtId="0" fontId="37" fillId="0" borderId="0" xfId="0" applyFont="1" applyAlignment="1">
      <alignment horizontal="center"/>
    </xf>
    <xf numFmtId="43" fontId="37" fillId="0" borderId="0" xfId="0" applyNumberFormat="1" applyFont="1" applyAlignment="1">
      <alignment horizontal="center"/>
    </xf>
    <xf numFmtId="0" fontId="36" fillId="0" borderId="0" xfId="0" applyFont="1" applyAlignment="1">
      <alignment wrapText="1"/>
    </xf>
    <xf numFmtId="167" fontId="37" fillId="0" borderId="15" xfId="1" applyNumberFormat="1" applyFont="1" applyBorder="1"/>
    <xf numFmtId="167" fontId="37" fillId="0" borderId="3" xfId="1" applyNumberFormat="1" applyFont="1" applyBorder="1"/>
    <xf numFmtId="43" fontId="37" fillId="0" borderId="3" xfId="0" applyNumberFormat="1" applyFont="1" applyBorder="1"/>
    <xf numFmtId="10" fontId="36" fillId="0" borderId="16" xfId="3" applyNumberFormat="1" applyFont="1" applyBorder="1"/>
    <xf numFmtId="37" fontId="37" fillId="0" borderId="17" xfId="0" applyNumberFormat="1" applyFont="1" applyBorder="1"/>
    <xf numFmtId="167" fontId="37" fillId="0" borderId="0" xfId="1" applyNumberFormat="1" applyFont="1"/>
    <xf numFmtId="43" fontId="37" fillId="0" borderId="0" xfId="0" applyNumberFormat="1" applyFont="1"/>
    <xf numFmtId="10" fontId="36" fillId="0" borderId="18" xfId="3" applyNumberFormat="1" applyFont="1" applyBorder="1"/>
    <xf numFmtId="167" fontId="37" fillId="0" borderId="17" xfId="1" applyNumberFormat="1" applyFont="1" applyBorder="1"/>
    <xf numFmtId="37" fontId="37" fillId="0" borderId="0" xfId="0" applyNumberFormat="1" applyFont="1"/>
    <xf numFmtId="0" fontId="38" fillId="0" borderId="0" xfId="0" applyFont="1" applyAlignment="1">
      <alignment wrapText="1"/>
    </xf>
    <xf numFmtId="37" fontId="39" fillId="0" borderId="0" xfId="0" applyNumberFormat="1" applyFont="1"/>
    <xf numFmtId="43" fontId="39" fillId="0" borderId="0" xfId="0" applyNumberFormat="1" applyFont="1"/>
    <xf numFmtId="43" fontId="37" fillId="0" borderId="1" xfId="0" applyNumberFormat="1" applyFont="1" applyBorder="1"/>
    <xf numFmtId="10" fontId="36" fillId="0" borderId="19" xfId="3" applyNumberFormat="1" applyFont="1" applyBorder="1"/>
    <xf numFmtId="0" fontId="38" fillId="0" borderId="15" xfId="0" applyFont="1" applyBorder="1" applyAlignment="1">
      <alignment wrapText="1"/>
    </xf>
    <xf numFmtId="37" fontId="38" fillId="0" borderId="15" xfId="0" applyNumberFormat="1" applyFont="1" applyBorder="1"/>
    <xf numFmtId="37" fontId="38" fillId="0" borderId="3" xfId="0" applyNumberFormat="1" applyFont="1" applyBorder="1"/>
    <xf numFmtId="170" fontId="38" fillId="0" borderId="18" xfId="3" applyNumberFormat="1" applyFont="1" applyBorder="1"/>
    <xf numFmtId="44" fontId="40" fillId="0" borderId="0" xfId="1" applyNumberFormat="1" applyFont="1" applyFill="1" applyBorder="1"/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167" fontId="0" fillId="0" borderId="1" xfId="0" applyNumberFormat="1" applyFill="1" applyBorder="1"/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43" fontId="0" fillId="17" borderId="1" xfId="0" applyNumberFormat="1" applyFill="1" applyBorder="1"/>
    <xf numFmtId="164" fontId="0" fillId="0" borderId="1" xfId="0" applyNumberFormat="1" applyFill="1" applyBorder="1"/>
    <xf numFmtId="0" fontId="0" fillId="0" borderId="20" xfId="0" applyFill="1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3" fillId="0" borderId="20" xfId="4" applyFont="1" applyFill="1" applyBorder="1" applyAlignment="1">
      <alignment horizontal="left"/>
    </xf>
    <xf numFmtId="3" fontId="0" fillId="0" borderId="20" xfId="0" applyNumberFormat="1" applyFill="1" applyBorder="1"/>
    <xf numFmtId="43" fontId="0" fillId="0" borderId="20" xfId="1" applyFont="1" applyFill="1" applyBorder="1"/>
    <xf numFmtId="167" fontId="0" fillId="0" borderId="20" xfId="0" applyNumberFormat="1" applyFill="1" applyBorder="1"/>
    <xf numFmtId="43" fontId="0" fillId="17" borderId="20" xfId="0" applyNumberFormat="1" applyFill="1" applyBorder="1"/>
    <xf numFmtId="43" fontId="0" fillId="0" borderId="20" xfId="0" applyNumberFormat="1" applyFill="1" applyBorder="1"/>
    <xf numFmtId="43" fontId="0" fillId="0" borderId="20" xfId="1" applyFont="1" applyFill="1" applyBorder="1" applyAlignment="1">
      <alignment horizontal="center" wrapText="1"/>
    </xf>
    <xf numFmtId="44" fontId="0" fillId="0" borderId="20" xfId="1" applyNumberFormat="1" applyFont="1" applyFill="1" applyBorder="1"/>
    <xf numFmtId="44" fontId="0" fillId="0" borderId="20" xfId="2" applyNumberFormat="1" applyFont="1" applyFill="1" applyBorder="1"/>
    <xf numFmtId="44" fontId="0" fillId="0" borderId="0" xfId="2" applyNumberFormat="1" applyFont="1" applyFill="1" applyBorder="1" applyAlignment="1"/>
    <xf numFmtId="0" fontId="0" fillId="0" borderId="0" xfId="0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3" fontId="5" fillId="0" borderId="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37" fontId="37" fillId="0" borderId="17" xfId="0" applyNumberFormat="1" applyFont="1" applyFill="1" applyBorder="1"/>
    <xf numFmtId="9" fontId="0" fillId="0" borderId="0" xfId="0" applyNumberFormat="1" applyFill="1"/>
    <xf numFmtId="0" fontId="0" fillId="0" borderId="0" xfId="0" applyFill="1" applyAlignment="1"/>
    <xf numFmtId="0" fontId="5" fillId="0" borderId="0" xfId="0" applyFont="1" applyFill="1" applyBorder="1" applyAlignment="1">
      <alignment horizontal="center" vertical="center"/>
    </xf>
    <xf numFmtId="44" fontId="40" fillId="0" borderId="0" xfId="2" applyNumberFormat="1" applyFont="1" applyFill="1" applyBorder="1"/>
    <xf numFmtId="43" fontId="0" fillId="0" borderId="1" xfId="1" applyFont="1" applyFill="1" applyBorder="1" applyAlignment="1">
      <alignment wrapText="1"/>
    </xf>
    <xf numFmtId="3" fontId="0" fillId="0" borderId="3" xfId="0" applyNumberFormat="1" applyFill="1" applyBorder="1"/>
    <xf numFmtId="0" fontId="0" fillId="0" borderId="0" xfId="0" applyFill="1" applyBorder="1" applyAlignment="1">
      <alignment vertical="center" textRotation="90"/>
    </xf>
    <xf numFmtId="37" fontId="37" fillId="0" borderId="0" xfId="0" applyNumberFormat="1" applyFont="1" applyFill="1" applyBorder="1"/>
    <xf numFmtId="0" fontId="0" fillId="0" borderId="2" xfId="0" applyFill="1" applyBorder="1" applyAlignment="1">
      <alignment vertical="center"/>
    </xf>
    <xf numFmtId="3" fontId="5" fillId="0" borderId="2" xfId="0" applyNumberFormat="1" applyFont="1" applyFill="1" applyBorder="1"/>
    <xf numFmtId="43" fontId="0" fillId="0" borderId="2" xfId="1" applyFont="1" applyFill="1" applyBorder="1"/>
    <xf numFmtId="167" fontId="5" fillId="0" borderId="2" xfId="0" applyNumberFormat="1" applyFont="1" applyFill="1" applyBorder="1"/>
    <xf numFmtId="0" fontId="0" fillId="0" borderId="2" xfId="0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/>
    </xf>
    <xf numFmtId="3" fontId="0" fillId="0" borderId="2" xfId="0" applyNumberFormat="1" applyFill="1" applyBorder="1"/>
    <xf numFmtId="167" fontId="0" fillId="0" borderId="2" xfId="0" applyNumberFormat="1" applyFill="1" applyBorder="1"/>
    <xf numFmtId="43" fontId="0" fillId="0" borderId="2" xfId="1" applyFont="1" applyFill="1" applyBorder="1" applyAlignment="1">
      <alignment horizontal="center" wrapText="1"/>
    </xf>
    <xf numFmtId="44" fontId="0" fillId="0" borderId="2" xfId="1" applyNumberFormat="1" applyFont="1" applyFill="1" applyBorder="1"/>
    <xf numFmtId="44" fontId="0" fillId="0" borderId="2" xfId="2" applyNumberFormat="1" applyFont="1" applyFill="1" applyBorder="1"/>
    <xf numFmtId="44" fontId="40" fillId="0" borderId="2" xfId="1" applyNumberFormat="1" applyFont="1" applyFill="1" applyBorder="1"/>
    <xf numFmtId="164" fontId="0" fillId="0" borderId="2" xfId="1" applyNumberFormat="1" applyFont="1" applyFill="1" applyBorder="1"/>
    <xf numFmtId="44" fontId="0" fillId="0" borderId="0" xfId="0" applyNumberFormat="1" applyFill="1"/>
    <xf numFmtId="0" fontId="0" fillId="0" borderId="0" xfId="0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</cellXfs>
  <cellStyles count="129">
    <cellStyle name="20% - Accent1 2" xfId="7" xr:uid="{00000000-0005-0000-0000-000000000000}"/>
    <cellStyle name="20% - Accent4 2" xfId="8" xr:uid="{00000000-0005-0000-0000-000001000000}"/>
    <cellStyle name="40% - Accent1 2" xfId="9" xr:uid="{00000000-0005-0000-0000-000002000000}"/>
    <cellStyle name="40% - Accent4 2" xfId="10" xr:uid="{00000000-0005-0000-0000-000003000000}"/>
    <cellStyle name="40% - Accent5 2" xfId="11" xr:uid="{00000000-0005-0000-0000-000004000000}"/>
    <cellStyle name="40% - Accent6 2" xfId="12" xr:uid="{00000000-0005-0000-0000-000005000000}"/>
    <cellStyle name="60% - Accent1 2" xfId="13" xr:uid="{00000000-0005-0000-0000-000006000000}"/>
    <cellStyle name="60% - Accent2 2" xfId="14" xr:uid="{00000000-0005-0000-0000-000007000000}"/>
    <cellStyle name="60% - Accent3 2" xfId="15" xr:uid="{00000000-0005-0000-0000-000008000000}"/>
    <cellStyle name="60% - Accent4 2" xfId="16" xr:uid="{00000000-0005-0000-0000-000009000000}"/>
    <cellStyle name="60% - Accent5 2" xfId="17" xr:uid="{00000000-0005-0000-0000-00000A000000}"/>
    <cellStyle name="Accent1 2" xfId="18" xr:uid="{00000000-0005-0000-0000-00000B000000}"/>
    <cellStyle name="Accent2 2" xfId="19" xr:uid="{00000000-0005-0000-0000-00000C000000}"/>
    <cellStyle name="Accent3 2" xfId="20" xr:uid="{00000000-0005-0000-0000-00000D000000}"/>
    <cellStyle name="Accent6 2" xfId="21" xr:uid="{00000000-0005-0000-0000-00000E000000}"/>
    <cellStyle name="Accounting" xfId="22" xr:uid="{00000000-0005-0000-0000-00000F000000}"/>
    <cellStyle name="Bad 2" xfId="23" xr:uid="{00000000-0005-0000-0000-000010000000}"/>
    <cellStyle name="Budget" xfId="24" xr:uid="{00000000-0005-0000-0000-000011000000}"/>
    <cellStyle name="Calculation 2" xfId="25" xr:uid="{00000000-0005-0000-0000-000012000000}"/>
    <cellStyle name="Comma" xfId="1" builtinId="3"/>
    <cellStyle name="Comma 10" xfId="26" xr:uid="{00000000-0005-0000-0000-000014000000}"/>
    <cellStyle name="Comma 11" xfId="27" xr:uid="{00000000-0005-0000-0000-000015000000}"/>
    <cellStyle name="Comma 12" xfId="28" xr:uid="{00000000-0005-0000-0000-000016000000}"/>
    <cellStyle name="Comma 13" xfId="29" xr:uid="{00000000-0005-0000-0000-000017000000}"/>
    <cellStyle name="Comma 14" xfId="30" xr:uid="{00000000-0005-0000-0000-000018000000}"/>
    <cellStyle name="Comma 15" xfId="31" xr:uid="{00000000-0005-0000-0000-000019000000}"/>
    <cellStyle name="Comma 16" xfId="32" xr:uid="{00000000-0005-0000-0000-00001A000000}"/>
    <cellStyle name="Comma 17" xfId="33" xr:uid="{00000000-0005-0000-0000-00001B000000}"/>
    <cellStyle name="Comma 2" xfId="5" xr:uid="{00000000-0005-0000-0000-00001C000000}"/>
    <cellStyle name="Comma 2 2" xfId="34" xr:uid="{00000000-0005-0000-0000-00001D000000}"/>
    <cellStyle name="Comma 2 3" xfId="35" xr:uid="{00000000-0005-0000-0000-00001E000000}"/>
    <cellStyle name="Comma 3" xfId="36" xr:uid="{00000000-0005-0000-0000-00001F000000}"/>
    <cellStyle name="Comma 3 2" xfId="37" xr:uid="{00000000-0005-0000-0000-000020000000}"/>
    <cellStyle name="Comma 3 2 2" xfId="38" xr:uid="{00000000-0005-0000-0000-000021000000}"/>
    <cellStyle name="Comma 3 3" xfId="39" xr:uid="{00000000-0005-0000-0000-000022000000}"/>
    <cellStyle name="Comma 4" xfId="40" xr:uid="{00000000-0005-0000-0000-000023000000}"/>
    <cellStyle name="Comma 4 2" xfId="41" xr:uid="{00000000-0005-0000-0000-000024000000}"/>
    <cellStyle name="Comma 4 3" xfId="42" xr:uid="{00000000-0005-0000-0000-000025000000}"/>
    <cellStyle name="Comma 4 4" xfId="43" xr:uid="{00000000-0005-0000-0000-000026000000}"/>
    <cellStyle name="Comma 4 5" xfId="44" xr:uid="{00000000-0005-0000-0000-000027000000}"/>
    <cellStyle name="Comma 5" xfId="45" xr:uid="{00000000-0005-0000-0000-000028000000}"/>
    <cellStyle name="Comma 6" xfId="46" xr:uid="{00000000-0005-0000-0000-000029000000}"/>
    <cellStyle name="Comma 7" xfId="47" xr:uid="{00000000-0005-0000-0000-00002A000000}"/>
    <cellStyle name="Comma 8" xfId="48" xr:uid="{00000000-0005-0000-0000-00002B000000}"/>
    <cellStyle name="Comma 9" xfId="49" xr:uid="{00000000-0005-0000-0000-00002C000000}"/>
    <cellStyle name="Comma(2)" xfId="50" xr:uid="{00000000-0005-0000-0000-00002D000000}"/>
    <cellStyle name="Comma0 - Style2" xfId="51" xr:uid="{00000000-0005-0000-0000-00002E000000}"/>
    <cellStyle name="Comma1 - Style1" xfId="52" xr:uid="{00000000-0005-0000-0000-00002F000000}"/>
    <cellStyle name="Comments" xfId="53" xr:uid="{00000000-0005-0000-0000-000030000000}"/>
    <cellStyle name="Currency" xfId="2" builtinId="4"/>
    <cellStyle name="Currency 2" xfId="6" xr:uid="{00000000-0005-0000-0000-000032000000}"/>
    <cellStyle name="Currency 2 2" xfId="54" xr:uid="{00000000-0005-0000-0000-000033000000}"/>
    <cellStyle name="Currency 3" xfId="55" xr:uid="{00000000-0005-0000-0000-000034000000}"/>
    <cellStyle name="Currency 4" xfId="56" xr:uid="{00000000-0005-0000-0000-000035000000}"/>
    <cellStyle name="Currency 5" xfId="57" xr:uid="{00000000-0005-0000-0000-000036000000}"/>
    <cellStyle name="Currency 6" xfId="58" xr:uid="{00000000-0005-0000-0000-000037000000}"/>
    <cellStyle name="Currency 7" xfId="59" xr:uid="{00000000-0005-0000-0000-000038000000}"/>
    <cellStyle name="Currency 9" xfId="60" xr:uid="{00000000-0005-0000-0000-000039000000}"/>
    <cellStyle name="Data Enter" xfId="61" xr:uid="{00000000-0005-0000-0000-00003A000000}"/>
    <cellStyle name="FactSheet" xfId="62" xr:uid="{00000000-0005-0000-0000-00003B000000}"/>
    <cellStyle name="Good 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yperlink 2" xfId="67" xr:uid="{00000000-0005-0000-0000-000040000000}"/>
    <cellStyle name="Hyperlink 3" xfId="68" xr:uid="{00000000-0005-0000-0000-000041000000}"/>
    <cellStyle name="input(0)" xfId="69" xr:uid="{00000000-0005-0000-0000-000042000000}"/>
    <cellStyle name="Input(2)" xfId="70" xr:uid="{00000000-0005-0000-0000-000043000000}"/>
    <cellStyle name="Linked Cell 2" xfId="71" xr:uid="{00000000-0005-0000-0000-000044000000}"/>
    <cellStyle name="Neutral 2" xfId="72" xr:uid="{00000000-0005-0000-0000-000045000000}"/>
    <cellStyle name="New_normal" xfId="73" xr:uid="{00000000-0005-0000-0000-000046000000}"/>
    <cellStyle name="Normal" xfId="0" builtinId="0"/>
    <cellStyle name="Normal - Style1" xfId="74" xr:uid="{00000000-0005-0000-0000-000048000000}"/>
    <cellStyle name="Normal - Style2" xfId="75" xr:uid="{00000000-0005-0000-0000-000049000000}"/>
    <cellStyle name="Normal - Style3" xfId="76" xr:uid="{00000000-0005-0000-0000-00004A000000}"/>
    <cellStyle name="Normal - Style4" xfId="77" xr:uid="{00000000-0005-0000-0000-00004B000000}"/>
    <cellStyle name="Normal - Style5" xfId="78" xr:uid="{00000000-0005-0000-0000-00004C000000}"/>
    <cellStyle name="Normal 10" xfId="79" xr:uid="{00000000-0005-0000-0000-00004D000000}"/>
    <cellStyle name="Normal 10 2" xfId="80" xr:uid="{00000000-0005-0000-0000-00004E000000}"/>
    <cellStyle name="Normal 11" xfId="81" xr:uid="{00000000-0005-0000-0000-00004F000000}"/>
    <cellStyle name="Normal 12" xfId="82" xr:uid="{00000000-0005-0000-0000-000050000000}"/>
    <cellStyle name="Normal 13" xfId="83" xr:uid="{00000000-0005-0000-0000-000051000000}"/>
    <cellStyle name="Normal 14" xfId="84" xr:uid="{00000000-0005-0000-0000-000052000000}"/>
    <cellStyle name="Normal 15" xfId="85" xr:uid="{00000000-0005-0000-0000-000053000000}"/>
    <cellStyle name="Normal 16" xfId="86" xr:uid="{00000000-0005-0000-0000-000054000000}"/>
    <cellStyle name="Normal 17" xfId="87" xr:uid="{00000000-0005-0000-0000-000055000000}"/>
    <cellStyle name="Normal 18" xfId="88" xr:uid="{00000000-0005-0000-0000-000056000000}"/>
    <cellStyle name="Normal 19" xfId="89" xr:uid="{00000000-0005-0000-0000-000057000000}"/>
    <cellStyle name="Normal 2" xfId="90" xr:uid="{00000000-0005-0000-0000-000058000000}"/>
    <cellStyle name="Normal 2 2" xfId="91" xr:uid="{00000000-0005-0000-0000-000059000000}"/>
    <cellStyle name="Normal 2 2 2" xfId="92" xr:uid="{00000000-0005-0000-0000-00005A000000}"/>
    <cellStyle name="Normal 2 2 3" xfId="93" xr:uid="{00000000-0005-0000-0000-00005B000000}"/>
    <cellStyle name="Normal 2 2_IS210PL" xfId="94" xr:uid="{00000000-0005-0000-0000-00005C000000}"/>
    <cellStyle name="Normal 2 3" xfId="95" xr:uid="{00000000-0005-0000-0000-00005D000000}"/>
    <cellStyle name="Normal 2 3 2" xfId="96" xr:uid="{00000000-0005-0000-0000-00005E000000}"/>
    <cellStyle name="Normal 2 3 3" xfId="97" xr:uid="{00000000-0005-0000-0000-00005F000000}"/>
    <cellStyle name="Normal 2 4" xfId="98" xr:uid="{00000000-0005-0000-0000-000060000000}"/>
    <cellStyle name="Normal 2 5" xfId="99" xr:uid="{00000000-0005-0000-0000-000061000000}"/>
    <cellStyle name="Normal 2_2180 Payroll Schedule 8-22-2011" xfId="100" xr:uid="{00000000-0005-0000-0000-000062000000}"/>
    <cellStyle name="Normal 20" xfId="101" xr:uid="{00000000-0005-0000-0000-000063000000}"/>
    <cellStyle name="Normal 3" xfId="102" xr:uid="{00000000-0005-0000-0000-000064000000}"/>
    <cellStyle name="Normal 3 2" xfId="103" xr:uid="{00000000-0005-0000-0000-000065000000}"/>
    <cellStyle name="Normal 3_2149 Depr 9-30-12" xfId="104" xr:uid="{00000000-0005-0000-0000-000066000000}"/>
    <cellStyle name="Normal 4" xfId="105" xr:uid="{00000000-0005-0000-0000-000067000000}"/>
    <cellStyle name="Normal 5" xfId="106" xr:uid="{00000000-0005-0000-0000-000068000000}"/>
    <cellStyle name="Normal 5 2" xfId="107" xr:uid="{00000000-0005-0000-0000-000069000000}"/>
    <cellStyle name="Normal 5_2183 UTC Depreciation 3 31 2012 Heather 6-6-2012" xfId="108" xr:uid="{00000000-0005-0000-0000-00006A000000}"/>
    <cellStyle name="Normal 6" xfId="109" xr:uid="{00000000-0005-0000-0000-00006B000000}"/>
    <cellStyle name="Normal 7" xfId="110" xr:uid="{00000000-0005-0000-0000-00006C000000}"/>
    <cellStyle name="Normal 8" xfId="111" xr:uid="{00000000-0005-0000-0000-00006D000000}"/>
    <cellStyle name="Normal 9" xfId="112" xr:uid="{00000000-0005-0000-0000-00006E000000}"/>
    <cellStyle name="Normal_Price out" xfId="4" xr:uid="{00000000-0005-0000-0000-00006F000000}"/>
    <cellStyle name="Note 2" xfId="113" xr:uid="{00000000-0005-0000-0000-000070000000}"/>
    <cellStyle name="Notes" xfId="114" xr:uid="{00000000-0005-0000-0000-000071000000}"/>
    <cellStyle name="Percent" xfId="3" builtinId="5"/>
    <cellStyle name="Percent 2" xfId="115" xr:uid="{00000000-0005-0000-0000-000073000000}"/>
    <cellStyle name="Percent 2 2" xfId="116" xr:uid="{00000000-0005-0000-0000-000074000000}"/>
    <cellStyle name="Percent 3" xfId="117" xr:uid="{00000000-0005-0000-0000-000075000000}"/>
    <cellStyle name="Percent 4" xfId="118" xr:uid="{00000000-0005-0000-0000-000076000000}"/>
    <cellStyle name="Percent 4 2" xfId="119" xr:uid="{00000000-0005-0000-0000-000077000000}"/>
    <cellStyle name="Percent 7" xfId="120" xr:uid="{00000000-0005-0000-0000-000078000000}"/>
    <cellStyle name="Percent(1)" xfId="121" xr:uid="{00000000-0005-0000-0000-000079000000}"/>
    <cellStyle name="Percent(2)" xfId="122" xr:uid="{00000000-0005-0000-0000-00007A000000}"/>
    <cellStyle name="PRM" xfId="123" xr:uid="{00000000-0005-0000-0000-00007B000000}"/>
    <cellStyle name="PSChar" xfId="124" xr:uid="{00000000-0005-0000-0000-00007C000000}"/>
    <cellStyle name="PSHeading" xfId="125" xr:uid="{00000000-0005-0000-0000-00007D000000}"/>
    <cellStyle name="Style 1" xfId="126" xr:uid="{00000000-0005-0000-0000-00007E000000}"/>
    <cellStyle name="STYLE1" xfId="127" xr:uid="{00000000-0005-0000-0000-00007F000000}"/>
    <cellStyle name="Total 2" xfId="128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workbookViewId="0">
      <selection activeCell="K6" sqref="K6"/>
    </sheetView>
  </sheetViews>
  <sheetFormatPr defaultRowHeight="15"/>
  <sheetData>
    <row r="2" spans="1:3">
      <c r="A2" s="91" t="s">
        <v>66</v>
      </c>
    </row>
    <row r="4" spans="1:3">
      <c r="B4" t="s">
        <v>67</v>
      </c>
    </row>
    <row r="5" spans="1:3">
      <c r="C5" t="s">
        <v>77</v>
      </c>
    </row>
    <row r="6" spans="1:3">
      <c r="C6" t="s">
        <v>68</v>
      </c>
    </row>
    <row r="7" spans="1:3" s="16" customFormat="1">
      <c r="C7" s="16" t="s">
        <v>78</v>
      </c>
    </row>
    <row r="8" spans="1:3" s="16" customFormat="1"/>
    <row r="9" spans="1:3" s="16" customFormat="1">
      <c r="B9" s="16" t="s">
        <v>81</v>
      </c>
    </row>
    <row r="10" spans="1:3" s="16" customFormat="1">
      <c r="C10" s="16" t="s">
        <v>82</v>
      </c>
    </row>
    <row r="11" spans="1:3" s="16" customFormat="1"/>
    <row r="12" spans="1:3">
      <c r="B12" t="s">
        <v>83</v>
      </c>
    </row>
    <row r="13" spans="1:3" s="16" customFormat="1">
      <c r="C13" s="16" t="s">
        <v>79</v>
      </c>
    </row>
    <row r="14" spans="1:3" s="16" customFormat="1">
      <c r="C14" s="16" t="s">
        <v>84</v>
      </c>
    </row>
    <row r="15" spans="1:3">
      <c r="C15" t="s">
        <v>80</v>
      </c>
    </row>
    <row r="17" spans="2:3">
      <c r="B17" t="s">
        <v>71</v>
      </c>
    </row>
    <row r="18" spans="2:3">
      <c r="C18" t="s">
        <v>69</v>
      </c>
    </row>
    <row r="19" spans="2:3">
      <c r="C19" t="s">
        <v>70</v>
      </c>
    </row>
    <row r="21" spans="2:3">
      <c r="B21" t="s">
        <v>72</v>
      </c>
    </row>
    <row r="22" spans="2:3">
      <c r="C22" t="s">
        <v>74</v>
      </c>
    </row>
    <row r="23" spans="2:3">
      <c r="C23" t="s">
        <v>73</v>
      </c>
    </row>
    <row r="24" spans="2:3">
      <c r="C24" t="s">
        <v>75</v>
      </c>
    </row>
    <row r="25" spans="2:3">
      <c r="C25" t="s">
        <v>76</v>
      </c>
    </row>
    <row r="27" spans="2:3">
      <c r="B27" t="s">
        <v>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selection activeCell="B22" sqref="B22"/>
    </sheetView>
  </sheetViews>
  <sheetFormatPr defaultRowHeight="15"/>
  <cols>
    <col min="1" max="1" width="37" customWidth="1"/>
    <col min="2" max="2" width="12.140625" customWidth="1"/>
    <col min="3" max="3" width="9.28515625" bestFit="1" customWidth="1"/>
    <col min="4" max="4" width="6.7109375" customWidth="1"/>
    <col min="5" max="5" width="10.85546875" customWidth="1"/>
    <col min="6" max="6" width="9" bestFit="1" customWidth="1"/>
  </cols>
  <sheetData>
    <row r="1" spans="1:9" s="16" customFormat="1">
      <c r="A1" s="43" t="s">
        <v>87</v>
      </c>
    </row>
    <row r="2" spans="1:9" s="16" customFormat="1">
      <c r="A2" s="43" t="s">
        <v>8</v>
      </c>
    </row>
    <row r="3" spans="1:9" s="16" customFormat="1">
      <c r="A3" s="43"/>
    </row>
    <row r="4" spans="1:9" s="16" customFormat="1">
      <c r="A4" s="43"/>
      <c r="D4" s="206" t="s">
        <v>27</v>
      </c>
      <c r="E4" s="206"/>
      <c r="F4" s="206"/>
      <c r="G4" s="206"/>
    </row>
    <row r="5" spans="1:9" s="16" customFormat="1">
      <c r="D5" s="83" t="s">
        <v>54</v>
      </c>
      <c r="E5" s="83" t="s">
        <v>55</v>
      </c>
      <c r="F5" s="83" t="s">
        <v>56</v>
      </c>
      <c r="G5" s="86" t="s">
        <v>60</v>
      </c>
    </row>
    <row r="6" spans="1:9" s="16" customFormat="1">
      <c r="A6" s="79" t="s">
        <v>53</v>
      </c>
      <c r="D6" s="87">
        <f>52*2/12</f>
        <v>8.6666666666666661</v>
      </c>
      <c r="E6" s="87">
        <f>D6*2</f>
        <v>17.333333333333332</v>
      </c>
      <c r="F6" s="87">
        <f>D6*3</f>
        <v>26</v>
      </c>
      <c r="G6" s="87">
        <f>D6*4</f>
        <v>34.666666666666664</v>
      </c>
    </row>
    <row r="7" spans="1:9">
      <c r="A7" t="s">
        <v>30</v>
      </c>
      <c r="D7" s="87">
        <f>52/12</f>
        <v>4.333333333333333</v>
      </c>
      <c r="E7" s="87">
        <f t="shared" ref="E7:E9" si="0">D7*2</f>
        <v>8.6666666666666661</v>
      </c>
      <c r="F7" s="87">
        <f t="shared" ref="F7:F9" si="1">D7*3</f>
        <v>13</v>
      </c>
      <c r="G7" s="87">
        <f t="shared" ref="G7:G9" si="2">D7*4</f>
        <v>17.333333333333332</v>
      </c>
    </row>
    <row r="8" spans="1:9">
      <c r="A8" t="s">
        <v>32</v>
      </c>
      <c r="D8" s="87">
        <f>26/12</f>
        <v>2.1666666666666665</v>
      </c>
      <c r="E8" s="87">
        <f t="shared" si="0"/>
        <v>4.333333333333333</v>
      </c>
      <c r="F8" s="87">
        <f t="shared" si="1"/>
        <v>6.5</v>
      </c>
      <c r="G8" s="87">
        <f t="shared" si="2"/>
        <v>8.6666666666666661</v>
      </c>
    </row>
    <row r="9" spans="1:9">
      <c r="A9" t="s">
        <v>31</v>
      </c>
      <c r="D9" s="87">
        <f>12/12</f>
        <v>1</v>
      </c>
      <c r="E9" s="87">
        <f t="shared" si="0"/>
        <v>2</v>
      </c>
      <c r="F9" s="87">
        <f t="shared" si="1"/>
        <v>3</v>
      </c>
      <c r="G9" s="87">
        <f t="shared" si="2"/>
        <v>4</v>
      </c>
    </row>
    <row r="11" spans="1:9">
      <c r="A11" t="s">
        <v>28</v>
      </c>
      <c r="B11" s="96">
        <v>2000</v>
      </c>
    </row>
    <row r="12" spans="1:9">
      <c r="A12" t="s">
        <v>29</v>
      </c>
      <c r="B12" s="39" t="s">
        <v>57</v>
      </c>
    </row>
    <row r="14" spans="1:9">
      <c r="A14" s="40" t="s">
        <v>61</v>
      </c>
      <c r="B14" s="83" t="s">
        <v>5</v>
      </c>
      <c r="C14" s="1" t="s">
        <v>6</v>
      </c>
      <c r="E14" s="40" t="s">
        <v>35</v>
      </c>
      <c r="F14" s="1"/>
      <c r="I14" s="90"/>
    </row>
    <row r="15" spans="1:9">
      <c r="A15" s="16" t="s">
        <v>62</v>
      </c>
      <c r="B15" s="4">
        <v>106</v>
      </c>
      <c r="C15" s="6">
        <f>B15/2000</f>
        <v>5.2999999999999999E-2</v>
      </c>
      <c r="E15" t="s">
        <v>36</v>
      </c>
      <c r="F15" s="42">
        <f>0.015</f>
        <v>1.4999999999999999E-2</v>
      </c>
      <c r="G15" t="s">
        <v>127</v>
      </c>
      <c r="I15" s="17"/>
    </row>
    <row r="16" spans="1:9">
      <c r="A16" s="16" t="s">
        <v>63</v>
      </c>
      <c r="B16" s="5">
        <v>110</v>
      </c>
      <c r="C16" s="7">
        <f>B16/2000</f>
        <v>5.5E-2</v>
      </c>
      <c r="E16" t="s">
        <v>37</v>
      </c>
      <c r="F16" s="1">
        <f>0.004275</f>
        <v>4.2750000000000002E-3</v>
      </c>
    </row>
    <row r="17" spans="1:6">
      <c r="A17" s="16" t="s">
        <v>7</v>
      </c>
      <c r="B17" s="4">
        <f>B16-B15</f>
        <v>4</v>
      </c>
      <c r="C17" s="6">
        <f>C16-C15</f>
        <v>2.0000000000000018E-3</v>
      </c>
      <c r="E17" t="s">
        <v>25</v>
      </c>
      <c r="F17" s="42">
        <f>SUM(F15:F16)</f>
        <v>1.9275E-2</v>
      </c>
    </row>
    <row r="18" spans="1:6">
      <c r="E18" t="s">
        <v>38</v>
      </c>
      <c r="F18" s="42">
        <f>1-F17</f>
        <v>0.98072499999999996</v>
      </c>
    </row>
    <row r="20" spans="1:6">
      <c r="A20" t="s">
        <v>4</v>
      </c>
      <c r="B20" s="41">
        <f>B17</f>
        <v>4</v>
      </c>
      <c r="C20" s="41"/>
      <c r="E20" t="s">
        <v>88</v>
      </c>
    </row>
    <row r="21" spans="1:6">
      <c r="A21" t="s">
        <v>34</v>
      </c>
      <c r="B21" s="41">
        <v>4</v>
      </c>
    </row>
    <row r="22" spans="1:6">
      <c r="A22" t="s">
        <v>33</v>
      </c>
      <c r="B22" s="98">
        <v>10487.44</v>
      </c>
      <c r="C22" s="99"/>
    </row>
    <row r="23" spans="1:6">
      <c r="A23" s="43" t="s">
        <v>39</v>
      </c>
      <c r="B23" s="84">
        <f>B21*B22</f>
        <v>41949.760000000002</v>
      </c>
    </row>
    <row r="25" spans="1:6">
      <c r="A25" t="s">
        <v>58</v>
      </c>
      <c r="B25" s="5">
        <f>'Staff Calcs '!S195</f>
        <v>388985.83951881545</v>
      </c>
    </row>
    <row r="26" spans="1:6">
      <c r="A26" s="44" t="s">
        <v>10</v>
      </c>
      <c r="B26" s="41">
        <f>B25-B23</f>
        <v>347036.07951881544</v>
      </c>
    </row>
    <row r="27" spans="1:6">
      <c r="E27" s="89" t="s">
        <v>65</v>
      </c>
      <c r="F27" s="1"/>
    </row>
    <row r="28" spans="1:6">
      <c r="A28" s="43" t="s">
        <v>59</v>
      </c>
      <c r="B28" s="85">
        <f>'Staff Calcs '!U195</f>
        <v>408368.40375527518</v>
      </c>
      <c r="E28">
        <v>0.01</v>
      </c>
    </row>
    <row r="29" spans="1:6">
      <c r="A29" s="44" t="s">
        <v>10</v>
      </c>
      <c r="B29" s="41">
        <f>B28-B23</f>
        <v>366418.64375527517</v>
      </c>
      <c r="C29" s="13">
        <f>B29/B23</f>
        <v>8.7347017898380148</v>
      </c>
    </row>
    <row r="31" spans="1:6">
      <c r="A31" s="23"/>
      <c r="B31" s="23"/>
    </row>
  </sheetData>
  <mergeCells count="1">
    <mergeCell ref="D4:G4"/>
  </mergeCells>
  <pageMargins left="0.28000000000000003" right="0.5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09"/>
  <sheetViews>
    <sheetView tabSelected="1" zoomScale="85" zoomScaleNormal="85" workbookViewId="0">
      <pane xSplit="4" ySplit="12" topLeftCell="E16" activePane="bottomRight" state="frozen"/>
      <selection pane="topRight" activeCell="D1" sqref="D1"/>
      <selection pane="bottomLeft" activeCell="A6" sqref="A6"/>
      <selection pane="bottomRight" activeCell="Z6" sqref="Z6"/>
    </sheetView>
  </sheetViews>
  <sheetFormatPr defaultColWidth="8.85546875" defaultRowHeight="15"/>
  <cols>
    <col min="1" max="1" width="4.5703125" style="16" bestFit="1" customWidth="1"/>
    <col min="2" max="2" width="8.140625" style="16" bestFit="1" customWidth="1"/>
    <col min="3" max="3" width="6.140625" style="16" bestFit="1" customWidth="1"/>
    <col min="4" max="4" width="33.5703125" style="16" customWidth="1"/>
    <col min="5" max="5" width="14.140625" style="16" customWidth="1"/>
    <col min="6" max="6" width="10.28515625" style="16" customWidth="1"/>
    <col min="7" max="7" width="10.140625" style="16" customWidth="1"/>
    <col min="8" max="8" width="13.42578125" style="16" hidden="1" customWidth="1"/>
    <col min="9" max="9" width="15.7109375" style="16" hidden="1" customWidth="1"/>
    <col min="10" max="10" width="15.28515625" style="16" hidden="1" customWidth="1"/>
    <col min="11" max="11" width="11.28515625" style="16" hidden="1" customWidth="1"/>
    <col min="12" max="12" width="12.140625" style="16" hidden="1" customWidth="1"/>
    <col min="13" max="13" width="15.5703125" style="16" hidden="1" customWidth="1"/>
    <col min="14" max="14" width="10.28515625" style="16" customWidth="1"/>
    <col min="15" max="15" width="12.28515625" style="16" customWidth="1"/>
    <col min="16" max="16" width="10.5703125" style="16" customWidth="1"/>
    <col min="17" max="17" width="14.42578125" style="16" customWidth="1"/>
    <col min="18" max="18" width="14.28515625" style="16" bestFit="1" customWidth="1"/>
    <col min="19" max="19" width="12.5703125" style="16" bestFit="1" customWidth="1"/>
    <col min="20" max="20" width="14.140625" style="16" hidden="1" customWidth="1"/>
    <col min="21" max="21" width="12.5703125" style="16" hidden="1" customWidth="1"/>
    <col min="22" max="16384" width="8.85546875" style="16"/>
  </cols>
  <sheetData>
    <row r="1" spans="1:21">
      <c r="D1" s="43" t="s">
        <v>87</v>
      </c>
      <c r="O1" s="131"/>
      <c r="P1" s="132" t="s">
        <v>238</v>
      </c>
      <c r="Q1" s="133" t="s">
        <v>239</v>
      </c>
      <c r="R1" s="131"/>
      <c r="S1" s="131"/>
    </row>
    <row r="2" spans="1:21">
      <c r="D2" s="43" t="s">
        <v>233</v>
      </c>
      <c r="E2" s="23"/>
      <c r="F2" s="23"/>
      <c r="G2" s="23"/>
      <c r="H2" s="23"/>
      <c r="I2" s="23"/>
      <c r="O2" s="131"/>
      <c r="P2" s="133" t="s">
        <v>240</v>
      </c>
      <c r="Q2" s="133" t="s">
        <v>241</v>
      </c>
      <c r="R2" s="134" t="s">
        <v>242</v>
      </c>
      <c r="S2" s="131" t="s">
        <v>243</v>
      </c>
    </row>
    <row r="3" spans="1:21">
      <c r="D3" s="43"/>
      <c r="E3" s="23"/>
      <c r="F3" s="23"/>
      <c r="G3" s="23"/>
      <c r="H3" s="23"/>
      <c r="I3" s="23"/>
      <c r="O3" s="135" t="s">
        <v>11</v>
      </c>
      <c r="P3" s="136">
        <f>+Q40+Q184</f>
        <v>1457410.3469999998</v>
      </c>
      <c r="Q3" s="137">
        <f>1436788+60+321524+86873-176572.32</f>
        <v>1668672.68</v>
      </c>
      <c r="R3" s="138">
        <f>Q3-P3</f>
        <v>211262.3330000001</v>
      </c>
      <c r="S3" s="139">
        <f>R3/P3</f>
        <v>0.14495734398679971</v>
      </c>
    </row>
    <row r="4" spans="1:21">
      <c r="D4" s="43"/>
      <c r="E4" s="23"/>
      <c r="F4" s="23"/>
      <c r="G4" s="23"/>
      <c r="H4" s="23"/>
      <c r="I4" s="23"/>
      <c r="O4" s="135" t="s">
        <v>12</v>
      </c>
      <c r="P4" s="140">
        <f>+Q141+Q194+Q75</f>
        <v>2065803.2407199992</v>
      </c>
      <c r="Q4" s="141">
        <f>2154911+161137-28448.89-218901.38</f>
        <v>2068697.73</v>
      </c>
      <c r="R4" s="142">
        <f>Q4-P4</f>
        <v>2894.4892800007947</v>
      </c>
      <c r="S4" s="143">
        <f>R4/P4</f>
        <v>1.4011447087245209E-3</v>
      </c>
    </row>
    <row r="5" spans="1:21">
      <c r="B5" s="23"/>
      <c r="D5" s="43"/>
      <c r="E5" s="23"/>
      <c r="F5" s="23"/>
      <c r="G5" s="23"/>
      <c r="H5" s="23"/>
      <c r="I5" s="23"/>
      <c r="O5" s="135" t="s">
        <v>124</v>
      </c>
      <c r="P5" s="144">
        <f>+Q169</f>
        <v>352968.9</v>
      </c>
      <c r="Q5" s="145">
        <f>387428-37073.16</f>
        <v>350354.83999999997</v>
      </c>
      <c r="R5" s="142">
        <f>Q5-P5</f>
        <v>-2614.0600000000559</v>
      </c>
      <c r="S5" s="143">
        <f>R5/P5</f>
        <v>-7.4059215981919528E-3</v>
      </c>
    </row>
    <row r="6" spans="1:21">
      <c r="B6" s="23"/>
      <c r="D6" s="43"/>
      <c r="E6" s="23"/>
      <c r="F6" s="23"/>
      <c r="G6" s="23"/>
      <c r="H6" s="23"/>
      <c r="I6" s="23"/>
      <c r="O6" s="146" t="s">
        <v>244</v>
      </c>
      <c r="P6" s="183">
        <f>SUM(P3:P5)</f>
        <v>3876182.4877199992</v>
      </c>
      <c r="Q6" s="191">
        <f>SUM(Q3:Q5)</f>
        <v>4087725.25</v>
      </c>
      <c r="R6" s="148">
        <f>Q6-P6</f>
        <v>211542.76228000084</v>
      </c>
      <c r="S6" s="143">
        <f>R6/P6</f>
        <v>5.457502657580808E-2</v>
      </c>
    </row>
    <row r="7" spans="1:21">
      <c r="B7" s="23"/>
      <c r="D7" s="43" t="s">
        <v>234</v>
      </c>
      <c r="E7" s="130">
        <f>+E9/E8</f>
        <v>8.6755276186584684E-2</v>
      </c>
      <c r="F7" s="23"/>
      <c r="G7" s="23"/>
      <c r="H7" s="23"/>
      <c r="I7" s="23"/>
      <c r="O7" s="135" t="s">
        <v>245</v>
      </c>
      <c r="P7" s="144">
        <f>Q7</f>
        <v>349662</v>
      </c>
      <c r="Q7" s="141">
        <v>349662</v>
      </c>
      <c r="R7" s="149">
        <f>Q7-P7</f>
        <v>0</v>
      </c>
      <c r="S7" s="150">
        <f>R7/P7</f>
        <v>0</v>
      </c>
    </row>
    <row r="8" spans="1:21" ht="15.75" thickBot="1">
      <c r="B8" s="23"/>
      <c r="D8" s="43" t="s">
        <v>236</v>
      </c>
      <c r="E8" s="23">
        <v>4620572</v>
      </c>
      <c r="F8" s="23"/>
      <c r="G8" s="23"/>
      <c r="H8" s="23"/>
      <c r="I8" s="23"/>
      <c r="O8" s="151" t="s">
        <v>246</v>
      </c>
      <c r="P8" s="152">
        <f>SUM(P6:P7)</f>
        <v>4225844.4877199996</v>
      </c>
      <c r="Q8" s="153">
        <f>SUM(Q6:Q7)</f>
        <v>4437387.25</v>
      </c>
      <c r="R8" s="147">
        <f>P8-Q8</f>
        <v>-211542.76228000037</v>
      </c>
      <c r="S8" s="154">
        <f>R8/Q8</f>
        <v>-4.7672819693615962E-2</v>
      </c>
    </row>
    <row r="9" spans="1:21">
      <c r="B9" s="23"/>
      <c r="D9" s="97" t="s">
        <v>235</v>
      </c>
      <c r="E9" s="23">
        <v>400859</v>
      </c>
      <c r="F9" s="23"/>
      <c r="G9" s="23"/>
      <c r="H9" s="185"/>
      <c r="I9" s="185"/>
      <c r="J9" s="185"/>
      <c r="K9" s="185"/>
      <c r="L9" s="185"/>
      <c r="M9" s="185"/>
      <c r="N9" s="23"/>
      <c r="O9" s="207"/>
      <c r="P9" s="23"/>
      <c r="Q9" s="23"/>
      <c r="R9" s="23"/>
    </row>
    <row r="10" spans="1:21">
      <c r="B10" s="23"/>
      <c r="D10" s="97"/>
      <c r="E10" s="23"/>
      <c r="F10" s="23"/>
      <c r="G10" s="23"/>
      <c r="H10" s="182"/>
      <c r="I10" s="182"/>
      <c r="J10" s="182"/>
      <c r="K10" s="182"/>
      <c r="L10" s="182"/>
      <c r="M10" s="182"/>
      <c r="N10" s="23"/>
      <c r="O10" s="208"/>
      <c r="P10" s="23"/>
      <c r="Q10" s="23"/>
      <c r="R10" s="23"/>
    </row>
    <row r="11" spans="1:21" ht="15.75" thickBot="1">
      <c r="B11" s="23"/>
      <c r="D11" s="97" t="s">
        <v>306</v>
      </c>
      <c r="E11" s="184">
        <v>0.15</v>
      </c>
      <c r="F11" s="23"/>
      <c r="G11" s="23"/>
      <c r="H11" s="23"/>
      <c r="I11" s="23"/>
      <c r="J11" s="23"/>
      <c r="K11" s="100"/>
      <c r="L11" s="100"/>
      <c r="M11" s="100"/>
      <c r="N11" s="23"/>
      <c r="O11" s="209"/>
      <c r="P11" s="23"/>
      <c r="Q11" s="23"/>
      <c r="R11" s="23"/>
    </row>
    <row r="12" spans="1:21" ht="45">
      <c r="A12" s="1"/>
      <c r="B12" s="3" t="s">
        <v>85</v>
      </c>
      <c r="C12" s="2" t="s">
        <v>24</v>
      </c>
      <c r="D12" s="80" t="s">
        <v>26</v>
      </c>
      <c r="E12" s="101" t="s">
        <v>50</v>
      </c>
      <c r="F12" s="3" t="s">
        <v>0</v>
      </c>
      <c r="G12" s="3" t="s">
        <v>1</v>
      </c>
      <c r="H12" s="3" t="s">
        <v>9</v>
      </c>
      <c r="I12" s="3" t="s">
        <v>42</v>
      </c>
      <c r="J12" s="3" t="s">
        <v>43</v>
      </c>
      <c r="K12" s="3" t="s">
        <v>7</v>
      </c>
      <c r="L12" s="3" t="s">
        <v>2</v>
      </c>
      <c r="M12" s="3" t="s">
        <v>51</v>
      </c>
      <c r="N12" s="3" t="s">
        <v>47</v>
      </c>
      <c r="O12" s="3" t="s">
        <v>237</v>
      </c>
      <c r="P12" s="3" t="s">
        <v>45</v>
      </c>
      <c r="Q12" s="3" t="s">
        <v>48</v>
      </c>
      <c r="R12" s="3" t="s">
        <v>46</v>
      </c>
      <c r="S12" s="3" t="s">
        <v>52</v>
      </c>
      <c r="T12" s="3" t="s">
        <v>49</v>
      </c>
      <c r="U12" s="3" t="s">
        <v>64</v>
      </c>
    </row>
    <row r="13" spans="1:21">
      <c r="A13" s="212" t="s">
        <v>308</v>
      </c>
      <c r="B13" s="118"/>
      <c r="C13" s="118"/>
      <c r="D13" s="186" t="s">
        <v>133</v>
      </c>
      <c r="E13" s="105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23" customFormat="1">
      <c r="A14" s="210"/>
      <c r="B14" s="93">
        <v>100</v>
      </c>
      <c r="C14" s="28">
        <v>29</v>
      </c>
      <c r="D14" s="18" t="s">
        <v>95</v>
      </c>
      <c r="E14" s="19">
        <v>0</v>
      </c>
      <c r="F14" s="15">
        <f>References!$D$7</f>
        <v>4.333333333333333</v>
      </c>
      <c r="G14" s="60">
        <f>E14*F14*12</f>
        <v>0</v>
      </c>
      <c r="H14" s="14">
        <v>20</v>
      </c>
      <c r="I14" s="14">
        <f>G14*H14</f>
        <v>0</v>
      </c>
      <c r="J14" s="20">
        <f t="shared" ref="J14:J25" si="0">$E$298*I14</f>
        <v>0</v>
      </c>
      <c r="K14" s="51">
        <f>References!$C$17*J14</f>
        <v>0</v>
      </c>
      <c r="L14" s="57">
        <f>K14/References!$F$18</f>
        <v>0</v>
      </c>
      <c r="M14" s="57" t="e">
        <f>L14/G14*F14</f>
        <v>#DIV/0!</v>
      </c>
      <c r="N14" s="155">
        <v>15.38</v>
      </c>
      <c r="O14" s="57">
        <f>+N14*$E$7+N14</f>
        <v>16.714296147749675</v>
      </c>
      <c r="P14" s="51">
        <f>O14</f>
        <v>16.714296147749675</v>
      </c>
      <c r="Q14" s="53">
        <f>E14*N14*12</f>
        <v>0</v>
      </c>
      <c r="R14" s="53">
        <f>E14*P14*12</f>
        <v>0</v>
      </c>
      <c r="S14" s="53">
        <f>R14-Q14</f>
        <v>0</v>
      </c>
      <c r="T14" s="53">
        <f>E14*O14*12</f>
        <v>0</v>
      </c>
      <c r="U14" s="82">
        <f>T14-Q14</f>
        <v>0</v>
      </c>
    </row>
    <row r="15" spans="1:21" s="23" customFormat="1" ht="15" customHeight="1">
      <c r="A15" s="210"/>
      <c r="B15" s="93">
        <v>100</v>
      </c>
      <c r="C15" s="28">
        <v>29</v>
      </c>
      <c r="D15" s="18" t="s">
        <v>90</v>
      </c>
      <c r="E15" s="19"/>
      <c r="F15" s="15">
        <f>References!$D$7</f>
        <v>4.333333333333333</v>
      </c>
      <c r="G15" s="60">
        <f>E15*F15*12</f>
        <v>0</v>
      </c>
      <c r="H15" s="14">
        <v>34</v>
      </c>
      <c r="I15" s="14">
        <f>G15*H15</f>
        <v>0</v>
      </c>
      <c r="J15" s="20">
        <f t="shared" si="0"/>
        <v>0</v>
      </c>
      <c r="K15" s="51">
        <f>References!$C$17*J15</f>
        <v>0</v>
      </c>
      <c r="L15" s="57">
        <f>K15/References!$F$18</f>
        <v>0</v>
      </c>
      <c r="M15" s="57" t="e">
        <f>L15/G15*F15</f>
        <v>#DIV/0!</v>
      </c>
      <c r="N15" s="187">
        <f>13.04+5.31</f>
        <v>18.349999999999998</v>
      </c>
      <c r="O15" s="57">
        <f t="shared" ref="O15:O73" si="1">+N15*$E$7+N15</f>
        <v>19.941959318023827</v>
      </c>
      <c r="P15" s="51">
        <f t="shared" ref="P15:P23" si="2">O15</f>
        <v>19.941959318023827</v>
      </c>
      <c r="Q15" s="81">
        <f t="shared" ref="Q15:Q20" si="3">E15*N15*12</f>
        <v>0</v>
      </c>
      <c r="R15" s="81">
        <f t="shared" ref="R15:R21" si="4">E15*P15*12</f>
        <v>0</v>
      </c>
      <c r="S15" s="53">
        <f t="shared" ref="S15:S24" si="5">R15-Q15</f>
        <v>0</v>
      </c>
      <c r="T15" s="82">
        <f t="shared" ref="T15:T21" si="6">E15*O15*12</f>
        <v>0</v>
      </c>
      <c r="U15" s="82">
        <f t="shared" ref="U15:U24" si="7">T15-Q15</f>
        <v>0</v>
      </c>
    </row>
    <row r="16" spans="1:21" s="23" customFormat="1">
      <c r="A16" s="210"/>
      <c r="B16" s="93">
        <v>100</v>
      </c>
      <c r="C16" s="28">
        <v>29</v>
      </c>
      <c r="D16" s="18" t="s">
        <v>91</v>
      </c>
      <c r="E16" s="19"/>
      <c r="F16" s="15">
        <f>References!$D$7</f>
        <v>4.333333333333333</v>
      </c>
      <c r="G16" s="60">
        <f t="shared" ref="G16:G150" si="8">E16*F16*12</f>
        <v>0</v>
      </c>
      <c r="H16" s="14">
        <v>51</v>
      </c>
      <c r="I16" s="14">
        <f t="shared" ref="I16:I97" si="9">G16*H16</f>
        <v>0</v>
      </c>
      <c r="J16" s="20">
        <f t="shared" si="0"/>
        <v>0</v>
      </c>
      <c r="K16" s="51">
        <f>References!$C$17*J16</f>
        <v>0</v>
      </c>
      <c r="L16" s="57">
        <f>K16/References!$F$18</f>
        <v>0</v>
      </c>
      <c r="M16" s="57" t="e">
        <f t="shared" ref="M16:M83" si="10">L16/G16*F16</f>
        <v>#DIV/0!</v>
      </c>
      <c r="N16" s="155">
        <f>19.14+5.31</f>
        <v>24.45</v>
      </c>
      <c r="O16" s="57">
        <f t="shared" si="1"/>
        <v>26.571166502761994</v>
      </c>
      <c r="P16" s="51">
        <f t="shared" si="2"/>
        <v>26.571166502761994</v>
      </c>
      <c r="Q16" s="53">
        <f t="shared" si="3"/>
        <v>0</v>
      </c>
      <c r="R16" s="53">
        <f t="shared" si="4"/>
        <v>0</v>
      </c>
      <c r="S16" s="53">
        <f t="shared" si="5"/>
        <v>0</v>
      </c>
      <c r="T16" s="53">
        <f t="shared" si="6"/>
        <v>0</v>
      </c>
      <c r="U16" s="82">
        <f t="shared" si="7"/>
        <v>0</v>
      </c>
    </row>
    <row r="17" spans="1:21" s="23" customFormat="1">
      <c r="A17" s="210"/>
      <c r="B17" s="93">
        <v>100</v>
      </c>
      <c r="C17" s="28">
        <v>29</v>
      </c>
      <c r="D17" s="18" t="s">
        <v>92</v>
      </c>
      <c r="E17" s="19"/>
      <c r="F17" s="15">
        <f>References!$D$7</f>
        <v>4.333333333333333</v>
      </c>
      <c r="G17" s="60">
        <f t="shared" si="8"/>
        <v>0</v>
      </c>
      <c r="H17" s="14">
        <v>77</v>
      </c>
      <c r="I17" s="14">
        <f t="shared" si="9"/>
        <v>0</v>
      </c>
      <c r="J17" s="20">
        <f t="shared" si="0"/>
        <v>0</v>
      </c>
      <c r="K17" s="51">
        <f>References!$C$17*J17</f>
        <v>0</v>
      </c>
      <c r="L17" s="57">
        <f>K17/References!$F$18</f>
        <v>0</v>
      </c>
      <c r="M17" s="57" t="e">
        <f t="shared" si="10"/>
        <v>#DIV/0!</v>
      </c>
      <c r="N17" s="155">
        <f>25.83+5.31</f>
        <v>31.139999999999997</v>
      </c>
      <c r="O17" s="57">
        <f t="shared" si="1"/>
        <v>33.841559300450243</v>
      </c>
      <c r="P17" s="51">
        <f t="shared" si="2"/>
        <v>33.841559300450243</v>
      </c>
      <c r="Q17" s="53">
        <f t="shared" si="3"/>
        <v>0</v>
      </c>
      <c r="R17" s="53">
        <f t="shared" si="4"/>
        <v>0</v>
      </c>
      <c r="S17" s="53">
        <f t="shared" si="5"/>
        <v>0</v>
      </c>
      <c r="T17" s="53">
        <f t="shared" si="6"/>
        <v>0</v>
      </c>
      <c r="U17" s="82">
        <f t="shared" si="7"/>
        <v>0</v>
      </c>
    </row>
    <row r="18" spans="1:21" s="23" customFormat="1">
      <c r="A18" s="210"/>
      <c r="B18" s="93">
        <v>100</v>
      </c>
      <c r="C18" s="28">
        <v>29</v>
      </c>
      <c r="D18" s="18" t="s">
        <v>93</v>
      </c>
      <c r="E18" s="19"/>
      <c r="F18" s="15">
        <f>References!$D$7</f>
        <v>4.333333333333333</v>
      </c>
      <c r="G18" s="60">
        <f t="shared" si="8"/>
        <v>0</v>
      </c>
      <c r="H18" s="14">
        <v>97</v>
      </c>
      <c r="I18" s="14">
        <f t="shared" si="9"/>
        <v>0</v>
      </c>
      <c r="J18" s="20">
        <f t="shared" si="0"/>
        <v>0</v>
      </c>
      <c r="K18" s="51">
        <f>References!$C$17*J18</f>
        <v>0</v>
      </c>
      <c r="L18" s="57">
        <f>K18/References!$F$18</f>
        <v>0</v>
      </c>
      <c r="M18" s="57" t="e">
        <f t="shared" si="10"/>
        <v>#DIV/0!</v>
      </c>
      <c r="N18" s="155">
        <f>31.41+5.31</f>
        <v>36.72</v>
      </c>
      <c r="O18" s="57">
        <f t="shared" si="1"/>
        <v>39.905653741571385</v>
      </c>
      <c r="P18" s="51">
        <f t="shared" si="2"/>
        <v>39.905653741571385</v>
      </c>
      <c r="Q18" s="53">
        <f t="shared" si="3"/>
        <v>0</v>
      </c>
      <c r="R18" s="53">
        <f t="shared" si="4"/>
        <v>0</v>
      </c>
      <c r="S18" s="53">
        <f t="shared" si="5"/>
        <v>0</v>
      </c>
      <c r="T18" s="53">
        <f t="shared" si="6"/>
        <v>0</v>
      </c>
      <c r="U18" s="82">
        <f t="shared" si="7"/>
        <v>0</v>
      </c>
    </row>
    <row r="19" spans="1:21" s="23" customFormat="1" ht="15" customHeight="1">
      <c r="A19" s="210"/>
      <c r="B19" s="93">
        <v>100</v>
      </c>
      <c r="C19" s="28">
        <v>29</v>
      </c>
      <c r="D19" s="18" t="s">
        <v>94</v>
      </c>
      <c r="E19" s="19"/>
      <c r="F19" s="15">
        <f>References!$D$7</f>
        <v>4.333333333333333</v>
      </c>
      <c r="G19" s="60">
        <f t="shared" si="8"/>
        <v>0</v>
      </c>
      <c r="H19" s="14">
        <v>117</v>
      </c>
      <c r="I19" s="14">
        <f t="shared" si="9"/>
        <v>0</v>
      </c>
      <c r="J19" s="20">
        <f t="shared" si="0"/>
        <v>0</v>
      </c>
      <c r="K19" s="51">
        <f>References!$C$17*J19</f>
        <v>0</v>
      </c>
      <c r="L19" s="57">
        <f>K19/References!$F$18</f>
        <v>0</v>
      </c>
      <c r="M19" s="57" t="e">
        <f t="shared" si="10"/>
        <v>#DIV/0!</v>
      </c>
      <c r="N19" s="155">
        <f>37.53+5.31</f>
        <v>42.84</v>
      </c>
      <c r="O19" s="57">
        <f t="shared" si="1"/>
        <v>46.556596031833294</v>
      </c>
      <c r="P19" s="51">
        <f t="shared" si="2"/>
        <v>46.556596031833294</v>
      </c>
      <c r="Q19" s="53">
        <f t="shared" si="3"/>
        <v>0</v>
      </c>
      <c r="R19" s="53">
        <f t="shared" si="4"/>
        <v>0</v>
      </c>
      <c r="S19" s="53">
        <f t="shared" si="5"/>
        <v>0</v>
      </c>
      <c r="T19" s="53">
        <f t="shared" si="6"/>
        <v>0</v>
      </c>
      <c r="U19" s="82">
        <f t="shared" si="7"/>
        <v>0</v>
      </c>
    </row>
    <row r="20" spans="1:21" s="23" customFormat="1">
      <c r="A20" s="210"/>
      <c r="B20" s="93">
        <v>100</v>
      </c>
      <c r="C20" s="28">
        <v>29</v>
      </c>
      <c r="D20" s="18" t="s">
        <v>89</v>
      </c>
      <c r="E20" s="19"/>
      <c r="F20" s="15">
        <f>References!$D$7</f>
        <v>4.333333333333333</v>
      </c>
      <c r="G20" s="60">
        <f t="shared" si="8"/>
        <v>0</v>
      </c>
      <c r="H20" s="14">
        <v>137</v>
      </c>
      <c r="I20" s="14">
        <f t="shared" si="9"/>
        <v>0</v>
      </c>
      <c r="J20" s="20">
        <f t="shared" si="0"/>
        <v>0</v>
      </c>
      <c r="K20" s="51">
        <f>References!$C$17*J20</f>
        <v>0</v>
      </c>
      <c r="L20" s="57">
        <f>K20/References!$F$18</f>
        <v>0</v>
      </c>
      <c r="M20" s="57" t="e">
        <f t="shared" si="10"/>
        <v>#DIV/0!</v>
      </c>
      <c r="N20" s="155">
        <f>43.64+5.31</f>
        <v>48.95</v>
      </c>
      <c r="O20" s="57">
        <f t="shared" si="1"/>
        <v>53.196670769333323</v>
      </c>
      <c r="P20" s="51">
        <f t="shared" si="2"/>
        <v>53.196670769333323</v>
      </c>
      <c r="Q20" s="53">
        <f t="shared" si="3"/>
        <v>0</v>
      </c>
      <c r="R20" s="53">
        <f t="shared" si="4"/>
        <v>0</v>
      </c>
      <c r="S20" s="53">
        <f t="shared" si="5"/>
        <v>0</v>
      </c>
      <c r="T20" s="53">
        <f t="shared" si="6"/>
        <v>0</v>
      </c>
      <c r="U20" s="82">
        <f t="shared" si="7"/>
        <v>0</v>
      </c>
    </row>
    <row r="21" spans="1:21" s="23" customFormat="1">
      <c r="A21" s="210"/>
      <c r="B21" s="93">
        <v>100</v>
      </c>
      <c r="C21" s="28">
        <v>29</v>
      </c>
      <c r="D21" s="18" t="s">
        <v>99</v>
      </c>
      <c r="E21" s="19">
        <v>0</v>
      </c>
      <c r="F21" s="15">
        <f>References!$D$7</f>
        <v>4.333333333333333</v>
      </c>
      <c r="G21" s="60">
        <f t="shared" si="8"/>
        <v>0</v>
      </c>
      <c r="H21" s="14">
        <v>20</v>
      </c>
      <c r="I21" s="14">
        <f t="shared" si="9"/>
        <v>0</v>
      </c>
      <c r="J21" s="20">
        <f t="shared" si="0"/>
        <v>0</v>
      </c>
      <c r="K21" s="51">
        <f>References!$C$17*J21</f>
        <v>0</v>
      </c>
      <c r="L21" s="57">
        <f>K21/References!$F$18</f>
        <v>0</v>
      </c>
      <c r="M21" s="57" t="e">
        <f t="shared" si="10"/>
        <v>#DIV/0!</v>
      </c>
      <c r="N21" s="155">
        <f>8.11+5.31</f>
        <v>13.419999999999998</v>
      </c>
      <c r="O21" s="57">
        <f t="shared" si="1"/>
        <v>14.584255806423965</v>
      </c>
      <c r="P21" s="51">
        <f t="shared" si="2"/>
        <v>14.584255806423965</v>
      </c>
      <c r="Q21" s="53">
        <f>E21*N21*12</f>
        <v>0</v>
      </c>
      <c r="R21" s="53">
        <f t="shared" si="4"/>
        <v>0</v>
      </c>
      <c r="S21" s="53">
        <f t="shared" si="5"/>
        <v>0</v>
      </c>
      <c r="T21" s="53">
        <f t="shared" si="6"/>
        <v>0</v>
      </c>
      <c r="U21" s="82">
        <f t="shared" si="7"/>
        <v>0</v>
      </c>
    </row>
    <row r="22" spans="1:21" s="23" customFormat="1" ht="14.45" customHeight="1">
      <c r="A22" s="210"/>
      <c r="B22" s="93">
        <v>100</v>
      </c>
      <c r="C22" s="28">
        <v>29</v>
      </c>
      <c r="D22" s="18" t="s">
        <v>97</v>
      </c>
      <c r="E22" s="19"/>
      <c r="F22" s="15">
        <f>References!$D$8</f>
        <v>2.1666666666666665</v>
      </c>
      <c r="G22" s="60">
        <f t="shared" si="8"/>
        <v>0</v>
      </c>
      <c r="H22" s="14"/>
      <c r="I22" s="14">
        <f t="shared" si="9"/>
        <v>0</v>
      </c>
      <c r="J22" s="20">
        <f t="shared" si="0"/>
        <v>0</v>
      </c>
      <c r="K22" s="51">
        <f>References!$C$17*J22</f>
        <v>0</v>
      </c>
      <c r="L22" s="57">
        <f>K22/References!$F$18</f>
        <v>0</v>
      </c>
      <c r="M22" s="57" t="e">
        <f>L22/G22</f>
        <v>#DIV/0!</v>
      </c>
      <c r="N22" s="155">
        <v>4.99</v>
      </c>
      <c r="O22" s="57">
        <f t="shared" si="1"/>
        <v>5.4229088281710576</v>
      </c>
      <c r="P22" s="51">
        <f t="shared" si="2"/>
        <v>5.4229088281710576</v>
      </c>
      <c r="Q22" s="53">
        <f>G22*N22</f>
        <v>0</v>
      </c>
      <c r="R22" s="53">
        <f>G22*P22</f>
        <v>0</v>
      </c>
      <c r="S22" s="53">
        <f t="shared" si="5"/>
        <v>0</v>
      </c>
      <c r="T22" s="53">
        <f>G22*O22</f>
        <v>0</v>
      </c>
      <c r="U22" s="82">
        <f t="shared" si="7"/>
        <v>0</v>
      </c>
    </row>
    <row r="23" spans="1:21" s="23" customFormat="1">
      <c r="A23" s="210"/>
      <c r="B23" s="93">
        <v>100</v>
      </c>
      <c r="C23" s="28">
        <v>29</v>
      </c>
      <c r="D23" s="18" t="s">
        <v>98</v>
      </c>
      <c r="E23" s="19"/>
      <c r="F23" s="15">
        <f>References!$D$8</f>
        <v>2.1666666666666665</v>
      </c>
      <c r="G23" s="60">
        <f t="shared" si="8"/>
        <v>0</v>
      </c>
      <c r="H23" s="14"/>
      <c r="I23" s="14">
        <f t="shared" si="9"/>
        <v>0</v>
      </c>
      <c r="J23" s="20">
        <f t="shared" si="0"/>
        <v>0</v>
      </c>
      <c r="K23" s="51">
        <f>References!$C$17*J23</f>
        <v>0</v>
      </c>
      <c r="L23" s="57">
        <f>K23/References!$F$18</f>
        <v>0</v>
      </c>
      <c r="M23" s="57" t="e">
        <f>L23/G23</f>
        <v>#DIV/0!</v>
      </c>
      <c r="N23" s="155">
        <v>5.43</v>
      </c>
      <c r="O23" s="57">
        <f t="shared" si="1"/>
        <v>5.9010811496931543</v>
      </c>
      <c r="P23" s="51">
        <f t="shared" si="2"/>
        <v>5.9010811496931543</v>
      </c>
      <c r="Q23" s="53">
        <f>G23*N23</f>
        <v>0</v>
      </c>
      <c r="R23" s="53">
        <f>G23*P23</f>
        <v>0</v>
      </c>
      <c r="S23" s="53">
        <f t="shared" si="5"/>
        <v>0</v>
      </c>
      <c r="T23" s="53">
        <f>G23*O23</f>
        <v>0</v>
      </c>
      <c r="U23" s="82">
        <f t="shared" si="7"/>
        <v>0</v>
      </c>
    </row>
    <row r="24" spans="1:21" s="23" customFormat="1">
      <c r="A24" s="210"/>
      <c r="B24" s="93">
        <v>100</v>
      </c>
      <c r="C24" s="28">
        <v>29</v>
      </c>
      <c r="D24" s="18" t="s">
        <v>247</v>
      </c>
      <c r="E24" s="19"/>
      <c r="F24" s="15">
        <f>References!$D$7</f>
        <v>4.333333333333333</v>
      </c>
      <c r="G24" s="60">
        <f t="shared" si="8"/>
        <v>0</v>
      </c>
      <c r="H24" s="14">
        <v>47</v>
      </c>
      <c r="I24" s="14">
        <f t="shared" si="9"/>
        <v>0</v>
      </c>
      <c r="J24" s="20">
        <f t="shared" si="0"/>
        <v>0</v>
      </c>
      <c r="K24" s="51">
        <f>References!$C$17*J24</f>
        <v>0</v>
      </c>
      <c r="L24" s="57">
        <f>K24/References!$F$18</f>
        <v>0</v>
      </c>
      <c r="M24" s="57" t="e">
        <f t="shared" si="10"/>
        <v>#DIV/0!</v>
      </c>
      <c r="N24" s="155">
        <f>19.11+5.31</f>
        <v>24.419999999999998</v>
      </c>
      <c r="O24" s="57">
        <f t="shared" si="1"/>
        <v>26.538563844476396</v>
      </c>
      <c r="P24" s="51">
        <f>+P16</f>
        <v>26.571166502761994</v>
      </c>
      <c r="Q24" s="53">
        <f>E24*N24*12</f>
        <v>0</v>
      </c>
      <c r="R24" s="53">
        <f>E24*P24*12</f>
        <v>0</v>
      </c>
      <c r="S24" s="53">
        <f t="shared" si="5"/>
        <v>0</v>
      </c>
      <c r="T24" s="53">
        <f>E24*O24*12</f>
        <v>0</v>
      </c>
      <c r="U24" s="82">
        <f t="shared" si="7"/>
        <v>0</v>
      </c>
    </row>
    <row r="25" spans="1:21" s="23" customFormat="1">
      <c r="A25" s="210"/>
      <c r="B25" s="93">
        <v>100</v>
      </c>
      <c r="C25" s="28">
        <v>29</v>
      </c>
      <c r="D25" s="18" t="s">
        <v>96</v>
      </c>
      <c r="E25" s="19"/>
      <c r="F25" s="15">
        <f>References!$D$7</f>
        <v>4.333333333333333</v>
      </c>
      <c r="G25" s="60">
        <f>E25*F25*12</f>
        <v>0</v>
      </c>
      <c r="H25" s="14">
        <v>68</v>
      </c>
      <c r="I25" s="14">
        <f>G25*H25</f>
        <v>0</v>
      </c>
      <c r="J25" s="20">
        <f t="shared" si="0"/>
        <v>0</v>
      </c>
      <c r="K25" s="51">
        <f>References!$C$17*J25</f>
        <v>0</v>
      </c>
      <c r="L25" s="57">
        <f>K25/References!$F$18</f>
        <v>0</v>
      </c>
      <c r="M25" s="57" t="e">
        <f>L25/G25*F25</f>
        <v>#DIV/0!</v>
      </c>
      <c r="N25" s="155">
        <f>25.23+5.31</f>
        <v>30.54</v>
      </c>
      <c r="O25" s="57">
        <f t="shared" si="1"/>
        <v>33.189506134738295</v>
      </c>
      <c r="P25" s="51">
        <f>+P17</f>
        <v>33.841559300450243</v>
      </c>
      <c r="Q25" s="53">
        <f>E25*N25*12</f>
        <v>0</v>
      </c>
      <c r="R25" s="53">
        <f>E25*P25*12</f>
        <v>0</v>
      </c>
      <c r="S25" s="53">
        <f>R25-Q25</f>
        <v>0</v>
      </c>
      <c r="T25" s="53">
        <f>E25*O25*12</f>
        <v>0</v>
      </c>
      <c r="U25" s="82">
        <f>T25-Q25</f>
        <v>0</v>
      </c>
    </row>
    <row r="26" spans="1:21" s="23" customFormat="1">
      <c r="A26" s="210"/>
      <c r="B26" s="93"/>
      <c r="C26" s="28"/>
      <c r="D26" s="48" t="s">
        <v>134</v>
      </c>
      <c r="E26" s="19"/>
      <c r="F26" s="15"/>
      <c r="G26" s="60"/>
      <c r="H26" s="14"/>
      <c r="I26" s="14"/>
      <c r="J26" s="20"/>
      <c r="K26" s="51"/>
      <c r="L26" s="57"/>
      <c r="M26" s="57"/>
      <c r="N26" s="155"/>
      <c r="O26" s="57"/>
      <c r="P26" s="51"/>
      <c r="Q26" s="53"/>
      <c r="R26" s="53"/>
      <c r="S26" s="53"/>
      <c r="T26" s="53"/>
      <c r="U26" s="82"/>
    </row>
    <row r="27" spans="1:21" s="23" customFormat="1">
      <c r="A27" s="210"/>
      <c r="B27" s="93">
        <v>100</v>
      </c>
      <c r="C27" s="28">
        <v>25</v>
      </c>
      <c r="D27" s="18" t="s">
        <v>99</v>
      </c>
      <c r="E27" s="19">
        <f>382*(1+E$11)</f>
        <v>439.29999999999995</v>
      </c>
      <c r="F27" s="15">
        <f>References!$D$7</f>
        <v>4.333333333333333</v>
      </c>
      <c r="G27" s="60">
        <f>E27*F27*12</f>
        <v>22843.599999999995</v>
      </c>
      <c r="H27" s="14">
        <v>20</v>
      </c>
      <c r="I27" s="14">
        <f t="shared" ref="I27:I39" si="11">G27*H27</f>
        <v>456871.99999999988</v>
      </c>
      <c r="J27" s="20">
        <f t="shared" ref="J27:J39" si="12">$E$298*I27</f>
        <v>0</v>
      </c>
      <c r="K27" s="51">
        <f>References!$C$17*J27</f>
        <v>0</v>
      </c>
      <c r="L27" s="57">
        <f>K27/References!$F$18</f>
        <v>0</v>
      </c>
      <c r="M27" s="57">
        <f>L27/G27*F27</f>
        <v>0</v>
      </c>
      <c r="N27" s="155">
        <v>8.11</v>
      </c>
      <c r="O27" s="57">
        <f t="shared" si="1"/>
        <v>8.8135852898732008</v>
      </c>
      <c r="P27" s="51">
        <f t="shared" ref="P27:P37" si="13">O27</f>
        <v>8.8135852898732008</v>
      </c>
      <c r="Q27" s="53">
        <f t="shared" ref="Q27:Q39" si="14">E27*N27*12</f>
        <v>42752.675999999992</v>
      </c>
      <c r="R27" s="53">
        <f t="shared" ref="R27:R39" si="15">E27*P27*12</f>
        <v>46461.696214095558</v>
      </c>
      <c r="S27" s="53">
        <f t="shared" ref="S27:S39" si="16">R27-Q27</f>
        <v>3709.0202140955662</v>
      </c>
      <c r="T27" s="53">
        <f t="shared" ref="T27:T39" si="17">E27*O27*12</f>
        <v>46461.696214095558</v>
      </c>
      <c r="U27" s="82">
        <f t="shared" ref="U27:U39" si="18">T27-Q27</f>
        <v>3709.0202140955662</v>
      </c>
    </row>
    <row r="28" spans="1:21" s="23" customFormat="1">
      <c r="A28" s="210"/>
      <c r="B28" s="93">
        <v>100</v>
      </c>
      <c r="C28" s="28">
        <v>25</v>
      </c>
      <c r="D28" s="18" t="s">
        <v>95</v>
      </c>
      <c r="E28" s="19">
        <f>17*(1+E$11)</f>
        <v>19.549999999999997</v>
      </c>
      <c r="F28" s="15">
        <f>References!$D$7</f>
        <v>4.333333333333333</v>
      </c>
      <c r="G28" s="60">
        <f t="shared" ref="G28:G73" si="19">E28*F28*12</f>
        <v>1016.5999999999999</v>
      </c>
      <c r="H28" s="14">
        <v>20</v>
      </c>
      <c r="I28" s="14">
        <f t="shared" si="11"/>
        <v>20332</v>
      </c>
      <c r="J28" s="20">
        <f t="shared" si="12"/>
        <v>0</v>
      </c>
      <c r="K28" s="51">
        <f>References!$C$17*J28</f>
        <v>0</v>
      </c>
      <c r="L28" s="57">
        <f>K28/References!$F$18</f>
        <v>0</v>
      </c>
      <c r="M28" s="57">
        <f>L28/G28*F28</f>
        <v>0</v>
      </c>
      <c r="N28" s="155">
        <v>10.07</v>
      </c>
      <c r="O28" s="57">
        <f t="shared" si="1"/>
        <v>10.943625631198907</v>
      </c>
      <c r="P28" s="51">
        <f t="shared" si="13"/>
        <v>10.943625631198907</v>
      </c>
      <c r="Q28" s="53">
        <f t="shared" si="14"/>
        <v>2362.4219999999996</v>
      </c>
      <c r="R28" s="53">
        <f t="shared" si="15"/>
        <v>2567.3745730792634</v>
      </c>
      <c r="S28" s="53">
        <f t="shared" si="16"/>
        <v>204.95257307926386</v>
      </c>
      <c r="T28" s="53">
        <f t="shared" si="17"/>
        <v>2567.3745730792634</v>
      </c>
      <c r="U28" s="82">
        <f t="shared" si="18"/>
        <v>204.95257307926386</v>
      </c>
    </row>
    <row r="29" spans="1:21" s="23" customFormat="1">
      <c r="A29" s="210"/>
      <c r="B29" s="93">
        <v>100</v>
      </c>
      <c r="C29" s="28">
        <v>25</v>
      </c>
      <c r="D29" s="18" t="s">
        <v>90</v>
      </c>
      <c r="E29" s="19">
        <f>2241*(1+E$11)</f>
        <v>2577.1499999999996</v>
      </c>
      <c r="F29" s="15">
        <f>References!$D$7</f>
        <v>4.333333333333333</v>
      </c>
      <c r="G29" s="60">
        <f t="shared" si="19"/>
        <v>134011.79999999999</v>
      </c>
      <c r="H29" s="14">
        <v>34</v>
      </c>
      <c r="I29" s="14">
        <f t="shared" si="11"/>
        <v>4556401.1999999993</v>
      </c>
      <c r="J29" s="20">
        <f t="shared" si="12"/>
        <v>0</v>
      </c>
      <c r="K29" s="51">
        <f>References!$C$17*J29</f>
        <v>0</v>
      </c>
      <c r="L29" s="57">
        <f>K29/References!$F$18</f>
        <v>0</v>
      </c>
      <c r="M29" s="57">
        <f t="shared" ref="M29:M34" si="20">L29/G29*F29</f>
        <v>0</v>
      </c>
      <c r="N29" s="155">
        <v>13.04</v>
      </c>
      <c r="O29" s="57">
        <f t="shared" si="1"/>
        <v>14.171288801473063</v>
      </c>
      <c r="P29" s="51">
        <f t="shared" si="13"/>
        <v>14.171288801473063</v>
      </c>
      <c r="Q29" s="53">
        <f t="shared" si="14"/>
        <v>403272.43199999991</v>
      </c>
      <c r="R29" s="53">
        <f t="shared" si="15"/>
        <v>438258.44321659557</v>
      </c>
      <c r="S29" s="53">
        <f t="shared" si="16"/>
        <v>34986.011216595653</v>
      </c>
      <c r="T29" s="53">
        <f t="shared" si="17"/>
        <v>438258.44321659557</v>
      </c>
      <c r="U29" s="82">
        <f t="shared" si="18"/>
        <v>34986.011216595653</v>
      </c>
    </row>
    <row r="30" spans="1:21" s="23" customFormat="1">
      <c r="A30" s="210"/>
      <c r="B30" s="93">
        <v>100</v>
      </c>
      <c r="C30" s="28">
        <v>25</v>
      </c>
      <c r="D30" s="18" t="s">
        <v>91</v>
      </c>
      <c r="E30" s="19">
        <f>1498*(1+E$11)</f>
        <v>1722.6999999999998</v>
      </c>
      <c r="F30" s="15">
        <f>References!$D$7</f>
        <v>4.333333333333333</v>
      </c>
      <c r="G30" s="60">
        <f t="shared" si="19"/>
        <v>89580.39999999998</v>
      </c>
      <c r="H30" s="14">
        <v>51</v>
      </c>
      <c r="I30" s="14">
        <f t="shared" si="11"/>
        <v>4568600.3999999985</v>
      </c>
      <c r="J30" s="20">
        <f t="shared" si="12"/>
        <v>0</v>
      </c>
      <c r="K30" s="51">
        <f>References!$C$17*J30</f>
        <v>0</v>
      </c>
      <c r="L30" s="57">
        <f>K30/References!$F$18</f>
        <v>0</v>
      </c>
      <c r="M30" s="57">
        <f t="shared" si="20"/>
        <v>0</v>
      </c>
      <c r="N30" s="155">
        <v>19.14</v>
      </c>
      <c r="O30" s="57">
        <f t="shared" si="1"/>
        <v>20.800495986211232</v>
      </c>
      <c r="P30" s="51">
        <f t="shared" si="13"/>
        <v>20.800495986211232</v>
      </c>
      <c r="Q30" s="53">
        <f t="shared" si="14"/>
        <v>395669.73599999992</v>
      </c>
      <c r="R30" s="53">
        <f t="shared" si="15"/>
        <v>429996.17322535301</v>
      </c>
      <c r="S30" s="53">
        <f t="shared" si="16"/>
        <v>34326.437225353089</v>
      </c>
      <c r="T30" s="53">
        <f t="shared" si="17"/>
        <v>429996.17322535301</v>
      </c>
      <c r="U30" s="82">
        <f t="shared" si="18"/>
        <v>34326.437225353089</v>
      </c>
    </row>
    <row r="31" spans="1:21" s="23" customFormat="1">
      <c r="A31" s="210"/>
      <c r="B31" s="93">
        <v>100</v>
      </c>
      <c r="C31" s="28">
        <v>25</v>
      </c>
      <c r="D31" s="18" t="s">
        <v>92</v>
      </c>
      <c r="E31" s="19">
        <f>268*(1+E$11)</f>
        <v>308.2</v>
      </c>
      <c r="F31" s="15">
        <f>References!$D$7</f>
        <v>4.333333333333333</v>
      </c>
      <c r="G31" s="60">
        <f t="shared" si="19"/>
        <v>16026.4</v>
      </c>
      <c r="H31" s="14">
        <v>77</v>
      </c>
      <c r="I31" s="14">
        <f t="shared" si="11"/>
        <v>1234032.8</v>
      </c>
      <c r="J31" s="20">
        <f t="shared" si="12"/>
        <v>0</v>
      </c>
      <c r="K31" s="51">
        <f>References!$C$17*J31</f>
        <v>0</v>
      </c>
      <c r="L31" s="57">
        <f>K31/References!$F$18</f>
        <v>0</v>
      </c>
      <c r="M31" s="57">
        <f t="shared" si="20"/>
        <v>0</v>
      </c>
      <c r="N31" s="155">
        <v>25.83</v>
      </c>
      <c r="O31" s="57">
        <f t="shared" si="1"/>
        <v>28.070888783899481</v>
      </c>
      <c r="P31" s="51">
        <f t="shared" si="13"/>
        <v>28.070888783899481</v>
      </c>
      <c r="Q31" s="53">
        <f>E31*N31*12</f>
        <v>95529.671999999991</v>
      </c>
      <c r="R31" s="53">
        <f t="shared" si="15"/>
        <v>103817.37507837385</v>
      </c>
      <c r="S31" s="53">
        <f t="shared" si="16"/>
        <v>8287.7030783738592</v>
      </c>
      <c r="T31" s="53">
        <f t="shared" si="17"/>
        <v>103817.37507837385</v>
      </c>
      <c r="U31" s="82">
        <f t="shared" si="18"/>
        <v>8287.7030783738592</v>
      </c>
    </row>
    <row r="32" spans="1:21" s="23" customFormat="1">
      <c r="A32" s="210"/>
      <c r="B32" s="93">
        <v>100</v>
      </c>
      <c r="C32" s="28">
        <v>25</v>
      </c>
      <c r="D32" s="18" t="s">
        <v>93</v>
      </c>
      <c r="E32" s="19"/>
      <c r="F32" s="15">
        <f>References!$D$7</f>
        <v>4.333333333333333</v>
      </c>
      <c r="G32" s="60">
        <f t="shared" si="19"/>
        <v>0</v>
      </c>
      <c r="H32" s="14">
        <v>97</v>
      </c>
      <c r="I32" s="14">
        <f t="shared" si="11"/>
        <v>0</v>
      </c>
      <c r="J32" s="20">
        <f t="shared" si="12"/>
        <v>0</v>
      </c>
      <c r="K32" s="51">
        <f>References!$C$17*J32</f>
        <v>0</v>
      </c>
      <c r="L32" s="57">
        <f>K32/References!$F$18</f>
        <v>0</v>
      </c>
      <c r="M32" s="57" t="e">
        <f t="shared" si="20"/>
        <v>#DIV/0!</v>
      </c>
      <c r="N32" s="155">
        <v>31.41</v>
      </c>
      <c r="O32" s="57">
        <f t="shared" si="1"/>
        <v>34.134983225020626</v>
      </c>
      <c r="P32" s="51">
        <f t="shared" si="13"/>
        <v>34.134983225020626</v>
      </c>
      <c r="Q32" s="53">
        <f>E32*N32*12</f>
        <v>0</v>
      </c>
      <c r="R32" s="53">
        <f t="shared" si="15"/>
        <v>0</v>
      </c>
      <c r="S32" s="53">
        <f t="shared" si="16"/>
        <v>0</v>
      </c>
      <c r="T32" s="53">
        <f t="shared" si="17"/>
        <v>0</v>
      </c>
      <c r="U32" s="82">
        <f t="shared" si="18"/>
        <v>0</v>
      </c>
    </row>
    <row r="33" spans="1:21" s="23" customFormat="1">
      <c r="A33" s="210"/>
      <c r="B33" s="93">
        <v>100</v>
      </c>
      <c r="C33" s="28">
        <v>25</v>
      </c>
      <c r="D33" s="18" t="s">
        <v>94</v>
      </c>
      <c r="E33" s="19"/>
      <c r="F33" s="15">
        <f>References!$D$7</f>
        <v>4.333333333333333</v>
      </c>
      <c r="G33" s="60">
        <f t="shared" si="19"/>
        <v>0</v>
      </c>
      <c r="H33" s="14">
        <v>117</v>
      </c>
      <c r="I33" s="14">
        <f t="shared" si="11"/>
        <v>0</v>
      </c>
      <c r="J33" s="20">
        <f t="shared" si="12"/>
        <v>0</v>
      </c>
      <c r="K33" s="51">
        <f>References!$C$17*J33</f>
        <v>0</v>
      </c>
      <c r="L33" s="57">
        <f>K33/References!$F$18</f>
        <v>0</v>
      </c>
      <c r="M33" s="57" t="e">
        <f t="shared" si="20"/>
        <v>#DIV/0!</v>
      </c>
      <c r="N33" s="155">
        <v>37.53</v>
      </c>
      <c r="O33" s="57">
        <f t="shared" si="1"/>
        <v>40.785925515282521</v>
      </c>
      <c r="P33" s="51">
        <f t="shared" si="13"/>
        <v>40.785925515282521</v>
      </c>
      <c r="Q33" s="53">
        <f t="shared" si="14"/>
        <v>0</v>
      </c>
      <c r="R33" s="53">
        <f t="shared" si="15"/>
        <v>0</v>
      </c>
      <c r="S33" s="53">
        <f t="shared" si="16"/>
        <v>0</v>
      </c>
      <c r="T33" s="53">
        <f t="shared" si="17"/>
        <v>0</v>
      </c>
      <c r="U33" s="82">
        <f t="shared" si="18"/>
        <v>0</v>
      </c>
    </row>
    <row r="34" spans="1:21" s="23" customFormat="1">
      <c r="A34" s="210"/>
      <c r="B34" s="93">
        <v>100</v>
      </c>
      <c r="C34" s="28">
        <v>25</v>
      </c>
      <c r="D34" s="18" t="s">
        <v>89</v>
      </c>
      <c r="E34" s="19"/>
      <c r="F34" s="15">
        <f>References!$D$7</f>
        <v>4.333333333333333</v>
      </c>
      <c r="G34" s="60">
        <f t="shared" si="19"/>
        <v>0</v>
      </c>
      <c r="H34" s="14">
        <v>137</v>
      </c>
      <c r="I34" s="14">
        <f t="shared" si="11"/>
        <v>0</v>
      </c>
      <c r="J34" s="20">
        <f t="shared" si="12"/>
        <v>0</v>
      </c>
      <c r="K34" s="51">
        <f>References!$C$17*J34</f>
        <v>0</v>
      </c>
      <c r="L34" s="57">
        <f>K34/References!$F$18</f>
        <v>0</v>
      </c>
      <c r="M34" s="57" t="e">
        <f t="shared" si="20"/>
        <v>#DIV/0!</v>
      </c>
      <c r="N34" s="155">
        <v>43.64</v>
      </c>
      <c r="O34" s="57">
        <f t="shared" si="1"/>
        <v>47.426000252782558</v>
      </c>
      <c r="P34" s="51">
        <f t="shared" si="13"/>
        <v>47.426000252782558</v>
      </c>
      <c r="Q34" s="53">
        <f t="shared" si="14"/>
        <v>0</v>
      </c>
      <c r="R34" s="53">
        <f t="shared" si="15"/>
        <v>0</v>
      </c>
      <c r="S34" s="53">
        <f t="shared" si="16"/>
        <v>0</v>
      </c>
      <c r="T34" s="53">
        <f t="shared" si="17"/>
        <v>0</v>
      </c>
      <c r="U34" s="82">
        <f t="shared" si="18"/>
        <v>0</v>
      </c>
    </row>
    <row r="35" spans="1:21" s="23" customFormat="1">
      <c r="A35" s="210"/>
      <c r="B35" s="93">
        <v>100</v>
      </c>
      <c r="C35" s="28">
        <v>25</v>
      </c>
      <c r="D35" s="18" t="s">
        <v>135</v>
      </c>
      <c r="E35" s="19">
        <v>5141</v>
      </c>
      <c r="F35" s="15">
        <f>References!$D$8</f>
        <v>2.1666666666666665</v>
      </c>
      <c r="G35" s="60">
        <f t="shared" si="19"/>
        <v>133666</v>
      </c>
      <c r="H35" s="14">
        <v>0</v>
      </c>
      <c r="I35" s="14">
        <f t="shared" si="11"/>
        <v>0</v>
      </c>
      <c r="J35" s="20">
        <f t="shared" si="12"/>
        <v>0</v>
      </c>
      <c r="K35" s="51">
        <f>References!$C$17*J35</f>
        <v>0</v>
      </c>
      <c r="L35" s="57">
        <f>K35/References!$F$18</f>
        <v>0</v>
      </c>
      <c r="M35" s="57">
        <f>L35/G35</f>
        <v>0</v>
      </c>
      <c r="N35" s="155">
        <v>5.31</v>
      </c>
      <c r="O35" s="57">
        <f t="shared" si="1"/>
        <v>5.7706705165507639</v>
      </c>
      <c r="P35" s="51">
        <f t="shared" si="13"/>
        <v>5.7706705165507639</v>
      </c>
      <c r="Q35" s="53">
        <f t="shared" si="14"/>
        <v>327584.52</v>
      </c>
      <c r="R35" s="53">
        <f t="shared" si="15"/>
        <v>356004.20550704974</v>
      </c>
      <c r="S35" s="53">
        <f t="shared" si="16"/>
        <v>28419.685507049726</v>
      </c>
      <c r="T35" s="53">
        <f t="shared" si="17"/>
        <v>356004.20550704974</v>
      </c>
      <c r="U35" s="82">
        <f t="shared" si="18"/>
        <v>28419.685507049726</v>
      </c>
    </row>
    <row r="36" spans="1:21" s="23" customFormat="1">
      <c r="A36" s="210"/>
      <c r="B36" s="93">
        <v>100</v>
      </c>
      <c r="C36" s="28">
        <v>25</v>
      </c>
      <c r="D36" s="18" t="s">
        <v>136</v>
      </c>
      <c r="E36" s="19">
        <f>8+732</f>
        <v>740</v>
      </c>
      <c r="F36" s="15">
        <f>References!$D$8</f>
        <v>2.1666666666666665</v>
      </c>
      <c r="G36" s="60">
        <f t="shared" si="19"/>
        <v>19240</v>
      </c>
      <c r="H36" s="14">
        <v>47</v>
      </c>
      <c r="I36" s="14">
        <f t="shared" si="11"/>
        <v>904280</v>
      </c>
      <c r="J36" s="20">
        <f t="shared" si="12"/>
        <v>0</v>
      </c>
      <c r="K36" s="51">
        <f>References!$C$17*J36</f>
        <v>0</v>
      </c>
      <c r="L36" s="57">
        <f>K36/References!$F$18</f>
        <v>0</v>
      </c>
      <c r="M36" s="57">
        <f>L36/G36</f>
        <v>0</v>
      </c>
      <c r="N36" s="155">
        <v>4.99</v>
      </c>
      <c r="O36" s="57">
        <f t="shared" si="1"/>
        <v>5.4229088281710576</v>
      </c>
      <c r="P36" s="51">
        <f t="shared" si="13"/>
        <v>5.4229088281710576</v>
      </c>
      <c r="Q36" s="53">
        <f>E36*N36*9</f>
        <v>33233.4</v>
      </c>
      <c r="R36" s="53">
        <f t="shared" si="15"/>
        <v>48155.43039415899</v>
      </c>
      <c r="S36" s="53">
        <f t="shared" si="16"/>
        <v>14922.030394158988</v>
      </c>
      <c r="T36" s="53">
        <f t="shared" si="17"/>
        <v>48155.43039415899</v>
      </c>
      <c r="U36" s="82">
        <f t="shared" si="18"/>
        <v>14922.030394158988</v>
      </c>
    </row>
    <row r="37" spans="1:21" s="23" customFormat="1">
      <c r="A37" s="210"/>
      <c r="B37" s="93">
        <v>100</v>
      </c>
      <c r="C37" s="28">
        <v>25</v>
      </c>
      <c r="D37" s="18" t="s">
        <v>138</v>
      </c>
      <c r="E37" s="19">
        <f>15+1137</f>
        <v>1152</v>
      </c>
      <c r="F37" s="15">
        <f>References!$D$8</f>
        <v>2.1666666666666665</v>
      </c>
      <c r="G37" s="60">
        <f t="shared" si="19"/>
        <v>29952</v>
      </c>
      <c r="H37" s="14">
        <v>68</v>
      </c>
      <c r="I37" s="14">
        <f t="shared" si="11"/>
        <v>2036736</v>
      </c>
      <c r="J37" s="20">
        <f t="shared" si="12"/>
        <v>0</v>
      </c>
      <c r="K37" s="51">
        <f>References!$C$17*J37</f>
        <v>0</v>
      </c>
      <c r="L37" s="57">
        <f>K37/References!$F$18</f>
        <v>0</v>
      </c>
      <c r="M37" s="57">
        <f t="shared" ref="M37" si="21">L37/G37*F37</f>
        <v>0</v>
      </c>
      <c r="N37" s="155">
        <v>5.43</v>
      </c>
      <c r="O37" s="57">
        <f t="shared" si="1"/>
        <v>5.9010811496931543</v>
      </c>
      <c r="P37" s="51">
        <f t="shared" si="13"/>
        <v>5.9010811496931543</v>
      </c>
      <c r="Q37" s="53">
        <f>E37*N37*9</f>
        <v>56298.239999999998</v>
      </c>
      <c r="R37" s="53">
        <f t="shared" si="15"/>
        <v>81576.545813358171</v>
      </c>
      <c r="S37" s="53">
        <f t="shared" si="16"/>
        <v>25278.305813358173</v>
      </c>
      <c r="T37" s="53">
        <f t="shared" si="17"/>
        <v>81576.545813358171</v>
      </c>
      <c r="U37" s="82">
        <f t="shared" si="18"/>
        <v>25278.305813358173</v>
      </c>
    </row>
    <row r="38" spans="1:21" s="23" customFormat="1">
      <c r="A38" s="210"/>
      <c r="B38" s="93">
        <v>100</v>
      </c>
      <c r="C38" s="28">
        <v>25</v>
      </c>
      <c r="D38" s="18" t="s">
        <v>137</v>
      </c>
      <c r="E38" s="19"/>
      <c r="F38" s="15">
        <f>References!$D$7</f>
        <v>4.333333333333333</v>
      </c>
      <c r="G38" s="60">
        <f t="shared" si="19"/>
        <v>0</v>
      </c>
      <c r="H38" s="14">
        <v>47</v>
      </c>
      <c r="I38" s="14">
        <f t="shared" si="11"/>
        <v>0</v>
      </c>
      <c r="J38" s="20">
        <f t="shared" si="12"/>
        <v>0</v>
      </c>
      <c r="K38" s="51">
        <f>References!$C$17*J38</f>
        <v>0</v>
      </c>
      <c r="L38" s="57">
        <f>K38/References!$F$18</f>
        <v>0</v>
      </c>
      <c r="M38" s="57" t="e">
        <f>L38/G38*F38</f>
        <v>#DIV/0!</v>
      </c>
      <c r="N38" s="155">
        <v>19.11</v>
      </c>
      <c r="O38" s="57">
        <f t="shared" si="1"/>
        <v>20.767893327925634</v>
      </c>
      <c r="P38" s="51">
        <f>+P30</f>
        <v>20.800495986211232</v>
      </c>
      <c r="Q38" s="53">
        <f t="shared" si="14"/>
        <v>0</v>
      </c>
      <c r="R38" s="53">
        <f t="shared" si="15"/>
        <v>0</v>
      </c>
      <c r="S38" s="53">
        <f t="shared" si="16"/>
        <v>0</v>
      </c>
      <c r="T38" s="53">
        <f t="shared" si="17"/>
        <v>0</v>
      </c>
      <c r="U38" s="82">
        <f t="shared" si="18"/>
        <v>0</v>
      </c>
    </row>
    <row r="39" spans="1:21" s="23" customFormat="1">
      <c r="A39" s="210"/>
      <c r="B39" s="93">
        <v>100</v>
      </c>
      <c r="C39" s="28">
        <v>25</v>
      </c>
      <c r="D39" s="18" t="s">
        <v>96</v>
      </c>
      <c r="E39" s="19"/>
      <c r="F39" s="15">
        <f>References!$D$7</f>
        <v>4.333333333333333</v>
      </c>
      <c r="G39" s="60">
        <f t="shared" si="19"/>
        <v>0</v>
      </c>
      <c r="H39" s="14">
        <v>68</v>
      </c>
      <c r="I39" s="14">
        <f t="shared" si="11"/>
        <v>0</v>
      </c>
      <c r="J39" s="20">
        <f t="shared" si="12"/>
        <v>0</v>
      </c>
      <c r="K39" s="51">
        <f>References!$C$17*J39</f>
        <v>0</v>
      </c>
      <c r="L39" s="57">
        <f>K39/References!$F$18</f>
        <v>0</v>
      </c>
      <c r="M39" s="57" t="e">
        <f>L39/G39*F39</f>
        <v>#DIV/0!</v>
      </c>
      <c r="N39" s="155">
        <v>25.23</v>
      </c>
      <c r="O39" s="57">
        <f t="shared" si="1"/>
        <v>27.418835618187533</v>
      </c>
      <c r="P39" s="51">
        <f>+P31</f>
        <v>28.070888783899481</v>
      </c>
      <c r="Q39" s="53">
        <f t="shared" si="14"/>
        <v>0</v>
      </c>
      <c r="R39" s="53">
        <f t="shared" si="15"/>
        <v>0</v>
      </c>
      <c r="S39" s="53">
        <f t="shared" si="16"/>
        <v>0</v>
      </c>
      <c r="T39" s="53">
        <f t="shared" si="17"/>
        <v>0</v>
      </c>
      <c r="U39" s="82">
        <f t="shared" si="18"/>
        <v>0</v>
      </c>
    </row>
    <row r="40" spans="1:21" s="23" customFormat="1">
      <c r="A40" s="210"/>
      <c r="B40" s="196"/>
      <c r="C40" s="192"/>
      <c r="D40" s="197"/>
      <c r="E40" s="198"/>
      <c r="F40" s="194"/>
      <c r="G40" s="199"/>
      <c r="H40" s="126"/>
      <c r="I40" s="126"/>
      <c r="J40" s="200"/>
      <c r="K40" s="201"/>
      <c r="L40" s="202"/>
      <c r="M40" s="202"/>
      <c r="N40" s="203"/>
      <c r="O40" s="202"/>
      <c r="P40" s="201"/>
      <c r="Q40" s="204">
        <f>SUM(Q14:Q39)</f>
        <v>1356703.0979999998</v>
      </c>
      <c r="R40" s="204">
        <f>SUM(R14:R39)</f>
        <v>1506837.2440220641</v>
      </c>
      <c r="S40" s="204"/>
      <c r="T40" s="204"/>
      <c r="U40" s="127"/>
    </row>
    <row r="41" spans="1:21" s="23" customFormat="1">
      <c r="A41" s="210" t="s">
        <v>309</v>
      </c>
      <c r="B41" s="93"/>
      <c r="C41" s="28"/>
      <c r="D41" s="48" t="s">
        <v>229</v>
      </c>
      <c r="E41" s="19"/>
      <c r="F41" s="15"/>
      <c r="G41" s="60">
        <f t="shared" si="19"/>
        <v>0</v>
      </c>
      <c r="H41" s="14"/>
      <c r="I41" s="14">
        <f t="shared" ref="I41:I73" si="22">G41*H41</f>
        <v>0</v>
      </c>
      <c r="J41" s="20">
        <f t="shared" ref="J41:J73" si="23">$E$298*I41</f>
        <v>0</v>
      </c>
      <c r="K41" s="51"/>
      <c r="L41" s="57"/>
      <c r="M41" s="57"/>
      <c r="N41" s="51"/>
      <c r="O41" s="57"/>
      <c r="P41" s="51"/>
      <c r="Q41" s="53"/>
      <c r="R41" s="53"/>
      <c r="S41" s="53"/>
      <c r="T41" s="53"/>
      <c r="U41" s="82"/>
    </row>
    <row r="42" spans="1:21" s="23" customFormat="1">
      <c r="A42" s="210"/>
      <c r="B42" s="93">
        <v>105</v>
      </c>
      <c r="C42" s="28">
        <v>33</v>
      </c>
      <c r="D42" s="18" t="s">
        <v>177</v>
      </c>
      <c r="E42" s="19"/>
      <c r="F42" s="15">
        <v>1</v>
      </c>
      <c r="G42" s="60">
        <f t="shared" si="19"/>
        <v>0</v>
      </c>
      <c r="H42" s="14"/>
      <c r="I42" s="14">
        <f t="shared" si="22"/>
        <v>0</v>
      </c>
      <c r="J42" s="20">
        <f t="shared" si="23"/>
        <v>0</v>
      </c>
      <c r="K42" s="51">
        <f>References!$C$17*J42</f>
        <v>0</v>
      </c>
      <c r="L42" s="57">
        <f>K42/References!$F$18</f>
        <v>0</v>
      </c>
      <c r="M42" s="57" t="e">
        <f t="shared" ref="M42:M73" si="24">L42/G42*F42</f>
        <v>#DIV/0!</v>
      </c>
      <c r="N42" s="51">
        <v>4.79</v>
      </c>
      <c r="O42" s="57">
        <f t="shared" si="1"/>
        <v>5.2055577729337408</v>
      </c>
      <c r="P42" s="51">
        <f>+P98</f>
        <v>5.2164253256956066</v>
      </c>
      <c r="Q42" s="53">
        <f t="shared" ref="Q42:Q73" si="25">E42*N42*12</f>
        <v>0</v>
      </c>
      <c r="R42" s="53">
        <f t="shared" ref="R42:R73" si="26">E42*P42*12</f>
        <v>0</v>
      </c>
      <c r="S42" s="53">
        <f t="shared" ref="S42:S73" si="27">R42-Q42</f>
        <v>0</v>
      </c>
      <c r="T42" s="53">
        <f t="shared" ref="T42:T73" si="28">E42*O42*12</f>
        <v>0</v>
      </c>
      <c r="U42" s="82">
        <f t="shared" ref="U42:U73" si="29">T42-Q42</f>
        <v>0</v>
      </c>
    </row>
    <row r="43" spans="1:21" s="23" customFormat="1">
      <c r="A43" s="210"/>
      <c r="B43" s="93" t="s">
        <v>260</v>
      </c>
      <c r="C43" s="28" t="s">
        <v>279</v>
      </c>
      <c r="D43" s="18" t="s">
        <v>178</v>
      </c>
      <c r="E43" s="19"/>
      <c r="F43" s="15">
        <v>30</v>
      </c>
      <c r="G43" s="60">
        <f t="shared" si="19"/>
        <v>0</v>
      </c>
      <c r="H43" s="14"/>
      <c r="I43" s="14">
        <f t="shared" si="22"/>
        <v>0</v>
      </c>
      <c r="J43" s="20">
        <f t="shared" si="23"/>
        <v>0</v>
      </c>
      <c r="K43" s="51">
        <f>References!$C$17*J43</f>
        <v>0</v>
      </c>
      <c r="L43" s="57">
        <f>K43/References!$F$18</f>
        <v>0</v>
      </c>
      <c r="M43" s="57" t="e">
        <f t="shared" si="24"/>
        <v>#DIV/0!</v>
      </c>
      <c r="N43" s="51">
        <v>1.1299999999999999</v>
      </c>
      <c r="O43" s="57">
        <f t="shared" si="1"/>
        <v>1.2280334620908406</v>
      </c>
      <c r="P43" s="51">
        <f t="shared" ref="P43:P72" si="30">O43</f>
        <v>1.2280334620908406</v>
      </c>
      <c r="Q43" s="53">
        <f t="shared" si="25"/>
        <v>0</v>
      </c>
      <c r="R43" s="53">
        <f t="shared" si="26"/>
        <v>0</v>
      </c>
      <c r="S43" s="53">
        <f t="shared" si="27"/>
        <v>0</v>
      </c>
      <c r="T43" s="53">
        <f t="shared" si="28"/>
        <v>0</v>
      </c>
      <c r="U43" s="82">
        <f t="shared" si="29"/>
        <v>0</v>
      </c>
    </row>
    <row r="44" spans="1:21" s="23" customFormat="1">
      <c r="A44" s="210"/>
      <c r="B44" s="93" t="s">
        <v>260</v>
      </c>
      <c r="C44" s="28" t="s">
        <v>261</v>
      </c>
      <c r="D44" s="18" t="s">
        <v>179</v>
      </c>
      <c r="E44" s="19"/>
      <c r="F44" s="15">
        <v>1</v>
      </c>
      <c r="G44" s="60">
        <f t="shared" si="19"/>
        <v>0</v>
      </c>
      <c r="H44" s="14"/>
      <c r="I44" s="14">
        <f t="shared" si="22"/>
        <v>0</v>
      </c>
      <c r="J44" s="20">
        <f t="shared" si="23"/>
        <v>0</v>
      </c>
      <c r="K44" s="51">
        <f>References!$C$17*J44</f>
        <v>0</v>
      </c>
      <c r="L44" s="57">
        <f>K44/References!$F$18</f>
        <v>0</v>
      </c>
      <c r="M44" s="57" t="e">
        <f t="shared" si="24"/>
        <v>#DIV/0!</v>
      </c>
      <c r="N44" s="51">
        <v>16.489999999999998</v>
      </c>
      <c r="O44" s="57">
        <f t="shared" si="1"/>
        <v>17.920594504316782</v>
      </c>
      <c r="P44" s="51">
        <f t="shared" si="30"/>
        <v>17.920594504316782</v>
      </c>
      <c r="Q44" s="53">
        <f t="shared" si="25"/>
        <v>0</v>
      </c>
      <c r="R44" s="53">
        <f t="shared" si="26"/>
        <v>0</v>
      </c>
      <c r="S44" s="53">
        <f t="shared" si="27"/>
        <v>0</v>
      </c>
      <c r="T44" s="53">
        <f t="shared" si="28"/>
        <v>0</v>
      </c>
      <c r="U44" s="82">
        <f t="shared" si="29"/>
        <v>0</v>
      </c>
    </row>
    <row r="45" spans="1:21" s="23" customFormat="1">
      <c r="A45" s="210"/>
      <c r="B45" s="93">
        <v>105</v>
      </c>
      <c r="C45" s="28">
        <v>33</v>
      </c>
      <c r="D45" s="18" t="s">
        <v>180</v>
      </c>
      <c r="E45" s="19"/>
      <c r="F45" s="15">
        <v>1</v>
      </c>
      <c r="G45" s="60">
        <f t="shared" si="19"/>
        <v>0</v>
      </c>
      <c r="H45" s="14"/>
      <c r="I45" s="14">
        <f t="shared" si="22"/>
        <v>0</v>
      </c>
      <c r="J45" s="20">
        <f t="shared" si="23"/>
        <v>0</v>
      </c>
      <c r="K45" s="51">
        <f>References!$C$17*J45</f>
        <v>0</v>
      </c>
      <c r="L45" s="57">
        <f>K45/References!$F$18</f>
        <v>0</v>
      </c>
      <c r="M45" s="57" t="e">
        <f t="shared" si="24"/>
        <v>#DIV/0!</v>
      </c>
      <c r="N45" s="51">
        <v>4.16</v>
      </c>
      <c r="O45" s="57">
        <f t="shared" si="1"/>
        <v>4.5209019489361921</v>
      </c>
      <c r="P45" s="51">
        <f t="shared" si="30"/>
        <v>4.5209019489361921</v>
      </c>
      <c r="Q45" s="53">
        <f t="shared" si="25"/>
        <v>0</v>
      </c>
      <c r="R45" s="53">
        <f t="shared" si="26"/>
        <v>0</v>
      </c>
      <c r="S45" s="53">
        <f t="shared" si="27"/>
        <v>0</v>
      </c>
      <c r="T45" s="53">
        <f t="shared" si="28"/>
        <v>0</v>
      </c>
      <c r="U45" s="82">
        <f t="shared" si="29"/>
        <v>0</v>
      </c>
    </row>
    <row r="46" spans="1:21" s="23" customFormat="1">
      <c r="A46" s="210"/>
      <c r="B46" s="93">
        <v>105</v>
      </c>
      <c r="C46" s="28">
        <v>33</v>
      </c>
      <c r="D46" s="18" t="s">
        <v>181</v>
      </c>
      <c r="E46" s="19">
        <v>0</v>
      </c>
      <c r="F46" s="15">
        <f>References!$D$7</f>
        <v>4.333333333333333</v>
      </c>
      <c r="G46" s="60">
        <f t="shared" si="19"/>
        <v>0</v>
      </c>
      <c r="H46" s="14">
        <v>175</v>
      </c>
      <c r="I46" s="14">
        <f t="shared" si="22"/>
        <v>0</v>
      </c>
      <c r="J46" s="20">
        <f t="shared" si="23"/>
        <v>0</v>
      </c>
      <c r="K46" s="51">
        <f>References!$C$17*J46</f>
        <v>0</v>
      </c>
      <c r="L46" s="57">
        <f>K46/References!$F$18</f>
        <v>0</v>
      </c>
      <c r="M46" s="57" t="e">
        <f t="shared" si="24"/>
        <v>#DIV/0!</v>
      </c>
      <c r="N46" s="51">
        <v>11.79</v>
      </c>
      <c r="O46" s="57">
        <f t="shared" si="1"/>
        <v>12.812844706239833</v>
      </c>
      <c r="P46" s="51">
        <f>+P78</f>
        <v>13.073665972524614</v>
      </c>
      <c r="Q46" s="53">
        <f t="shared" si="25"/>
        <v>0</v>
      </c>
      <c r="R46" s="53">
        <f t="shared" si="26"/>
        <v>0</v>
      </c>
      <c r="S46" s="53">
        <f t="shared" si="27"/>
        <v>0</v>
      </c>
      <c r="T46" s="53">
        <f t="shared" si="28"/>
        <v>0</v>
      </c>
      <c r="U46" s="82">
        <f t="shared" si="29"/>
        <v>0</v>
      </c>
    </row>
    <row r="47" spans="1:21" s="23" customFormat="1">
      <c r="A47" s="210"/>
      <c r="B47" s="93">
        <v>105</v>
      </c>
      <c r="C47" s="28">
        <v>33</v>
      </c>
      <c r="D47" s="18" t="s">
        <v>230</v>
      </c>
      <c r="E47" s="19">
        <v>90</v>
      </c>
      <c r="F47" s="15">
        <f>References!$D$7</f>
        <v>4.333333333333333</v>
      </c>
      <c r="G47" s="60">
        <f t="shared" si="19"/>
        <v>4680</v>
      </c>
      <c r="H47" s="14"/>
      <c r="I47" s="14">
        <f t="shared" si="22"/>
        <v>0</v>
      </c>
      <c r="J47" s="20">
        <f t="shared" si="23"/>
        <v>0</v>
      </c>
      <c r="K47" s="51">
        <f>References!$C$17*J47</f>
        <v>0</v>
      </c>
      <c r="L47" s="57">
        <f>K47/References!$F$18</f>
        <v>0</v>
      </c>
      <c r="M47" s="57">
        <f t="shared" si="24"/>
        <v>0</v>
      </c>
      <c r="N47" s="51">
        <v>1.83</v>
      </c>
      <c r="O47" s="57">
        <f t="shared" si="1"/>
        <v>1.9887621554214501</v>
      </c>
      <c r="P47" s="51">
        <f t="shared" si="30"/>
        <v>1.9887621554214501</v>
      </c>
      <c r="Q47" s="53">
        <f>E47*N47*12*F47</f>
        <v>8564.4</v>
      </c>
      <c r="R47" s="53">
        <f>E47*P47*12*F47</f>
        <v>9307.4068873723863</v>
      </c>
      <c r="S47" s="53">
        <f t="shared" si="27"/>
        <v>743.0068873723867</v>
      </c>
      <c r="T47" s="53">
        <f t="shared" si="28"/>
        <v>2147.8631278551661</v>
      </c>
      <c r="U47" s="82">
        <f t="shared" si="29"/>
        <v>-6416.536872144834</v>
      </c>
    </row>
    <row r="48" spans="1:21" s="23" customFormat="1">
      <c r="A48" s="210"/>
      <c r="B48" s="93">
        <v>105</v>
      </c>
      <c r="C48" s="28">
        <v>33</v>
      </c>
      <c r="D48" s="18" t="s">
        <v>182</v>
      </c>
      <c r="E48" s="19"/>
      <c r="F48" s="15">
        <v>1</v>
      </c>
      <c r="G48" s="60">
        <f t="shared" si="19"/>
        <v>0</v>
      </c>
      <c r="H48" s="14">
        <v>175</v>
      </c>
      <c r="I48" s="14">
        <f t="shared" si="22"/>
        <v>0</v>
      </c>
      <c r="J48" s="20">
        <f t="shared" si="23"/>
        <v>0</v>
      </c>
      <c r="K48" s="51">
        <f>References!$C$17*J48</f>
        <v>0</v>
      </c>
      <c r="L48" s="57">
        <f>K48/References!$F$18</f>
        <v>0</v>
      </c>
      <c r="M48" s="57" t="e">
        <f t="shared" si="24"/>
        <v>#DIV/0!</v>
      </c>
      <c r="N48" s="51">
        <v>15.77</v>
      </c>
      <c r="O48" s="57">
        <f t="shared" si="1"/>
        <v>17.138130705462441</v>
      </c>
      <c r="P48" s="51">
        <f t="shared" si="30"/>
        <v>17.138130705462441</v>
      </c>
      <c r="Q48" s="53">
        <f t="shared" si="25"/>
        <v>0</v>
      </c>
      <c r="R48" s="53">
        <f t="shared" si="26"/>
        <v>0</v>
      </c>
      <c r="S48" s="53">
        <f t="shared" si="27"/>
        <v>0</v>
      </c>
      <c r="T48" s="53">
        <f t="shared" si="28"/>
        <v>0</v>
      </c>
      <c r="U48" s="82">
        <f t="shared" si="29"/>
        <v>0</v>
      </c>
    </row>
    <row r="49" spans="1:21" s="23" customFormat="1">
      <c r="A49" s="210"/>
      <c r="B49" s="93">
        <v>105</v>
      </c>
      <c r="C49" s="28">
        <v>33</v>
      </c>
      <c r="D49" s="18" t="s">
        <v>228</v>
      </c>
      <c r="E49" s="19"/>
      <c r="F49" s="15">
        <v>1</v>
      </c>
      <c r="G49" s="60">
        <f t="shared" si="19"/>
        <v>0</v>
      </c>
      <c r="H49" s="14"/>
      <c r="I49" s="14">
        <f t="shared" si="22"/>
        <v>0</v>
      </c>
      <c r="J49" s="20">
        <f t="shared" si="23"/>
        <v>0</v>
      </c>
      <c r="K49" s="51">
        <f>References!$C$17*J49</f>
        <v>0</v>
      </c>
      <c r="L49" s="57">
        <f>K49/References!$F$18</f>
        <v>0</v>
      </c>
      <c r="M49" s="57" t="e">
        <f t="shared" si="24"/>
        <v>#DIV/0!</v>
      </c>
      <c r="N49" s="51">
        <v>4.74</v>
      </c>
      <c r="O49" s="57">
        <f t="shared" si="1"/>
        <v>5.1512200091244118</v>
      </c>
      <c r="P49" s="51">
        <f t="shared" si="30"/>
        <v>5.1512200091244118</v>
      </c>
      <c r="Q49" s="53">
        <f t="shared" si="25"/>
        <v>0</v>
      </c>
      <c r="R49" s="53">
        <f t="shared" si="26"/>
        <v>0</v>
      </c>
      <c r="S49" s="53">
        <f t="shared" si="27"/>
        <v>0</v>
      </c>
      <c r="T49" s="53">
        <f t="shared" si="28"/>
        <v>0</v>
      </c>
      <c r="U49" s="82">
        <f t="shared" si="29"/>
        <v>0</v>
      </c>
    </row>
    <row r="50" spans="1:21" s="23" customFormat="1">
      <c r="A50" s="210"/>
      <c r="B50" s="93">
        <v>105</v>
      </c>
      <c r="C50" s="28">
        <v>33</v>
      </c>
      <c r="D50" s="18" t="s">
        <v>191</v>
      </c>
      <c r="E50" s="19">
        <v>0</v>
      </c>
      <c r="F50" s="15">
        <f>References!$D$7</f>
        <v>4.333333333333333</v>
      </c>
      <c r="G50" s="60">
        <f t="shared" si="19"/>
        <v>0</v>
      </c>
      <c r="H50" s="14">
        <v>250</v>
      </c>
      <c r="I50" s="14">
        <f t="shared" si="22"/>
        <v>0</v>
      </c>
      <c r="J50" s="20">
        <f t="shared" si="23"/>
        <v>0</v>
      </c>
      <c r="K50" s="51">
        <f>References!$C$17*J50</f>
        <v>0</v>
      </c>
      <c r="L50" s="57">
        <f>K50/References!$F$18</f>
        <v>0</v>
      </c>
      <c r="M50" s="57" t="e">
        <f t="shared" si="24"/>
        <v>#DIV/0!</v>
      </c>
      <c r="N50" s="51">
        <v>16.329999999999998</v>
      </c>
      <c r="O50" s="57">
        <f t="shared" si="1"/>
        <v>17.746713660126925</v>
      </c>
      <c r="P50" s="51">
        <f>+P81</f>
        <v>18.127078006792232</v>
      </c>
      <c r="Q50" s="53">
        <f t="shared" si="25"/>
        <v>0</v>
      </c>
      <c r="R50" s="53">
        <f t="shared" si="26"/>
        <v>0</v>
      </c>
      <c r="S50" s="53">
        <f t="shared" si="27"/>
        <v>0</v>
      </c>
      <c r="T50" s="53">
        <f t="shared" si="28"/>
        <v>0</v>
      </c>
      <c r="U50" s="82">
        <f t="shared" si="29"/>
        <v>0</v>
      </c>
    </row>
    <row r="51" spans="1:21" s="23" customFormat="1">
      <c r="A51" s="210"/>
      <c r="B51" s="93">
        <v>105</v>
      </c>
      <c r="C51" s="28">
        <v>33</v>
      </c>
      <c r="D51" s="18" t="s">
        <v>192</v>
      </c>
      <c r="E51" s="19">
        <v>11</v>
      </c>
      <c r="F51" s="15">
        <f>References!$D$7</f>
        <v>4.333333333333333</v>
      </c>
      <c r="G51" s="60">
        <f t="shared" si="19"/>
        <v>572</v>
      </c>
      <c r="H51" s="14"/>
      <c r="I51" s="14">
        <f t="shared" si="22"/>
        <v>0</v>
      </c>
      <c r="J51" s="20">
        <f t="shared" si="23"/>
        <v>0</v>
      </c>
      <c r="K51" s="51">
        <f>References!$C$17*J51</f>
        <v>0</v>
      </c>
      <c r="L51" s="57">
        <f>K51/References!$F$18</f>
        <v>0</v>
      </c>
      <c r="M51" s="57">
        <f t="shared" si="24"/>
        <v>0</v>
      </c>
      <c r="N51" s="51">
        <v>2.52</v>
      </c>
      <c r="O51" s="57">
        <f t="shared" si="1"/>
        <v>2.7386232959901933</v>
      </c>
      <c r="P51" s="51">
        <f t="shared" si="30"/>
        <v>2.7386232959901933</v>
      </c>
      <c r="Q51" s="53">
        <f>E51*N51*12*F51</f>
        <v>1441.4399999999998</v>
      </c>
      <c r="R51" s="53">
        <f>E51*P51*12*F51</f>
        <v>1566.4925253063905</v>
      </c>
      <c r="S51" s="53">
        <f t="shared" si="27"/>
        <v>125.05252530639063</v>
      </c>
      <c r="T51" s="53">
        <f t="shared" si="28"/>
        <v>361.49827507070552</v>
      </c>
      <c r="U51" s="82">
        <f t="shared" si="29"/>
        <v>-1079.9417249292942</v>
      </c>
    </row>
    <row r="52" spans="1:21" s="23" customFormat="1">
      <c r="A52" s="210"/>
      <c r="B52" s="93">
        <v>105</v>
      </c>
      <c r="C52" s="28">
        <v>33</v>
      </c>
      <c r="D52" s="18" t="s">
        <v>193</v>
      </c>
      <c r="E52" s="19"/>
      <c r="F52" s="15">
        <v>1</v>
      </c>
      <c r="G52" s="60">
        <f t="shared" si="19"/>
        <v>0</v>
      </c>
      <c r="H52" s="14">
        <v>250</v>
      </c>
      <c r="I52" s="14">
        <f t="shared" si="22"/>
        <v>0</v>
      </c>
      <c r="J52" s="20">
        <f t="shared" si="23"/>
        <v>0</v>
      </c>
      <c r="K52" s="51">
        <f>References!$C$17*J52</f>
        <v>0</v>
      </c>
      <c r="L52" s="57">
        <f>K52/References!$F$18</f>
        <v>0</v>
      </c>
      <c r="M52" s="57" t="e">
        <f t="shared" si="24"/>
        <v>#DIV/0!</v>
      </c>
      <c r="N52" s="51">
        <v>20.64</v>
      </c>
      <c r="O52" s="57">
        <f t="shared" si="1"/>
        <v>22.430628900491108</v>
      </c>
      <c r="P52" s="51">
        <f t="shared" si="30"/>
        <v>22.430628900491108</v>
      </c>
      <c r="Q52" s="53">
        <f t="shared" si="25"/>
        <v>0</v>
      </c>
      <c r="R52" s="53">
        <f t="shared" si="26"/>
        <v>0</v>
      </c>
      <c r="S52" s="53">
        <f t="shared" si="27"/>
        <v>0</v>
      </c>
      <c r="T52" s="53">
        <f t="shared" si="28"/>
        <v>0</v>
      </c>
      <c r="U52" s="82">
        <f t="shared" si="29"/>
        <v>0</v>
      </c>
    </row>
    <row r="53" spans="1:21" s="23" customFormat="1">
      <c r="A53" s="210"/>
      <c r="B53" s="93">
        <v>105</v>
      </c>
      <c r="C53" s="28">
        <v>33</v>
      </c>
      <c r="D53" s="18" t="s">
        <v>183</v>
      </c>
      <c r="E53" s="19"/>
      <c r="F53" s="15">
        <v>1</v>
      </c>
      <c r="G53" s="60">
        <f t="shared" si="19"/>
        <v>0</v>
      </c>
      <c r="H53" s="14"/>
      <c r="I53" s="14">
        <f t="shared" si="22"/>
        <v>0</v>
      </c>
      <c r="J53" s="20">
        <f t="shared" si="23"/>
        <v>0</v>
      </c>
      <c r="K53" s="51">
        <f>References!$C$17*J53</f>
        <v>0</v>
      </c>
      <c r="L53" s="57">
        <f>K53/References!$F$18</f>
        <v>0</v>
      </c>
      <c r="M53" s="57" t="e">
        <f t="shared" si="24"/>
        <v>#DIV/0!</v>
      </c>
      <c r="N53" s="51">
        <v>5.67</v>
      </c>
      <c r="O53" s="57">
        <f t="shared" si="1"/>
        <v>6.1619024159779352</v>
      </c>
      <c r="P53" s="51">
        <f t="shared" si="30"/>
        <v>6.1619024159779352</v>
      </c>
      <c r="Q53" s="53">
        <f t="shared" si="25"/>
        <v>0</v>
      </c>
      <c r="R53" s="53">
        <f t="shared" si="26"/>
        <v>0</v>
      </c>
      <c r="S53" s="53">
        <f t="shared" si="27"/>
        <v>0</v>
      </c>
      <c r="T53" s="53">
        <f t="shared" si="28"/>
        <v>0</v>
      </c>
      <c r="U53" s="82">
        <f t="shared" si="29"/>
        <v>0</v>
      </c>
    </row>
    <row r="54" spans="1:21" s="23" customFormat="1">
      <c r="A54" s="210"/>
      <c r="B54" s="93">
        <v>105</v>
      </c>
      <c r="C54" s="28">
        <v>33</v>
      </c>
      <c r="D54" s="18" t="s">
        <v>184</v>
      </c>
      <c r="E54" s="19">
        <v>0</v>
      </c>
      <c r="F54" s="15">
        <f>References!$D$7</f>
        <v>4.333333333333333</v>
      </c>
      <c r="G54" s="60">
        <f t="shared" si="19"/>
        <v>0</v>
      </c>
      <c r="H54" s="14">
        <v>324</v>
      </c>
      <c r="I54" s="14">
        <f t="shared" si="22"/>
        <v>0</v>
      </c>
      <c r="J54" s="20">
        <f t="shared" si="23"/>
        <v>0</v>
      </c>
      <c r="K54" s="51">
        <f>References!$C$17*J54</f>
        <v>0</v>
      </c>
      <c r="L54" s="57">
        <f>K54/References!$F$18</f>
        <v>0</v>
      </c>
      <c r="M54" s="57" t="e">
        <f t="shared" si="24"/>
        <v>#DIV/0!</v>
      </c>
      <c r="N54" s="51">
        <v>21.19</v>
      </c>
      <c r="O54" s="57">
        <f t="shared" si="1"/>
        <v>23.02834430239373</v>
      </c>
      <c r="P54" s="51">
        <f>+P84</f>
        <v>23.517384176677695</v>
      </c>
      <c r="Q54" s="53">
        <f t="shared" si="25"/>
        <v>0</v>
      </c>
      <c r="R54" s="53">
        <f t="shared" si="26"/>
        <v>0</v>
      </c>
      <c r="S54" s="53">
        <f t="shared" si="27"/>
        <v>0</v>
      </c>
      <c r="T54" s="53">
        <f t="shared" si="28"/>
        <v>0</v>
      </c>
      <c r="U54" s="82">
        <f t="shared" si="29"/>
        <v>0</v>
      </c>
    </row>
    <row r="55" spans="1:21" s="23" customFormat="1">
      <c r="A55" s="210"/>
      <c r="B55" s="93">
        <v>105</v>
      </c>
      <c r="C55" s="28">
        <v>33</v>
      </c>
      <c r="D55" s="18" t="s">
        <v>185</v>
      </c>
      <c r="E55" s="19">
        <v>81</v>
      </c>
      <c r="F55" s="15">
        <f>References!$D$7</f>
        <v>4.333333333333333</v>
      </c>
      <c r="G55" s="60">
        <f t="shared" si="19"/>
        <v>4212</v>
      </c>
      <c r="H55" s="14"/>
      <c r="I55" s="14">
        <f t="shared" si="22"/>
        <v>0</v>
      </c>
      <c r="J55" s="20">
        <f t="shared" si="23"/>
        <v>0</v>
      </c>
      <c r="K55" s="51">
        <f>References!$C$17*J55</f>
        <v>0</v>
      </c>
      <c r="L55" s="57">
        <f>K55/References!$F$18</f>
        <v>0</v>
      </c>
      <c r="M55" s="57">
        <f t="shared" si="24"/>
        <v>0</v>
      </c>
      <c r="N55" s="51">
        <v>3.24</v>
      </c>
      <c r="O55" s="57">
        <f t="shared" si="1"/>
        <v>3.5210870948445345</v>
      </c>
      <c r="P55" s="51">
        <f t="shared" si="30"/>
        <v>3.5210870948445345</v>
      </c>
      <c r="Q55" s="53">
        <f>E55*N55*12*F55</f>
        <v>13646.879999999997</v>
      </c>
      <c r="R55" s="53">
        <f>E55*P55*12*F55</f>
        <v>14830.81884348518</v>
      </c>
      <c r="S55" s="53">
        <f t="shared" si="27"/>
        <v>1183.9388434851826</v>
      </c>
      <c r="T55" s="53">
        <f t="shared" si="28"/>
        <v>3422.4966561888878</v>
      </c>
      <c r="U55" s="82">
        <f t="shared" si="29"/>
        <v>-10224.383343811111</v>
      </c>
    </row>
    <row r="56" spans="1:21" s="23" customFormat="1">
      <c r="A56" s="210"/>
      <c r="B56" s="93">
        <v>105</v>
      </c>
      <c r="C56" s="28">
        <v>33</v>
      </c>
      <c r="D56" s="18" t="s">
        <v>186</v>
      </c>
      <c r="E56" s="19"/>
      <c r="F56" s="15">
        <v>1</v>
      </c>
      <c r="G56" s="60">
        <f t="shared" si="19"/>
        <v>0</v>
      </c>
      <c r="H56" s="14">
        <v>324</v>
      </c>
      <c r="I56" s="14">
        <f t="shared" si="22"/>
        <v>0</v>
      </c>
      <c r="J56" s="20">
        <f t="shared" si="23"/>
        <v>0</v>
      </c>
      <c r="K56" s="51">
        <f>References!$C$17*J56</f>
        <v>0</v>
      </c>
      <c r="L56" s="57">
        <f>K56/References!$F$18</f>
        <v>0</v>
      </c>
      <c r="M56" s="57" t="e">
        <f t="shared" si="24"/>
        <v>#DIV/0!</v>
      </c>
      <c r="N56" s="51">
        <v>25</v>
      </c>
      <c r="O56" s="57">
        <f t="shared" si="1"/>
        <v>27.168881904664616</v>
      </c>
      <c r="P56" s="51">
        <f t="shared" si="30"/>
        <v>27.168881904664616</v>
      </c>
      <c r="Q56" s="53">
        <f t="shared" si="25"/>
        <v>0</v>
      </c>
      <c r="R56" s="53">
        <f t="shared" si="26"/>
        <v>0</v>
      </c>
      <c r="S56" s="53">
        <f t="shared" si="27"/>
        <v>0</v>
      </c>
      <c r="T56" s="53">
        <f t="shared" si="28"/>
        <v>0</v>
      </c>
      <c r="U56" s="82">
        <f t="shared" si="29"/>
        <v>0</v>
      </c>
    </row>
    <row r="57" spans="1:21" s="23" customFormat="1">
      <c r="A57" s="210"/>
      <c r="B57" s="93">
        <v>105</v>
      </c>
      <c r="C57" s="28">
        <v>33</v>
      </c>
      <c r="D57" s="18" t="s">
        <v>187</v>
      </c>
      <c r="E57" s="19"/>
      <c r="F57" s="15">
        <v>1</v>
      </c>
      <c r="G57" s="60">
        <f t="shared" si="19"/>
        <v>0</v>
      </c>
      <c r="H57" s="14"/>
      <c r="I57" s="14">
        <f t="shared" si="22"/>
        <v>0</v>
      </c>
      <c r="J57" s="20">
        <f t="shared" si="23"/>
        <v>0</v>
      </c>
      <c r="K57" s="51">
        <f>References!$C$17*J57</f>
        <v>0</v>
      </c>
      <c r="L57" s="57">
        <f>K57/References!$F$18</f>
        <v>0</v>
      </c>
      <c r="M57" s="57" t="e">
        <f t="shared" si="24"/>
        <v>#DIV/0!</v>
      </c>
      <c r="N57" s="51">
        <v>6.69</v>
      </c>
      <c r="O57" s="57">
        <f t="shared" si="1"/>
        <v>7.2703927976882516</v>
      </c>
      <c r="P57" s="51">
        <f t="shared" si="30"/>
        <v>7.2703927976882516</v>
      </c>
      <c r="Q57" s="53">
        <f t="shared" si="25"/>
        <v>0</v>
      </c>
      <c r="R57" s="53">
        <f t="shared" si="26"/>
        <v>0</v>
      </c>
      <c r="S57" s="53">
        <f t="shared" si="27"/>
        <v>0</v>
      </c>
      <c r="T57" s="53">
        <f t="shared" si="28"/>
        <v>0</v>
      </c>
      <c r="U57" s="82">
        <f t="shared" si="29"/>
        <v>0</v>
      </c>
    </row>
    <row r="58" spans="1:21" s="23" customFormat="1">
      <c r="A58" s="210"/>
      <c r="B58" s="93">
        <v>105</v>
      </c>
      <c r="C58" s="28">
        <v>33</v>
      </c>
      <c r="D58" s="18" t="s">
        <v>188</v>
      </c>
      <c r="E58" s="19">
        <v>0</v>
      </c>
      <c r="F58" s="15">
        <f>References!$D$7</f>
        <v>4.333333333333333</v>
      </c>
      <c r="G58" s="60">
        <f t="shared" si="19"/>
        <v>0</v>
      </c>
      <c r="H58" s="14">
        <v>473</v>
      </c>
      <c r="I58" s="14">
        <f t="shared" si="22"/>
        <v>0</v>
      </c>
      <c r="J58" s="20">
        <f t="shared" si="23"/>
        <v>0</v>
      </c>
      <c r="K58" s="51">
        <f>References!$C$17*J58</f>
        <v>0</v>
      </c>
      <c r="L58" s="57">
        <f>K58/References!$F$18</f>
        <v>0</v>
      </c>
      <c r="M58" s="57" t="e">
        <f t="shared" si="24"/>
        <v>#DIV/0!</v>
      </c>
      <c r="N58" s="51">
        <v>29.77</v>
      </c>
      <c r="O58" s="57">
        <f t="shared" si="1"/>
        <v>32.352704572074629</v>
      </c>
      <c r="P58" s="51">
        <f>+P87</f>
        <v>33.069963054357771</v>
      </c>
      <c r="Q58" s="53">
        <f t="shared" si="25"/>
        <v>0</v>
      </c>
      <c r="R58" s="53">
        <f t="shared" si="26"/>
        <v>0</v>
      </c>
      <c r="S58" s="53">
        <f t="shared" si="27"/>
        <v>0</v>
      </c>
      <c r="T58" s="53">
        <f t="shared" si="28"/>
        <v>0</v>
      </c>
      <c r="U58" s="82">
        <f t="shared" si="29"/>
        <v>0</v>
      </c>
    </row>
    <row r="59" spans="1:21" s="23" customFormat="1">
      <c r="A59" s="210"/>
      <c r="B59" s="93">
        <v>105</v>
      </c>
      <c r="C59" s="28">
        <v>33</v>
      </c>
      <c r="D59" s="18" t="s">
        <v>189</v>
      </c>
      <c r="E59" s="19">
        <v>46</v>
      </c>
      <c r="F59" s="15">
        <f>References!$D$7</f>
        <v>4.333333333333333</v>
      </c>
      <c r="G59" s="60">
        <f t="shared" si="19"/>
        <v>2392</v>
      </c>
      <c r="H59" s="14"/>
      <c r="I59" s="14">
        <f t="shared" si="22"/>
        <v>0</v>
      </c>
      <c r="J59" s="20">
        <f t="shared" si="23"/>
        <v>0</v>
      </c>
      <c r="K59" s="51">
        <f>References!$C$17*J59</f>
        <v>0</v>
      </c>
      <c r="L59" s="57">
        <f>K59/References!$F$18</f>
        <v>0</v>
      </c>
      <c r="M59" s="57">
        <f t="shared" si="24"/>
        <v>0</v>
      </c>
      <c r="N59" s="51">
        <v>4.47</v>
      </c>
      <c r="O59" s="57">
        <f t="shared" si="1"/>
        <v>4.8577960845540336</v>
      </c>
      <c r="P59" s="51">
        <f t="shared" si="30"/>
        <v>4.8577960845540336</v>
      </c>
      <c r="Q59" s="53">
        <f>E59*N59*12*F59</f>
        <v>10692.239999999998</v>
      </c>
      <c r="R59" s="53">
        <f>E59*P59*12*F59</f>
        <v>11619.848234253246</v>
      </c>
      <c r="S59" s="53">
        <f t="shared" si="27"/>
        <v>927.60823425324816</v>
      </c>
      <c r="T59" s="53">
        <f t="shared" si="28"/>
        <v>2681.5034386738262</v>
      </c>
      <c r="U59" s="82">
        <f t="shared" si="29"/>
        <v>-8010.7365613261718</v>
      </c>
    </row>
    <row r="60" spans="1:21" s="23" customFormat="1">
      <c r="A60" s="210"/>
      <c r="B60" s="93">
        <v>105</v>
      </c>
      <c r="C60" s="28">
        <v>33</v>
      </c>
      <c r="D60" s="18" t="s">
        <v>190</v>
      </c>
      <c r="E60" s="19"/>
      <c r="F60" s="15">
        <v>1</v>
      </c>
      <c r="G60" s="60">
        <f t="shared" si="19"/>
        <v>0</v>
      </c>
      <c r="H60" s="14">
        <v>473</v>
      </c>
      <c r="I60" s="14">
        <f t="shared" si="22"/>
        <v>0</v>
      </c>
      <c r="J60" s="20">
        <f t="shared" si="23"/>
        <v>0</v>
      </c>
      <c r="K60" s="51">
        <f>References!$C$17*J60</f>
        <v>0</v>
      </c>
      <c r="L60" s="57">
        <f>K60/References!$F$18</f>
        <v>0</v>
      </c>
      <c r="M60" s="57" t="e">
        <f t="shared" si="24"/>
        <v>#DIV/0!</v>
      </c>
      <c r="N60" s="51">
        <v>33.49</v>
      </c>
      <c r="O60" s="57">
        <f t="shared" si="1"/>
        <v>36.395434199488726</v>
      </c>
      <c r="P60" s="51">
        <f t="shared" si="30"/>
        <v>36.395434199488726</v>
      </c>
      <c r="Q60" s="53">
        <f t="shared" si="25"/>
        <v>0</v>
      </c>
      <c r="R60" s="53">
        <f t="shared" si="26"/>
        <v>0</v>
      </c>
      <c r="S60" s="53">
        <f t="shared" si="27"/>
        <v>0</v>
      </c>
      <c r="T60" s="53">
        <f t="shared" si="28"/>
        <v>0</v>
      </c>
      <c r="U60" s="82">
        <f t="shared" si="29"/>
        <v>0</v>
      </c>
    </row>
    <row r="61" spans="1:21" s="23" customFormat="1">
      <c r="A61" s="210"/>
      <c r="B61" s="93">
        <v>105</v>
      </c>
      <c r="C61" s="28">
        <v>33</v>
      </c>
      <c r="D61" s="18" t="s">
        <v>194</v>
      </c>
      <c r="E61" s="19"/>
      <c r="F61" s="15">
        <v>1</v>
      </c>
      <c r="G61" s="60">
        <f t="shared" si="19"/>
        <v>0</v>
      </c>
      <c r="H61" s="14"/>
      <c r="I61" s="14">
        <f t="shared" si="22"/>
        <v>0</v>
      </c>
      <c r="J61" s="20">
        <f t="shared" si="23"/>
        <v>0</v>
      </c>
      <c r="K61" s="51">
        <f>References!$C$17*J61</f>
        <v>0</v>
      </c>
      <c r="L61" s="57">
        <f>K61/References!$F$18</f>
        <v>0</v>
      </c>
      <c r="M61" s="57" t="e">
        <f t="shared" si="24"/>
        <v>#DIV/0!</v>
      </c>
      <c r="N61" s="51">
        <v>7.31</v>
      </c>
      <c r="O61" s="57">
        <f t="shared" si="1"/>
        <v>7.9441810689239336</v>
      </c>
      <c r="P61" s="51">
        <f t="shared" si="30"/>
        <v>7.9441810689239336</v>
      </c>
      <c r="Q61" s="53">
        <f t="shared" si="25"/>
        <v>0</v>
      </c>
      <c r="R61" s="53">
        <f t="shared" si="26"/>
        <v>0</v>
      </c>
      <c r="S61" s="53">
        <f t="shared" si="27"/>
        <v>0</v>
      </c>
      <c r="T61" s="53">
        <f t="shared" si="28"/>
        <v>0</v>
      </c>
      <c r="U61" s="82">
        <f t="shared" si="29"/>
        <v>0</v>
      </c>
    </row>
    <row r="62" spans="1:21" s="23" customFormat="1">
      <c r="A62" s="210"/>
      <c r="B62" s="93">
        <v>105</v>
      </c>
      <c r="C62" s="28">
        <v>33</v>
      </c>
      <c r="D62" s="18" t="s">
        <v>195</v>
      </c>
      <c r="E62" s="19">
        <v>0</v>
      </c>
      <c r="F62" s="15">
        <f>References!$D$7</f>
        <v>4.333333333333333</v>
      </c>
      <c r="G62" s="60">
        <f t="shared" si="19"/>
        <v>0</v>
      </c>
      <c r="H62" s="14">
        <v>613</v>
      </c>
      <c r="I62" s="14">
        <f t="shared" si="22"/>
        <v>0</v>
      </c>
      <c r="J62" s="20">
        <f t="shared" si="23"/>
        <v>0</v>
      </c>
      <c r="K62" s="51">
        <f>References!$C$17*J62</f>
        <v>0</v>
      </c>
      <c r="L62" s="57">
        <f>K62/References!$F$18</f>
        <v>0</v>
      </c>
      <c r="M62" s="57" t="e">
        <f t="shared" si="24"/>
        <v>#DIV/0!</v>
      </c>
      <c r="N62" s="51">
        <v>38.5</v>
      </c>
      <c r="O62" s="57">
        <f t="shared" si="1"/>
        <v>41.840078133183511</v>
      </c>
      <c r="P62" s="51">
        <f>+P90</f>
        <v>42.774687670703969</v>
      </c>
      <c r="Q62" s="53">
        <f t="shared" si="25"/>
        <v>0</v>
      </c>
      <c r="R62" s="53">
        <f t="shared" si="26"/>
        <v>0</v>
      </c>
      <c r="S62" s="53">
        <f t="shared" si="27"/>
        <v>0</v>
      </c>
      <c r="T62" s="53">
        <f t="shared" si="28"/>
        <v>0</v>
      </c>
      <c r="U62" s="82">
        <f t="shared" si="29"/>
        <v>0</v>
      </c>
    </row>
    <row r="63" spans="1:21" s="23" customFormat="1">
      <c r="A63" s="210"/>
      <c r="B63" s="93">
        <v>105</v>
      </c>
      <c r="C63" s="28">
        <v>33</v>
      </c>
      <c r="D63" s="18" t="s">
        <v>196</v>
      </c>
      <c r="E63" s="19">
        <v>57</v>
      </c>
      <c r="F63" s="15">
        <f>References!$D$7</f>
        <v>4.333333333333333</v>
      </c>
      <c r="G63" s="60">
        <f t="shared" si="19"/>
        <v>2963.9999999999995</v>
      </c>
      <c r="H63" s="14"/>
      <c r="I63" s="14">
        <f t="shared" si="22"/>
        <v>0</v>
      </c>
      <c r="J63" s="20">
        <f t="shared" si="23"/>
        <v>0</v>
      </c>
      <c r="K63" s="51">
        <f>References!$C$17*J63</f>
        <v>0</v>
      </c>
      <c r="L63" s="57">
        <f>K63/References!$F$18</f>
        <v>0</v>
      </c>
      <c r="M63" s="57">
        <f t="shared" si="24"/>
        <v>0</v>
      </c>
      <c r="N63" s="51">
        <v>5.75</v>
      </c>
      <c r="O63" s="57">
        <f t="shared" si="1"/>
        <v>6.2488428380728616</v>
      </c>
      <c r="P63" s="51">
        <f t="shared" si="30"/>
        <v>6.2488428380728616</v>
      </c>
      <c r="Q63" s="53">
        <f>E63*N63*12*F63</f>
        <v>17043</v>
      </c>
      <c r="R63" s="53">
        <f>E63*P63*12*F63</f>
        <v>18521.570172047959</v>
      </c>
      <c r="S63" s="53">
        <f t="shared" si="27"/>
        <v>1478.5701720479592</v>
      </c>
      <c r="T63" s="53">
        <f t="shared" si="28"/>
        <v>4274.2085012418374</v>
      </c>
      <c r="U63" s="82">
        <f t="shared" si="29"/>
        <v>-12768.791498758163</v>
      </c>
    </row>
    <row r="64" spans="1:21" s="23" customFormat="1">
      <c r="A64" s="210"/>
      <c r="B64" s="93">
        <v>105</v>
      </c>
      <c r="C64" s="28">
        <v>33</v>
      </c>
      <c r="D64" s="18" t="s">
        <v>197</v>
      </c>
      <c r="E64" s="19"/>
      <c r="F64" s="15">
        <v>1</v>
      </c>
      <c r="G64" s="60">
        <f t="shared" si="19"/>
        <v>0</v>
      </c>
      <c r="H64" s="14">
        <v>613</v>
      </c>
      <c r="I64" s="14">
        <f t="shared" si="22"/>
        <v>0</v>
      </c>
      <c r="J64" s="20">
        <f t="shared" si="23"/>
        <v>0</v>
      </c>
      <c r="K64" s="51">
        <f>References!$C$17*J64</f>
        <v>0</v>
      </c>
      <c r="L64" s="57">
        <f>K64/References!$F$18</f>
        <v>0</v>
      </c>
      <c r="M64" s="57" t="e">
        <f t="shared" si="24"/>
        <v>#DIV/0!</v>
      </c>
      <c r="N64" s="51">
        <v>42.03</v>
      </c>
      <c r="O64" s="57">
        <f t="shared" si="1"/>
        <v>45.676324258122158</v>
      </c>
      <c r="P64" s="51">
        <f t="shared" si="30"/>
        <v>45.676324258122158</v>
      </c>
      <c r="Q64" s="53">
        <f t="shared" si="25"/>
        <v>0</v>
      </c>
      <c r="R64" s="53">
        <f t="shared" si="26"/>
        <v>0</v>
      </c>
      <c r="S64" s="53">
        <f t="shared" si="27"/>
        <v>0</v>
      </c>
      <c r="T64" s="53">
        <f t="shared" si="28"/>
        <v>0</v>
      </c>
      <c r="U64" s="82">
        <f t="shared" si="29"/>
        <v>0</v>
      </c>
    </row>
    <row r="65" spans="1:21" s="23" customFormat="1">
      <c r="A65" s="210"/>
      <c r="B65" s="93">
        <v>105</v>
      </c>
      <c r="C65" s="28">
        <v>33</v>
      </c>
      <c r="D65" s="18" t="s">
        <v>198</v>
      </c>
      <c r="E65" s="19"/>
      <c r="F65" s="15">
        <v>1</v>
      </c>
      <c r="G65" s="60">
        <f t="shared" si="19"/>
        <v>0</v>
      </c>
      <c r="H65" s="14"/>
      <c r="I65" s="14">
        <f t="shared" si="22"/>
        <v>0</v>
      </c>
      <c r="J65" s="20">
        <f t="shared" si="23"/>
        <v>0</v>
      </c>
      <c r="K65" s="51">
        <f>References!$C$17*J65</f>
        <v>0</v>
      </c>
      <c r="L65" s="57">
        <f>K65/References!$F$18</f>
        <v>0</v>
      </c>
      <c r="M65" s="57" t="e">
        <f t="shared" si="24"/>
        <v>#DIV/0!</v>
      </c>
      <c r="N65" s="51">
        <v>11.26</v>
      </c>
      <c r="O65" s="57">
        <f t="shared" si="1"/>
        <v>12.236864409860944</v>
      </c>
      <c r="P65" s="51">
        <f t="shared" si="30"/>
        <v>12.236864409860944</v>
      </c>
      <c r="Q65" s="53">
        <f t="shared" si="25"/>
        <v>0</v>
      </c>
      <c r="R65" s="53">
        <f t="shared" si="26"/>
        <v>0</v>
      </c>
      <c r="S65" s="53">
        <f t="shared" si="27"/>
        <v>0</v>
      </c>
      <c r="T65" s="53">
        <f t="shared" si="28"/>
        <v>0</v>
      </c>
      <c r="U65" s="82">
        <f t="shared" si="29"/>
        <v>0</v>
      </c>
    </row>
    <row r="66" spans="1:21" s="23" customFormat="1">
      <c r="A66" s="210"/>
      <c r="B66" s="93">
        <v>105</v>
      </c>
      <c r="C66" s="28">
        <v>33</v>
      </c>
      <c r="D66" s="18" t="s">
        <v>199</v>
      </c>
      <c r="E66" s="19">
        <v>0</v>
      </c>
      <c r="F66" s="15">
        <f>References!$D$7</f>
        <v>4.333333333333333</v>
      </c>
      <c r="G66" s="60">
        <f t="shared" si="19"/>
        <v>0</v>
      </c>
      <c r="H66" s="14">
        <v>840</v>
      </c>
      <c r="I66" s="14">
        <f t="shared" si="22"/>
        <v>0</v>
      </c>
      <c r="J66" s="20">
        <f t="shared" si="23"/>
        <v>0</v>
      </c>
      <c r="K66" s="51">
        <f>References!$C$17*J66</f>
        <v>0</v>
      </c>
      <c r="L66" s="57">
        <f>K66/References!$F$18</f>
        <v>0</v>
      </c>
      <c r="M66" s="57" t="e">
        <f t="shared" si="24"/>
        <v>#DIV/0!</v>
      </c>
      <c r="N66" s="51">
        <v>54.68</v>
      </c>
      <c r="O66" s="57">
        <f t="shared" si="1"/>
        <v>59.423778501882452</v>
      </c>
      <c r="P66" s="51">
        <f>+P93</f>
        <v>60.695282175020758</v>
      </c>
      <c r="Q66" s="53">
        <f t="shared" si="25"/>
        <v>0</v>
      </c>
      <c r="R66" s="53">
        <f t="shared" si="26"/>
        <v>0</v>
      </c>
      <c r="S66" s="53">
        <f t="shared" si="27"/>
        <v>0</v>
      </c>
      <c r="T66" s="53">
        <f t="shared" si="28"/>
        <v>0</v>
      </c>
      <c r="U66" s="82">
        <f t="shared" si="29"/>
        <v>0</v>
      </c>
    </row>
    <row r="67" spans="1:21" s="23" customFormat="1">
      <c r="A67" s="210"/>
      <c r="B67" s="93">
        <v>105</v>
      </c>
      <c r="C67" s="28">
        <v>33</v>
      </c>
      <c r="D67" s="18" t="s">
        <v>200</v>
      </c>
      <c r="E67" s="19">
        <v>142</v>
      </c>
      <c r="F67" s="15">
        <f>References!$D$7</f>
        <v>4.333333333333333</v>
      </c>
      <c r="G67" s="60">
        <f t="shared" si="19"/>
        <v>7383.9999999999991</v>
      </c>
      <c r="H67" s="14"/>
      <c r="I67" s="14">
        <f t="shared" si="22"/>
        <v>0</v>
      </c>
      <c r="J67" s="20">
        <f t="shared" si="23"/>
        <v>0</v>
      </c>
      <c r="K67" s="51">
        <f>References!$C$17*J67</f>
        <v>0</v>
      </c>
      <c r="L67" s="57">
        <f>K67/References!$F$18</f>
        <v>0</v>
      </c>
      <c r="M67" s="57">
        <f t="shared" si="24"/>
        <v>0</v>
      </c>
      <c r="N67" s="51">
        <v>8.1</v>
      </c>
      <c r="O67" s="57">
        <f t="shared" si="1"/>
        <v>8.802717737111335</v>
      </c>
      <c r="P67" s="51">
        <f t="shared" si="30"/>
        <v>8.802717737111335</v>
      </c>
      <c r="Q67" s="53">
        <f>E67*N67*12*F67</f>
        <v>59810.400000000001</v>
      </c>
      <c r="R67" s="53">
        <f>E67*P67*12*F67</f>
        <v>64999.267770830091</v>
      </c>
      <c r="S67" s="53">
        <f t="shared" si="27"/>
        <v>5188.8677708300893</v>
      </c>
      <c r="T67" s="53">
        <f t="shared" si="28"/>
        <v>14999.831024037714</v>
      </c>
      <c r="U67" s="82">
        <f t="shared" si="29"/>
        <v>-44810.568975962291</v>
      </c>
    </row>
    <row r="68" spans="1:21" s="23" customFormat="1">
      <c r="A68" s="210"/>
      <c r="B68" s="93">
        <v>105</v>
      </c>
      <c r="C68" s="28">
        <v>33</v>
      </c>
      <c r="D68" s="18" t="s">
        <v>201</v>
      </c>
      <c r="E68" s="19"/>
      <c r="F68" s="15">
        <v>1</v>
      </c>
      <c r="G68" s="60">
        <f t="shared" si="19"/>
        <v>0</v>
      </c>
      <c r="H68" s="14">
        <v>840</v>
      </c>
      <c r="I68" s="14">
        <f t="shared" si="22"/>
        <v>0</v>
      </c>
      <c r="J68" s="20">
        <f t="shared" si="23"/>
        <v>0</v>
      </c>
      <c r="K68" s="51">
        <f>References!$C$17*J68</f>
        <v>0</v>
      </c>
      <c r="L68" s="57">
        <f>K68/References!$F$18</f>
        <v>0</v>
      </c>
      <c r="M68" s="57" t="e">
        <f t="shared" si="24"/>
        <v>#DIV/0!</v>
      </c>
      <c r="N68" s="51">
        <v>57.97</v>
      </c>
      <c r="O68" s="57">
        <f t="shared" si="1"/>
        <v>62.999203360536313</v>
      </c>
      <c r="P68" s="51">
        <f>+P94</f>
        <v>62.977468255012582</v>
      </c>
      <c r="Q68" s="53">
        <f t="shared" si="25"/>
        <v>0</v>
      </c>
      <c r="R68" s="53">
        <f t="shared" si="26"/>
        <v>0</v>
      </c>
      <c r="S68" s="53">
        <f t="shared" si="27"/>
        <v>0</v>
      </c>
      <c r="T68" s="53">
        <f t="shared" si="28"/>
        <v>0</v>
      </c>
      <c r="U68" s="82">
        <f t="shared" si="29"/>
        <v>0</v>
      </c>
    </row>
    <row r="69" spans="1:21" s="23" customFormat="1">
      <c r="A69" s="210"/>
      <c r="B69" s="93">
        <v>105</v>
      </c>
      <c r="C69" s="28">
        <v>33</v>
      </c>
      <c r="D69" s="18" t="s">
        <v>202</v>
      </c>
      <c r="E69" s="19"/>
      <c r="F69" s="15">
        <v>1</v>
      </c>
      <c r="G69" s="60">
        <f t="shared" si="19"/>
        <v>0</v>
      </c>
      <c r="H69" s="14"/>
      <c r="I69" s="14">
        <f t="shared" si="22"/>
        <v>0</v>
      </c>
      <c r="J69" s="20">
        <f t="shared" si="23"/>
        <v>0</v>
      </c>
      <c r="K69" s="51">
        <f>References!$C$17*J69</f>
        <v>0</v>
      </c>
      <c r="L69" s="57">
        <f>K69/References!$F$18</f>
        <v>0</v>
      </c>
      <c r="M69" s="57" t="e">
        <f t="shared" si="24"/>
        <v>#DIV/0!</v>
      </c>
      <c r="N69" s="51">
        <v>13.34</v>
      </c>
      <c r="O69" s="57">
        <f t="shared" si="1"/>
        <v>14.49731538432904</v>
      </c>
      <c r="P69" s="51">
        <f t="shared" si="30"/>
        <v>14.49731538432904</v>
      </c>
      <c r="Q69" s="53">
        <f t="shared" si="25"/>
        <v>0</v>
      </c>
      <c r="R69" s="53">
        <f t="shared" si="26"/>
        <v>0</v>
      </c>
      <c r="S69" s="53">
        <f t="shared" si="27"/>
        <v>0</v>
      </c>
      <c r="T69" s="53">
        <f t="shared" si="28"/>
        <v>0</v>
      </c>
      <c r="U69" s="82">
        <f t="shared" si="29"/>
        <v>0</v>
      </c>
    </row>
    <row r="70" spans="1:21" s="23" customFormat="1">
      <c r="A70" s="210"/>
      <c r="B70" s="93">
        <v>105</v>
      </c>
      <c r="C70" s="28">
        <v>33</v>
      </c>
      <c r="D70" s="18" t="s">
        <v>203</v>
      </c>
      <c r="E70" s="19">
        <v>0</v>
      </c>
      <c r="F70" s="15">
        <f>References!$D$7</f>
        <v>4.333333333333333</v>
      </c>
      <c r="G70" s="60">
        <f t="shared" si="19"/>
        <v>0</v>
      </c>
      <c r="H70" s="14">
        <v>980</v>
      </c>
      <c r="I70" s="14">
        <f t="shared" si="22"/>
        <v>0</v>
      </c>
      <c r="J70" s="20">
        <f t="shared" si="23"/>
        <v>0</v>
      </c>
      <c r="K70" s="51">
        <f>References!$C$17*J70</f>
        <v>0</v>
      </c>
      <c r="L70" s="57">
        <f>K70/References!$F$18</f>
        <v>0</v>
      </c>
      <c r="M70" s="57" t="e">
        <f t="shared" si="24"/>
        <v>#DIV/0!</v>
      </c>
      <c r="N70" s="51">
        <v>71.8</v>
      </c>
      <c r="O70" s="57">
        <f t="shared" si="1"/>
        <v>78.029028830196779</v>
      </c>
      <c r="P70" s="51">
        <f>+P96</f>
        <v>79.517883558572407</v>
      </c>
      <c r="Q70" s="53">
        <f t="shared" si="25"/>
        <v>0</v>
      </c>
      <c r="R70" s="53">
        <f t="shared" si="26"/>
        <v>0</v>
      </c>
      <c r="S70" s="53">
        <f t="shared" si="27"/>
        <v>0</v>
      </c>
      <c r="T70" s="53">
        <f t="shared" si="28"/>
        <v>0</v>
      </c>
      <c r="U70" s="82">
        <f t="shared" si="29"/>
        <v>0</v>
      </c>
    </row>
    <row r="71" spans="1:21" s="23" customFormat="1">
      <c r="A71" s="210"/>
      <c r="B71" s="93">
        <v>105</v>
      </c>
      <c r="C71" s="28">
        <v>33</v>
      </c>
      <c r="D71" s="18" t="s">
        <v>204</v>
      </c>
      <c r="E71" s="19">
        <v>105</v>
      </c>
      <c r="F71" s="15">
        <f>References!$D$7</f>
        <v>4.333333333333333</v>
      </c>
      <c r="G71" s="60">
        <f t="shared" si="19"/>
        <v>5459.9999999999991</v>
      </c>
      <c r="H71" s="14"/>
      <c r="I71" s="14">
        <f t="shared" si="22"/>
        <v>0</v>
      </c>
      <c r="J71" s="20">
        <f t="shared" si="23"/>
        <v>0</v>
      </c>
      <c r="K71" s="51">
        <f>References!$C$17*J71</f>
        <v>0</v>
      </c>
      <c r="L71" s="57">
        <f>K71/References!$F$18</f>
        <v>0</v>
      </c>
      <c r="M71" s="57">
        <f t="shared" si="24"/>
        <v>0</v>
      </c>
      <c r="N71" s="51">
        <v>10.6</v>
      </c>
      <c r="O71" s="57">
        <f t="shared" si="1"/>
        <v>11.519605927577798</v>
      </c>
      <c r="P71" s="51">
        <f t="shared" si="30"/>
        <v>11.519605927577798</v>
      </c>
      <c r="Q71" s="53">
        <f>E71*N71*12*F71</f>
        <v>57875.999999999993</v>
      </c>
      <c r="R71" s="53">
        <f>E71*P71*12*F71</f>
        <v>62897.048364574774</v>
      </c>
      <c r="S71" s="53">
        <f t="shared" si="27"/>
        <v>5021.0483645747809</v>
      </c>
      <c r="T71" s="53">
        <f t="shared" si="28"/>
        <v>14514.703468748026</v>
      </c>
      <c r="U71" s="82">
        <f t="shared" si="29"/>
        <v>-43361.296531251966</v>
      </c>
    </row>
    <row r="72" spans="1:21" s="23" customFormat="1">
      <c r="A72" s="210"/>
      <c r="B72" s="93">
        <v>105</v>
      </c>
      <c r="C72" s="28">
        <v>33</v>
      </c>
      <c r="D72" s="18" t="s">
        <v>205</v>
      </c>
      <c r="E72" s="19"/>
      <c r="F72" s="15">
        <v>1</v>
      </c>
      <c r="G72" s="60">
        <f t="shared" si="19"/>
        <v>0</v>
      </c>
      <c r="H72" s="14">
        <v>980</v>
      </c>
      <c r="I72" s="14">
        <f t="shared" si="22"/>
        <v>0</v>
      </c>
      <c r="J72" s="20">
        <f t="shared" si="23"/>
        <v>0</v>
      </c>
      <c r="K72" s="51">
        <f>References!$C$17*J72</f>
        <v>0</v>
      </c>
      <c r="L72" s="57">
        <f>K72/References!$F$18</f>
        <v>0</v>
      </c>
      <c r="M72" s="57" t="e">
        <f t="shared" si="24"/>
        <v>#DIV/0!</v>
      </c>
      <c r="N72" s="51">
        <v>74.84</v>
      </c>
      <c r="O72" s="57">
        <f t="shared" si="1"/>
        <v>81.332764869803995</v>
      </c>
      <c r="P72" s="51">
        <f t="shared" si="30"/>
        <v>81.332764869803995</v>
      </c>
      <c r="Q72" s="53">
        <f t="shared" si="25"/>
        <v>0</v>
      </c>
      <c r="R72" s="53">
        <f t="shared" si="26"/>
        <v>0</v>
      </c>
      <c r="S72" s="53">
        <f t="shared" si="27"/>
        <v>0</v>
      </c>
      <c r="T72" s="53">
        <f t="shared" si="28"/>
        <v>0</v>
      </c>
      <c r="U72" s="82">
        <f t="shared" si="29"/>
        <v>0</v>
      </c>
    </row>
    <row r="73" spans="1:21" s="23" customFormat="1">
      <c r="A73" s="210"/>
      <c r="B73" s="93">
        <v>105</v>
      </c>
      <c r="C73" s="28">
        <v>33</v>
      </c>
      <c r="D73" s="18" t="s">
        <v>206</v>
      </c>
      <c r="E73" s="19"/>
      <c r="F73" s="15">
        <v>1</v>
      </c>
      <c r="G73" s="60">
        <f t="shared" si="19"/>
        <v>0</v>
      </c>
      <c r="H73" s="14"/>
      <c r="I73" s="14">
        <f t="shared" si="22"/>
        <v>0</v>
      </c>
      <c r="J73" s="20">
        <f t="shared" si="23"/>
        <v>0</v>
      </c>
      <c r="K73" s="51">
        <f>References!$C$17*J73</f>
        <v>0</v>
      </c>
      <c r="L73" s="57">
        <f>K73/References!$F$18</f>
        <v>0</v>
      </c>
      <c r="M73" s="57" t="e">
        <f t="shared" si="24"/>
        <v>#DIV/0!</v>
      </c>
      <c r="N73" s="51">
        <v>3.45</v>
      </c>
      <c r="O73" s="57">
        <f t="shared" si="1"/>
        <v>3.7493057028437171</v>
      </c>
      <c r="P73" s="51">
        <f>+P186</f>
        <v>3.8036434666530465</v>
      </c>
      <c r="Q73" s="53">
        <f t="shared" si="25"/>
        <v>0</v>
      </c>
      <c r="R73" s="53">
        <f t="shared" si="26"/>
        <v>0</v>
      </c>
      <c r="S73" s="53">
        <f t="shared" si="27"/>
        <v>0</v>
      </c>
      <c r="T73" s="53">
        <f t="shared" si="28"/>
        <v>0</v>
      </c>
      <c r="U73" s="82">
        <f t="shared" si="29"/>
        <v>0</v>
      </c>
    </row>
    <row r="74" spans="1:21" s="23" customFormat="1">
      <c r="A74" s="190"/>
      <c r="B74" s="115"/>
      <c r="C74" s="115"/>
      <c r="D74" s="18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  <row r="75" spans="1:21" s="23" customFormat="1">
      <c r="A75" s="65"/>
      <c r="B75" s="95"/>
      <c r="C75" s="192"/>
      <c r="D75" s="64" t="s">
        <v>25</v>
      </c>
      <c r="E75" s="193">
        <f>SUM(E14:E74)</f>
        <v>12631.899999999998</v>
      </c>
      <c r="F75" s="194"/>
      <c r="G75" s="195">
        <f>SUM(G27:G74)</f>
        <v>474000.8</v>
      </c>
      <c r="H75" s="193">
        <f>SUM(H14:H74)</f>
        <v>8761</v>
      </c>
      <c r="I75" s="193">
        <f>SUM(I14:I74)</f>
        <v>13777254.399999999</v>
      </c>
      <c r="J75" s="193">
        <f>SUM(J14:J74)</f>
        <v>0</v>
      </c>
      <c r="K75" s="194"/>
      <c r="L75" s="194"/>
      <c r="M75" s="194"/>
      <c r="N75" s="194"/>
      <c r="O75" s="194"/>
      <c r="P75" s="194"/>
      <c r="Q75" s="193">
        <f>SUM(Q42:Q74)</f>
        <v>169074.36</v>
      </c>
      <c r="R75" s="193">
        <f>SUM(R42:R74)</f>
        <v>183742.45279787004</v>
      </c>
      <c r="S75" s="193">
        <f>SUM(S14:S74)</f>
        <v>164802.23881993434</v>
      </c>
      <c r="T75" s="193">
        <f>SUM(T14:T74)</f>
        <v>1549239.3485138805</v>
      </c>
      <c r="U75" s="193">
        <f>SUM(U14:U74)</f>
        <v>23461.890513880484</v>
      </c>
    </row>
    <row r="76" spans="1:21" s="23" customFormat="1">
      <c r="A76" s="121"/>
      <c r="B76" s="121"/>
      <c r="C76" s="28"/>
      <c r="D76" s="48" t="s">
        <v>151</v>
      </c>
      <c r="E76" s="49"/>
      <c r="F76" s="15"/>
      <c r="G76" s="61"/>
      <c r="H76" s="14"/>
      <c r="I76" s="49"/>
      <c r="J76" s="49"/>
      <c r="K76" s="15"/>
      <c r="L76" s="15"/>
      <c r="M76" s="15"/>
      <c r="N76" s="15"/>
      <c r="O76" s="15"/>
      <c r="P76" s="15"/>
      <c r="Q76" s="55"/>
      <c r="R76" s="55"/>
      <c r="S76" s="55"/>
      <c r="T76" s="55"/>
      <c r="U76" s="55"/>
    </row>
    <row r="77" spans="1:21" s="23" customFormat="1">
      <c r="A77" s="210" t="s">
        <v>307</v>
      </c>
      <c r="B77" s="93">
        <v>240</v>
      </c>
      <c r="C77" s="28">
        <v>42</v>
      </c>
      <c r="D77" s="18" t="s">
        <v>101</v>
      </c>
      <c r="E77" s="19">
        <v>152</v>
      </c>
      <c r="F77" s="15">
        <f>References!D9</f>
        <v>1</v>
      </c>
      <c r="G77" s="60">
        <f>E77*F77*12</f>
        <v>1824</v>
      </c>
      <c r="H77" s="14">
        <v>0</v>
      </c>
      <c r="I77" s="14">
        <f t="shared" si="9"/>
        <v>0</v>
      </c>
      <c r="J77" s="20">
        <f t="shared" ref="J77:J98" si="31">$E$298*I77</f>
        <v>0</v>
      </c>
      <c r="K77" s="51">
        <f>References!$C$17*J77</f>
        <v>0</v>
      </c>
      <c r="L77" s="57">
        <f>K77/References!$F$18</f>
        <v>0</v>
      </c>
      <c r="M77" s="57">
        <f t="shared" si="10"/>
        <v>0</v>
      </c>
      <c r="N77" s="51">
        <v>4.16</v>
      </c>
      <c r="O77" s="57">
        <f t="shared" ref="O77:O98" si="32">+N77*$E$7+N77</f>
        <v>4.5209019489361921</v>
      </c>
      <c r="P77" s="51">
        <f>O77</f>
        <v>4.5209019489361921</v>
      </c>
      <c r="Q77" s="53">
        <f>G77*N77</f>
        <v>7587.84</v>
      </c>
      <c r="R77" s="53">
        <f>G77*P77</f>
        <v>8246.1251548596138</v>
      </c>
      <c r="S77" s="53">
        <f t="shared" ref="S77:S97" si="33">R77-Q77</f>
        <v>658.28515485961361</v>
      </c>
      <c r="T77" s="53">
        <f>G77*O77</f>
        <v>8246.1251548596138</v>
      </c>
      <c r="U77" s="82">
        <f t="shared" ref="U77:U97" si="34">T77-Q77</f>
        <v>658.28515485961361</v>
      </c>
    </row>
    <row r="78" spans="1:21" s="23" customFormat="1">
      <c r="A78" s="210"/>
      <c r="B78" s="93">
        <v>240</v>
      </c>
      <c r="C78" s="28">
        <v>42</v>
      </c>
      <c r="D78" s="18" t="s">
        <v>100</v>
      </c>
      <c r="E78" s="19">
        <v>177</v>
      </c>
      <c r="F78" s="15">
        <v>4.33</v>
      </c>
      <c r="G78" s="60">
        <f t="shared" si="8"/>
        <v>9196.92</v>
      </c>
      <c r="H78" s="14">
        <v>175</v>
      </c>
      <c r="I78" s="14">
        <f t="shared" si="9"/>
        <v>1609461</v>
      </c>
      <c r="J78" s="20">
        <f t="shared" si="31"/>
        <v>0</v>
      </c>
      <c r="K78" s="51">
        <f>References!$C$17*J78</f>
        <v>0</v>
      </c>
      <c r="L78" s="57">
        <f>K78/References!$F$18</f>
        <v>0</v>
      </c>
      <c r="M78" s="57">
        <f>L78/G78</f>
        <v>0</v>
      </c>
      <c r="N78" s="51">
        <v>12.03</v>
      </c>
      <c r="O78" s="57">
        <f t="shared" si="32"/>
        <v>13.073665972524614</v>
      </c>
      <c r="P78" s="51">
        <f>O78</f>
        <v>13.073665972524614</v>
      </c>
      <c r="Q78" s="53">
        <f>G78*N78</f>
        <v>110638.9476</v>
      </c>
      <c r="R78" s="53">
        <f>G78*P78</f>
        <v>120237.46005603108</v>
      </c>
      <c r="S78" s="53">
        <f t="shared" si="33"/>
        <v>9598.5124560310796</v>
      </c>
      <c r="T78" s="53">
        <f>G78*O78</f>
        <v>120237.46005603108</v>
      </c>
      <c r="U78" s="82">
        <f t="shared" si="34"/>
        <v>9598.5124560310796</v>
      </c>
    </row>
    <row r="79" spans="1:21" s="23" customFormat="1">
      <c r="A79" s="210"/>
      <c r="B79" s="93">
        <v>240</v>
      </c>
      <c r="C79" s="28">
        <v>42</v>
      </c>
      <c r="D79" s="18" t="s">
        <v>145</v>
      </c>
      <c r="E79" s="19">
        <f>+G79/12</f>
        <v>1</v>
      </c>
      <c r="F79" s="15">
        <v>1</v>
      </c>
      <c r="G79" s="60">
        <v>12</v>
      </c>
      <c r="H79" s="14">
        <v>175</v>
      </c>
      <c r="I79" s="14">
        <f t="shared" ref="I79" si="35">G79*H79</f>
        <v>2100</v>
      </c>
      <c r="J79" s="20">
        <f t="shared" si="31"/>
        <v>0</v>
      </c>
      <c r="K79" s="51">
        <f>References!$C$17*J79</f>
        <v>0</v>
      </c>
      <c r="L79" s="57">
        <f>K79/References!$F$18</f>
        <v>0</v>
      </c>
      <c r="M79" s="57">
        <f>L79/G79</f>
        <v>0</v>
      </c>
      <c r="N79" s="51">
        <v>15.77</v>
      </c>
      <c r="O79" s="57">
        <f t="shared" si="32"/>
        <v>17.138130705462441</v>
      </c>
      <c r="P79" s="51">
        <f>O79</f>
        <v>17.138130705462441</v>
      </c>
      <c r="Q79" s="53">
        <f>G79*N79</f>
        <v>189.24</v>
      </c>
      <c r="R79" s="53">
        <f>G79*P79</f>
        <v>205.65756846554928</v>
      </c>
      <c r="S79" s="53">
        <f t="shared" ref="S79" si="36">R79-Q79</f>
        <v>16.417568465549266</v>
      </c>
      <c r="T79" s="53">
        <f>G79*O79</f>
        <v>205.65756846554928</v>
      </c>
      <c r="U79" s="82">
        <f t="shared" ref="U79" si="37">T79-Q79</f>
        <v>16.417568465549266</v>
      </c>
    </row>
    <row r="80" spans="1:21" s="23" customFormat="1">
      <c r="A80" s="210"/>
      <c r="B80" s="93">
        <v>240</v>
      </c>
      <c r="C80" s="28">
        <v>42</v>
      </c>
      <c r="D80" s="18" t="s">
        <v>102</v>
      </c>
      <c r="E80" s="19">
        <v>20</v>
      </c>
      <c r="F80" s="15">
        <f>References!D9</f>
        <v>1</v>
      </c>
      <c r="G80" s="60">
        <f t="shared" si="8"/>
        <v>240</v>
      </c>
      <c r="H80" s="14">
        <v>0</v>
      </c>
      <c r="I80" s="14">
        <f t="shared" si="9"/>
        <v>0</v>
      </c>
      <c r="J80" s="20">
        <f t="shared" si="31"/>
        <v>0</v>
      </c>
      <c r="K80" s="51">
        <f>References!$C$17*J80</f>
        <v>0</v>
      </c>
      <c r="L80" s="57">
        <f>K80/References!$F$18</f>
        <v>0</v>
      </c>
      <c r="M80" s="57">
        <f t="shared" si="10"/>
        <v>0</v>
      </c>
      <c r="N80" s="51">
        <v>4.74</v>
      </c>
      <c r="O80" s="57">
        <f t="shared" si="32"/>
        <v>5.1512200091244118</v>
      </c>
      <c r="P80" s="51">
        <f t="shared" ref="P80:P150" si="38">O80</f>
        <v>5.1512200091244118</v>
      </c>
      <c r="Q80" s="53">
        <f t="shared" ref="Q80:Q96" si="39">G80*N80</f>
        <v>1137.6000000000001</v>
      </c>
      <c r="R80" s="53">
        <f t="shared" ref="R80:R145" si="40">G80*P80</f>
        <v>1236.2928021898588</v>
      </c>
      <c r="S80" s="53">
        <f t="shared" si="33"/>
        <v>98.692802189858639</v>
      </c>
      <c r="T80" s="53">
        <f t="shared" ref="T80:T150" si="41">G80*O80</f>
        <v>1236.2928021898588</v>
      </c>
      <c r="U80" s="82">
        <f t="shared" si="34"/>
        <v>98.692802189858639</v>
      </c>
    </row>
    <row r="81" spans="1:22" s="23" customFormat="1">
      <c r="A81" s="210"/>
      <c r="B81" s="93">
        <v>240</v>
      </c>
      <c r="C81" s="28">
        <v>42</v>
      </c>
      <c r="D81" s="18" t="s">
        <v>103</v>
      </c>
      <c r="E81" s="19">
        <v>28</v>
      </c>
      <c r="F81" s="15">
        <v>4.33</v>
      </c>
      <c r="G81" s="60">
        <f t="shared" si="8"/>
        <v>1454.88</v>
      </c>
      <c r="H81" s="14">
        <v>250</v>
      </c>
      <c r="I81" s="14">
        <f t="shared" si="9"/>
        <v>363720</v>
      </c>
      <c r="J81" s="20">
        <f t="shared" si="31"/>
        <v>0</v>
      </c>
      <c r="K81" s="51">
        <f>References!$C$17*J81</f>
        <v>0</v>
      </c>
      <c r="L81" s="57">
        <f>K81/References!$F$18</f>
        <v>0</v>
      </c>
      <c r="M81" s="57">
        <f>L81/G81</f>
        <v>0</v>
      </c>
      <c r="N81" s="51">
        <v>16.68</v>
      </c>
      <c r="O81" s="57">
        <f t="shared" si="32"/>
        <v>18.127078006792232</v>
      </c>
      <c r="P81" s="51">
        <f t="shared" si="38"/>
        <v>18.127078006792232</v>
      </c>
      <c r="Q81" s="53">
        <f t="shared" si="39"/>
        <v>24267.398400000002</v>
      </c>
      <c r="R81" s="53">
        <f t="shared" si="40"/>
        <v>26372.723250521885</v>
      </c>
      <c r="S81" s="53">
        <f t="shared" si="33"/>
        <v>2105.3248505218835</v>
      </c>
      <c r="T81" s="53">
        <f t="shared" si="41"/>
        <v>26372.723250521885</v>
      </c>
      <c r="U81" s="82">
        <f t="shared" si="34"/>
        <v>2105.3248505218835</v>
      </c>
    </row>
    <row r="82" spans="1:22" s="23" customFormat="1">
      <c r="A82" s="210"/>
      <c r="B82" s="93">
        <v>240</v>
      </c>
      <c r="C82" s="28">
        <v>42</v>
      </c>
      <c r="D82" s="18" t="s">
        <v>146</v>
      </c>
      <c r="E82" s="19"/>
      <c r="F82" s="15">
        <v>10</v>
      </c>
      <c r="G82" s="60">
        <f t="shared" si="8"/>
        <v>0</v>
      </c>
      <c r="H82" s="14">
        <v>250</v>
      </c>
      <c r="I82" s="14">
        <f t="shared" ref="I82" si="42">G82*H82</f>
        <v>0</v>
      </c>
      <c r="J82" s="20">
        <f t="shared" si="31"/>
        <v>0</v>
      </c>
      <c r="K82" s="51">
        <f>References!$C$17*J82</f>
        <v>0</v>
      </c>
      <c r="L82" s="57">
        <f>K82/References!$F$18</f>
        <v>0</v>
      </c>
      <c r="M82" s="57"/>
      <c r="N82" s="51">
        <v>20.64</v>
      </c>
      <c r="O82" s="57">
        <f t="shared" si="32"/>
        <v>22.430628900491108</v>
      </c>
      <c r="P82" s="51">
        <f t="shared" ref="P82" si="43">O82</f>
        <v>22.430628900491108</v>
      </c>
      <c r="Q82" s="53">
        <f t="shared" ref="Q82" si="44">G82*N82</f>
        <v>0</v>
      </c>
      <c r="R82" s="53">
        <f t="shared" ref="R82" si="45">G82*P82</f>
        <v>0</v>
      </c>
      <c r="S82" s="53">
        <f t="shared" ref="S82" si="46">R82-Q82</f>
        <v>0</v>
      </c>
      <c r="T82" s="53">
        <f t="shared" ref="T82" si="47">G82*O82</f>
        <v>0</v>
      </c>
      <c r="U82" s="82">
        <f t="shared" ref="U82" si="48">T82-Q82</f>
        <v>0</v>
      </c>
    </row>
    <row r="83" spans="1:22" s="23" customFormat="1">
      <c r="A83" s="210"/>
      <c r="B83" s="93">
        <v>240</v>
      </c>
      <c r="C83" s="28">
        <v>42</v>
      </c>
      <c r="D83" s="18" t="s">
        <v>104</v>
      </c>
      <c r="E83" s="19">
        <v>105</v>
      </c>
      <c r="F83" s="15">
        <f>References!D9</f>
        <v>1</v>
      </c>
      <c r="G83" s="60">
        <f t="shared" si="8"/>
        <v>1260</v>
      </c>
      <c r="H83" s="14">
        <v>0</v>
      </c>
      <c r="I83" s="14">
        <f t="shared" si="9"/>
        <v>0</v>
      </c>
      <c r="J83" s="20">
        <f t="shared" si="31"/>
        <v>0</v>
      </c>
      <c r="K83" s="51">
        <f>References!$C$17*J83</f>
        <v>0</v>
      </c>
      <c r="L83" s="57">
        <f>K83/References!$F$18</f>
        <v>0</v>
      </c>
      <c r="M83" s="57">
        <f t="shared" si="10"/>
        <v>0</v>
      </c>
      <c r="N83" s="51">
        <v>5.67</v>
      </c>
      <c r="O83" s="57">
        <f t="shared" si="32"/>
        <v>6.1619024159779352</v>
      </c>
      <c r="P83" s="51">
        <f t="shared" si="38"/>
        <v>6.1619024159779352</v>
      </c>
      <c r="Q83" s="53">
        <f t="shared" si="39"/>
        <v>7144.2</v>
      </c>
      <c r="R83" s="53">
        <f t="shared" si="40"/>
        <v>7763.9970441321984</v>
      </c>
      <c r="S83" s="53">
        <f t="shared" si="33"/>
        <v>619.79704413219861</v>
      </c>
      <c r="T83" s="53">
        <f t="shared" si="41"/>
        <v>7763.9970441321984</v>
      </c>
      <c r="U83" s="82">
        <f t="shared" si="34"/>
        <v>619.79704413219861</v>
      </c>
    </row>
    <row r="84" spans="1:22" s="23" customFormat="1">
      <c r="A84" s="210"/>
      <c r="B84" s="93">
        <v>240</v>
      </c>
      <c r="C84" s="28">
        <v>42</v>
      </c>
      <c r="D84" s="18" t="s">
        <v>105</v>
      </c>
      <c r="E84" s="19">
        <v>152</v>
      </c>
      <c r="F84" s="15">
        <v>4.33</v>
      </c>
      <c r="G84" s="60">
        <f t="shared" si="8"/>
        <v>7897.92</v>
      </c>
      <c r="H84" s="14">
        <v>324</v>
      </c>
      <c r="I84" s="14">
        <f t="shared" si="9"/>
        <v>2558926.08</v>
      </c>
      <c r="J84" s="20">
        <f t="shared" si="31"/>
        <v>0</v>
      </c>
      <c r="K84" s="51">
        <f>References!$C$17*J84</f>
        <v>0</v>
      </c>
      <c r="L84" s="57">
        <f>K84/References!$F$18</f>
        <v>0</v>
      </c>
      <c r="M84" s="57">
        <f>L84/G84</f>
        <v>0</v>
      </c>
      <c r="N84" s="51">
        <v>21.64</v>
      </c>
      <c r="O84" s="57">
        <f t="shared" si="32"/>
        <v>23.517384176677695</v>
      </c>
      <c r="P84" s="51">
        <f t="shared" si="38"/>
        <v>23.517384176677695</v>
      </c>
      <c r="Q84" s="53">
        <f t="shared" si="39"/>
        <v>170910.98879999999</v>
      </c>
      <c r="R84" s="53">
        <f t="shared" si="40"/>
        <v>185738.4188366663</v>
      </c>
      <c r="S84" s="53">
        <f t="shared" si="33"/>
        <v>14827.430036666308</v>
      </c>
      <c r="T84" s="53">
        <f t="shared" si="41"/>
        <v>185738.4188366663</v>
      </c>
      <c r="U84" s="82">
        <f t="shared" si="34"/>
        <v>14827.430036666308</v>
      </c>
    </row>
    <row r="85" spans="1:22" s="23" customFormat="1">
      <c r="A85" s="210"/>
      <c r="B85" s="93">
        <v>240</v>
      </c>
      <c r="C85" s="28">
        <v>42</v>
      </c>
      <c r="D85" s="18" t="s">
        <v>252</v>
      </c>
      <c r="E85" s="19">
        <f>+G85/12</f>
        <v>6.083333333333333</v>
      </c>
      <c r="F85" s="15">
        <v>1</v>
      </c>
      <c r="G85" s="60">
        <v>73</v>
      </c>
      <c r="H85" s="14">
        <v>324</v>
      </c>
      <c r="I85" s="14">
        <f t="shared" ref="I85" si="49">G85*H85</f>
        <v>23652</v>
      </c>
      <c r="J85" s="20">
        <f t="shared" si="31"/>
        <v>0</v>
      </c>
      <c r="K85" s="51">
        <f>References!$C$17*J85</f>
        <v>0</v>
      </c>
      <c r="L85" s="57">
        <f>K85/References!$F$18</f>
        <v>0</v>
      </c>
      <c r="M85" s="57">
        <f>L85/G85</f>
        <v>0</v>
      </c>
      <c r="N85" s="51">
        <v>25</v>
      </c>
      <c r="O85" s="57">
        <f t="shared" si="32"/>
        <v>27.168881904664616</v>
      </c>
      <c r="P85" s="51">
        <f t="shared" ref="P85" si="50">O85</f>
        <v>27.168881904664616</v>
      </c>
      <c r="Q85" s="53">
        <f t="shared" ref="Q85" si="51">G85*N85</f>
        <v>1825</v>
      </c>
      <c r="R85" s="53">
        <f t="shared" ref="R85" si="52">G85*P85</f>
        <v>1983.3283790405169</v>
      </c>
      <c r="S85" s="53">
        <f t="shared" ref="S85" si="53">R85-Q85</f>
        <v>158.32837904051689</v>
      </c>
      <c r="T85" s="53">
        <f t="shared" ref="T85" si="54">G85*O85</f>
        <v>1983.3283790405169</v>
      </c>
      <c r="U85" s="82">
        <f t="shared" ref="U85" si="55">T85-Q85</f>
        <v>158.32837904051689</v>
      </c>
    </row>
    <row r="86" spans="1:22" s="23" customFormat="1">
      <c r="A86" s="210"/>
      <c r="B86" s="93">
        <v>240</v>
      </c>
      <c r="C86" s="28">
        <v>42</v>
      </c>
      <c r="D86" s="18" t="s">
        <v>106</v>
      </c>
      <c r="E86" s="19">
        <v>66</v>
      </c>
      <c r="F86" s="15">
        <f>References!D9</f>
        <v>1</v>
      </c>
      <c r="G86" s="60">
        <f>E86*F86*12</f>
        <v>792</v>
      </c>
      <c r="H86" s="14">
        <v>0</v>
      </c>
      <c r="I86" s="14">
        <f t="shared" si="9"/>
        <v>0</v>
      </c>
      <c r="J86" s="20">
        <f t="shared" si="31"/>
        <v>0</v>
      </c>
      <c r="K86" s="51">
        <f>References!$C$17*J86</f>
        <v>0</v>
      </c>
      <c r="L86" s="57">
        <f>K86/References!$F$18</f>
        <v>0</v>
      </c>
      <c r="M86" s="57">
        <f t="shared" ref="M86:M97" si="56">L86/G86</f>
        <v>0</v>
      </c>
      <c r="N86" s="51">
        <v>6.69</v>
      </c>
      <c r="O86" s="57">
        <f t="shared" si="32"/>
        <v>7.2703927976882516</v>
      </c>
      <c r="P86" s="51">
        <f t="shared" si="38"/>
        <v>7.2703927976882516</v>
      </c>
      <c r="Q86" s="53">
        <f t="shared" si="39"/>
        <v>5298.4800000000005</v>
      </c>
      <c r="R86" s="53">
        <f t="shared" si="40"/>
        <v>5758.1510957690953</v>
      </c>
      <c r="S86" s="53">
        <f t="shared" si="33"/>
        <v>459.67109576909479</v>
      </c>
      <c r="T86" s="53">
        <f t="shared" si="41"/>
        <v>5758.1510957690953</v>
      </c>
      <c r="U86" s="82">
        <f t="shared" si="34"/>
        <v>459.67109576909479</v>
      </c>
    </row>
    <row r="87" spans="1:22" s="23" customFormat="1">
      <c r="A87" s="210"/>
      <c r="B87" s="93">
        <v>240</v>
      </c>
      <c r="C87" s="28">
        <v>42</v>
      </c>
      <c r="D87" s="18" t="s">
        <v>107</v>
      </c>
      <c r="E87" s="19">
        <v>78</v>
      </c>
      <c r="F87" s="15">
        <v>4.33</v>
      </c>
      <c r="G87" s="60">
        <f>E87*F87*12</f>
        <v>4052.88</v>
      </c>
      <c r="H87" s="14">
        <v>473</v>
      </c>
      <c r="I87" s="14">
        <f t="shared" si="9"/>
        <v>1917012.24</v>
      </c>
      <c r="J87" s="20">
        <f t="shared" si="31"/>
        <v>0</v>
      </c>
      <c r="K87" s="51">
        <f>References!$C$17*J87</f>
        <v>0</v>
      </c>
      <c r="L87" s="57">
        <f>K87/References!$F$18</f>
        <v>0</v>
      </c>
      <c r="M87" s="57">
        <f t="shared" si="56"/>
        <v>0</v>
      </c>
      <c r="N87" s="51">
        <v>30.43</v>
      </c>
      <c r="O87" s="57">
        <f t="shared" si="32"/>
        <v>33.069963054357771</v>
      </c>
      <c r="P87" s="51">
        <f t="shared" si="38"/>
        <v>33.069963054357771</v>
      </c>
      <c r="Q87" s="53">
        <f t="shared" si="39"/>
        <v>123329.1384</v>
      </c>
      <c r="R87" s="53">
        <f t="shared" si="40"/>
        <v>134028.59186374553</v>
      </c>
      <c r="S87" s="53">
        <f t="shared" si="33"/>
        <v>10699.453463745536</v>
      </c>
      <c r="T87" s="53">
        <f t="shared" si="41"/>
        <v>134028.59186374553</v>
      </c>
      <c r="U87" s="82">
        <f t="shared" si="34"/>
        <v>10699.453463745536</v>
      </c>
    </row>
    <row r="88" spans="1:22" s="23" customFormat="1">
      <c r="A88" s="210"/>
      <c r="B88" s="93">
        <v>240</v>
      </c>
      <c r="C88" s="28">
        <v>42</v>
      </c>
      <c r="D88" s="18" t="s">
        <v>147</v>
      </c>
      <c r="E88" s="19">
        <f>+G88/12</f>
        <v>3.0833333333333335</v>
      </c>
      <c r="F88" s="15">
        <v>1</v>
      </c>
      <c r="G88" s="60">
        <v>37</v>
      </c>
      <c r="H88" s="14">
        <v>473</v>
      </c>
      <c r="I88" s="14">
        <f t="shared" ref="I88" si="57">G88*H88</f>
        <v>17501</v>
      </c>
      <c r="J88" s="20">
        <f t="shared" si="31"/>
        <v>0</v>
      </c>
      <c r="K88" s="51">
        <f>References!$C$17*J88</f>
        <v>0</v>
      </c>
      <c r="L88" s="57">
        <f>K88/References!$F$18</f>
        <v>0</v>
      </c>
      <c r="M88" s="57">
        <f t="shared" ref="M88" si="58">L88/G88</f>
        <v>0</v>
      </c>
      <c r="N88" s="51">
        <v>33.49</v>
      </c>
      <c r="O88" s="57">
        <f t="shared" si="32"/>
        <v>36.395434199488726</v>
      </c>
      <c r="P88" s="51">
        <f t="shared" ref="P88" si="59">O88</f>
        <v>36.395434199488726</v>
      </c>
      <c r="Q88" s="53">
        <f t="shared" ref="Q88" si="60">G88*N88</f>
        <v>1239.1300000000001</v>
      </c>
      <c r="R88" s="53">
        <f t="shared" ref="R88" si="61">G88*P88</f>
        <v>1346.6310653810829</v>
      </c>
      <c r="S88" s="53">
        <f t="shared" ref="S88" si="62">R88-Q88</f>
        <v>107.50106538108275</v>
      </c>
      <c r="T88" s="53">
        <f t="shared" ref="T88" si="63">G88*O88</f>
        <v>1346.6310653810829</v>
      </c>
      <c r="U88" s="82">
        <f t="shared" ref="U88" si="64">T88-Q88</f>
        <v>107.50106538108275</v>
      </c>
    </row>
    <row r="89" spans="1:22" s="23" customFormat="1">
      <c r="A89" s="210"/>
      <c r="B89" s="93">
        <v>240</v>
      </c>
      <c r="C89" s="28">
        <v>42</v>
      </c>
      <c r="D89" s="18" t="s">
        <v>108</v>
      </c>
      <c r="E89" s="19">
        <v>74</v>
      </c>
      <c r="F89" s="15">
        <f>References!D9</f>
        <v>1</v>
      </c>
      <c r="G89" s="60">
        <f t="shared" si="8"/>
        <v>888</v>
      </c>
      <c r="H89" s="14">
        <v>0</v>
      </c>
      <c r="I89" s="14">
        <f t="shared" si="9"/>
        <v>0</v>
      </c>
      <c r="J89" s="20">
        <f t="shared" si="31"/>
        <v>0</v>
      </c>
      <c r="K89" s="51">
        <f>References!$C$17*J89</f>
        <v>0</v>
      </c>
      <c r="L89" s="57">
        <f>K89/References!$F$18</f>
        <v>0</v>
      </c>
      <c r="M89" s="57">
        <f t="shared" si="56"/>
        <v>0</v>
      </c>
      <c r="N89" s="51">
        <v>7.31</v>
      </c>
      <c r="O89" s="57">
        <f t="shared" si="32"/>
        <v>7.9441810689239336</v>
      </c>
      <c r="P89" s="51">
        <f t="shared" si="38"/>
        <v>7.9441810689239336</v>
      </c>
      <c r="Q89" s="53">
        <f t="shared" si="39"/>
        <v>6491.28</v>
      </c>
      <c r="R89" s="53">
        <f t="shared" si="40"/>
        <v>7054.432789204453</v>
      </c>
      <c r="S89" s="53">
        <f t="shared" si="33"/>
        <v>563.15278920445326</v>
      </c>
      <c r="T89" s="53">
        <f t="shared" si="41"/>
        <v>7054.432789204453</v>
      </c>
      <c r="U89" s="82">
        <f t="shared" si="34"/>
        <v>563.15278920445326</v>
      </c>
    </row>
    <row r="90" spans="1:22" s="23" customFormat="1">
      <c r="A90" s="210"/>
      <c r="B90" s="93">
        <v>240</v>
      </c>
      <c r="C90" s="28">
        <v>42</v>
      </c>
      <c r="D90" s="18" t="s">
        <v>109</v>
      </c>
      <c r="E90" s="19">
        <v>95</v>
      </c>
      <c r="F90" s="15">
        <v>4.33</v>
      </c>
      <c r="G90" s="60">
        <f t="shared" si="8"/>
        <v>4936.2000000000007</v>
      </c>
      <c r="H90" s="14">
        <v>613</v>
      </c>
      <c r="I90" s="14">
        <f t="shared" si="9"/>
        <v>3025890.6000000006</v>
      </c>
      <c r="J90" s="20">
        <f t="shared" si="31"/>
        <v>0</v>
      </c>
      <c r="K90" s="51">
        <f>References!$C$17*J90</f>
        <v>0</v>
      </c>
      <c r="L90" s="57">
        <f>K90/References!$F$18</f>
        <v>0</v>
      </c>
      <c r="M90" s="57">
        <f t="shared" si="56"/>
        <v>0</v>
      </c>
      <c r="N90" s="51">
        <v>39.36</v>
      </c>
      <c r="O90" s="57">
        <f t="shared" si="32"/>
        <v>42.774687670703969</v>
      </c>
      <c r="P90" s="51">
        <f t="shared" si="38"/>
        <v>42.774687670703969</v>
      </c>
      <c r="Q90" s="53">
        <f t="shared" si="39"/>
        <v>194288.83200000002</v>
      </c>
      <c r="R90" s="53">
        <f t="shared" si="40"/>
        <v>211144.41328012897</v>
      </c>
      <c r="S90" s="53">
        <f t="shared" si="33"/>
        <v>16855.581280128943</v>
      </c>
      <c r="T90" s="53">
        <f t="shared" si="41"/>
        <v>211144.41328012897</v>
      </c>
      <c r="U90" s="82">
        <f t="shared" si="34"/>
        <v>16855.581280128943</v>
      </c>
    </row>
    <row r="91" spans="1:22" s="23" customFormat="1">
      <c r="A91" s="210"/>
      <c r="B91" s="93">
        <v>240</v>
      </c>
      <c r="C91" s="28">
        <v>42</v>
      </c>
      <c r="D91" s="18" t="s">
        <v>148</v>
      </c>
      <c r="E91" s="19">
        <f>+G91/12</f>
        <v>3.0833333333333335</v>
      </c>
      <c r="F91" s="15">
        <v>1</v>
      </c>
      <c r="G91" s="60">
        <v>37</v>
      </c>
      <c r="H91" s="14">
        <v>613</v>
      </c>
      <c r="I91" s="14">
        <f t="shared" si="9"/>
        <v>22681</v>
      </c>
      <c r="J91" s="20">
        <f t="shared" si="31"/>
        <v>0</v>
      </c>
      <c r="K91" s="51">
        <f>References!$C$17*J91</f>
        <v>0</v>
      </c>
      <c r="L91" s="57">
        <f>K91/References!$F$18</f>
        <v>0</v>
      </c>
      <c r="M91" s="57">
        <f t="shared" si="56"/>
        <v>0</v>
      </c>
      <c r="N91" s="51">
        <v>42.03</v>
      </c>
      <c r="O91" s="57">
        <f t="shared" si="32"/>
        <v>45.676324258122158</v>
      </c>
      <c r="P91" s="51">
        <f t="shared" si="38"/>
        <v>45.676324258122158</v>
      </c>
      <c r="Q91" s="53">
        <f t="shared" si="39"/>
        <v>1555.1100000000001</v>
      </c>
      <c r="R91" s="53">
        <f t="shared" si="40"/>
        <v>1690.0239975505199</v>
      </c>
      <c r="S91" s="53">
        <f t="shared" si="33"/>
        <v>134.91399755051975</v>
      </c>
      <c r="T91" s="53">
        <f t="shared" si="41"/>
        <v>1690.0239975505199</v>
      </c>
      <c r="U91" s="82">
        <f t="shared" si="34"/>
        <v>134.91399755051975</v>
      </c>
    </row>
    <row r="92" spans="1:22" s="23" customFormat="1">
      <c r="A92" s="210"/>
      <c r="B92" s="93">
        <v>240</v>
      </c>
      <c r="C92" s="28">
        <v>42</v>
      </c>
      <c r="D92" s="18" t="s">
        <v>110</v>
      </c>
      <c r="E92" s="19">
        <v>132</v>
      </c>
      <c r="F92" s="15">
        <f>References!D9</f>
        <v>1</v>
      </c>
      <c r="G92" s="60">
        <f>E92*F92*12</f>
        <v>1584</v>
      </c>
      <c r="H92" s="14">
        <v>0</v>
      </c>
      <c r="I92" s="14">
        <f t="shared" si="9"/>
        <v>0</v>
      </c>
      <c r="J92" s="20">
        <f t="shared" si="31"/>
        <v>0</v>
      </c>
      <c r="K92" s="51">
        <f>References!$C$17*J92</f>
        <v>0</v>
      </c>
      <c r="L92" s="57">
        <f>K92/References!$F$18</f>
        <v>0</v>
      </c>
      <c r="M92" s="57">
        <f t="shared" si="56"/>
        <v>0</v>
      </c>
      <c r="N92" s="51">
        <v>11.26</v>
      </c>
      <c r="O92" s="57">
        <f t="shared" si="32"/>
        <v>12.236864409860944</v>
      </c>
      <c r="P92" s="51">
        <f t="shared" si="38"/>
        <v>12.236864409860944</v>
      </c>
      <c r="Q92" s="53">
        <f t="shared" si="39"/>
        <v>17835.84</v>
      </c>
      <c r="R92" s="53">
        <f t="shared" si="40"/>
        <v>19383.193225219737</v>
      </c>
      <c r="S92" s="53">
        <f t="shared" si="33"/>
        <v>1547.3532252197365</v>
      </c>
      <c r="T92" s="53">
        <f t="shared" si="41"/>
        <v>19383.193225219737</v>
      </c>
      <c r="U92" s="82">
        <f t="shared" si="34"/>
        <v>1547.3532252197365</v>
      </c>
    </row>
    <row r="93" spans="1:22" s="23" customFormat="1">
      <c r="A93" s="210"/>
      <c r="B93" s="93">
        <v>240</v>
      </c>
      <c r="C93" s="28">
        <v>42</v>
      </c>
      <c r="D93" s="18" t="s">
        <v>111</v>
      </c>
      <c r="E93" s="19">
        <v>192</v>
      </c>
      <c r="F93" s="15">
        <v>4.33</v>
      </c>
      <c r="G93" s="60">
        <f>E93*F93*12</f>
        <v>9976.32</v>
      </c>
      <c r="H93" s="14">
        <v>840</v>
      </c>
      <c r="I93" s="14">
        <f t="shared" si="9"/>
        <v>8380108.7999999998</v>
      </c>
      <c r="J93" s="20">
        <f t="shared" si="31"/>
        <v>0</v>
      </c>
      <c r="K93" s="51">
        <f>References!$C$17*J93</f>
        <v>0</v>
      </c>
      <c r="L93" s="57">
        <f>K93/References!$F$18</f>
        <v>0</v>
      </c>
      <c r="M93" s="57">
        <f t="shared" si="56"/>
        <v>0</v>
      </c>
      <c r="N93" s="51">
        <v>55.85</v>
      </c>
      <c r="O93" s="57">
        <f t="shared" si="32"/>
        <v>60.695282175020758</v>
      </c>
      <c r="P93" s="51">
        <f t="shared" si="38"/>
        <v>60.695282175020758</v>
      </c>
      <c r="Q93" s="53">
        <f t="shared" si="39"/>
        <v>557177.47199999995</v>
      </c>
      <c r="R93" s="53">
        <f t="shared" si="40"/>
        <v>605515.55746830301</v>
      </c>
      <c r="S93" s="53">
        <f t="shared" si="33"/>
        <v>48338.085468303063</v>
      </c>
      <c r="T93" s="53">
        <f t="shared" si="41"/>
        <v>605515.55746830301</v>
      </c>
      <c r="U93" s="82">
        <f t="shared" si="34"/>
        <v>48338.085468303063</v>
      </c>
      <c r="V93" s="23" t="s">
        <v>144</v>
      </c>
    </row>
    <row r="94" spans="1:22" s="23" customFormat="1">
      <c r="A94" s="210"/>
      <c r="B94" s="93">
        <v>240</v>
      </c>
      <c r="C94" s="28">
        <v>42</v>
      </c>
      <c r="D94" s="18" t="s">
        <v>149</v>
      </c>
      <c r="E94" s="19">
        <f>+G94/12</f>
        <v>13.333333333333334</v>
      </c>
      <c r="F94" s="15">
        <v>1</v>
      </c>
      <c r="G94" s="60">
        <v>160</v>
      </c>
      <c r="H94" s="14">
        <v>840</v>
      </c>
      <c r="I94" s="14">
        <f t="shared" ref="I94" si="65">G94*H94</f>
        <v>134400</v>
      </c>
      <c r="J94" s="20">
        <f t="shared" si="31"/>
        <v>0</v>
      </c>
      <c r="K94" s="51">
        <f>References!$C$17*J94</f>
        <v>0</v>
      </c>
      <c r="L94" s="57">
        <f>K94/References!$F$18</f>
        <v>0</v>
      </c>
      <c r="M94" s="57">
        <f t="shared" ref="M94" si="66">L94/G94</f>
        <v>0</v>
      </c>
      <c r="N94" s="51">
        <v>57.95</v>
      </c>
      <c r="O94" s="57">
        <f t="shared" si="32"/>
        <v>62.977468255012582</v>
      </c>
      <c r="P94" s="51">
        <f t="shared" ref="P94" si="67">O94</f>
        <v>62.977468255012582</v>
      </c>
      <c r="Q94" s="53">
        <f t="shared" ref="Q94" si="68">G94*N94</f>
        <v>9272</v>
      </c>
      <c r="R94" s="53">
        <f t="shared" ref="R94" si="69">G94*P94</f>
        <v>10076.394920802013</v>
      </c>
      <c r="S94" s="53">
        <f t="shared" ref="S94" si="70">R94-Q94</f>
        <v>804.39492080201308</v>
      </c>
      <c r="T94" s="53">
        <f t="shared" ref="T94" si="71">G94*O94</f>
        <v>10076.394920802013</v>
      </c>
      <c r="U94" s="82">
        <f t="shared" ref="U94" si="72">T94-Q94</f>
        <v>804.39492080201308</v>
      </c>
    </row>
    <row r="95" spans="1:22" s="23" customFormat="1">
      <c r="A95" s="210"/>
      <c r="B95" s="93">
        <v>240</v>
      </c>
      <c r="C95" s="28">
        <v>43</v>
      </c>
      <c r="D95" s="18" t="s">
        <v>112</v>
      </c>
      <c r="E95" s="19">
        <v>71</v>
      </c>
      <c r="F95" s="15">
        <f>References!D9</f>
        <v>1</v>
      </c>
      <c r="G95" s="60">
        <f>E95*F95*12</f>
        <v>852</v>
      </c>
      <c r="H95" s="14">
        <v>0</v>
      </c>
      <c r="I95" s="14">
        <f t="shared" ref="I95" si="73">G95*H95</f>
        <v>0</v>
      </c>
      <c r="J95" s="20">
        <f t="shared" si="31"/>
        <v>0</v>
      </c>
      <c r="K95" s="51">
        <f>References!$C$17*J95</f>
        <v>0</v>
      </c>
      <c r="L95" s="57">
        <f>K95/References!$F$18</f>
        <v>0</v>
      </c>
      <c r="M95" s="57">
        <f t="shared" ref="M95" si="74">L95/G95</f>
        <v>0</v>
      </c>
      <c r="N95" s="51">
        <v>13.34</v>
      </c>
      <c r="O95" s="57">
        <f t="shared" si="32"/>
        <v>14.49731538432904</v>
      </c>
      <c r="P95" s="51">
        <f t="shared" si="38"/>
        <v>14.49731538432904</v>
      </c>
      <c r="Q95" s="53">
        <f t="shared" si="39"/>
        <v>11365.68</v>
      </c>
      <c r="R95" s="53">
        <f t="shared" si="40"/>
        <v>12351.712707448341</v>
      </c>
      <c r="S95" s="53">
        <f t="shared" ref="S95" si="75">R95-Q95</f>
        <v>986.03270744834117</v>
      </c>
      <c r="T95" s="53">
        <f t="shared" si="41"/>
        <v>12351.712707448341</v>
      </c>
      <c r="U95" s="82">
        <f t="shared" ref="U95" si="76">T95-Q95</f>
        <v>986.03270744834117</v>
      </c>
    </row>
    <row r="96" spans="1:22" s="23" customFormat="1">
      <c r="A96" s="210"/>
      <c r="B96" s="93">
        <v>240</v>
      </c>
      <c r="C96" s="28">
        <v>43</v>
      </c>
      <c r="D96" s="18" t="s">
        <v>113</v>
      </c>
      <c r="E96" s="19">
        <v>103</v>
      </c>
      <c r="F96" s="15">
        <v>4.33</v>
      </c>
      <c r="G96" s="60">
        <f t="shared" si="8"/>
        <v>5351.88</v>
      </c>
      <c r="H96" s="14">
        <v>980</v>
      </c>
      <c r="I96" s="14">
        <f t="shared" si="9"/>
        <v>5244842.4000000004</v>
      </c>
      <c r="J96" s="20">
        <f t="shared" si="31"/>
        <v>0</v>
      </c>
      <c r="K96" s="51">
        <f>References!$C$17*J96</f>
        <v>0</v>
      </c>
      <c r="L96" s="57">
        <f>K96/References!$F$18</f>
        <v>0</v>
      </c>
      <c r="M96" s="57">
        <f t="shared" si="56"/>
        <v>0</v>
      </c>
      <c r="N96" s="51">
        <v>73.17</v>
      </c>
      <c r="O96" s="57">
        <f t="shared" si="32"/>
        <v>79.517883558572407</v>
      </c>
      <c r="P96" s="51">
        <f t="shared" si="38"/>
        <v>79.517883558572407</v>
      </c>
      <c r="Q96" s="53">
        <f t="shared" si="39"/>
        <v>391597.05960000004</v>
      </c>
      <c r="R96" s="53">
        <f t="shared" si="40"/>
        <v>425570.1706594525</v>
      </c>
      <c r="S96" s="53">
        <f t="shared" si="33"/>
        <v>33973.111059452465</v>
      </c>
      <c r="T96" s="53">
        <f t="shared" si="41"/>
        <v>425570.1706594525</v>
      </c>
      <c r="U96" s="82">
        <f t="shared" si="34"/>
        <v>33973.111059452465</v>
      </c>
    </row>
    <row r="97" spans="1:22" s="23" customFormat="1">
      <c r="A97" s="121"/>
      <c r="B97" s="93">
        <v>240</v>
      </c>
      <c r="C97" s="28">
        <v>42</v>
      </c>
      <c r="D97" s="18" t="s">
        <v>150</v>
      </c>
      <c r="E97" s="19">
        <v>13</v>
      </c>
      <c r="F97" s="15">
        <v>1</v>
      </c>
      <c r="G97" s="60">
        <f>+E97*12</f>
        <v>156</v>
      </c>
      <c r="H97" s="14">
        <v>980</v>
      </c>
      <c r="I97" s="14">
        <f t="shared" si="9"/>
        <v>152880</v>
      </c>
      <c r="J97" s="20">
        <f t="shared" si="31"/>
        <v>0</v>
      </c>
      <c r="K97" s="51">
        <f>References!$C$17*J97</f>
        <v>0</v>
      </c>
      <c r="L97" s="57">
        <f>K97/References!$F$18</f>
        <v>0</v>
      </c>
      <c r="M97" s="57">
        <f t="shared" si="56"/>
        <v>0</v>
      </c>
      <c r="N97" s="51">
        <v>74.84</v>
      </c>
      <c r="O97" s="57">
        <f t="shared" si="32"/>
        <v>81.332764869803995</v>
      </c>
      <c r="P97" s="51">
        <f t="shared" si="38"/>
        <v>81.332764869803995</v>
      </c>
      <c r="Q97" s="53">
        <f>G97*N97</f>
        <v>11675.04</v>
      </c>
      <c r="R97" s="53">
        <f t="shared" si="40"/>
        <v>12687.911319689423</v>
      </c>
      <c r="S97" s="53">
        <f t="shared" si="33"/>
        <v>1012.8713196894223</v>
      </c>
      <c r="T97" s="53">
        <f t="shared" si="41"/>
        <v>12687.911319689423</v>
      </c>
      <c r="U97" s="82">
        <f t="shared" si="34"/>
        <v>1012.8713196894223</v>
      </c>
    </row>
    <row r="98" spans="1:22" s="23" customFormat="1">
      <c r="A98" s="121"/>
      <c r="B98" s="93">
        <v>240</v>
      </c>
      <c r="C98" s="28">
        <v>42</v>
      </c>
      <c r="D98" s="18" t="s">
        <v>143</v>
      </c>
      <c r="E98" s="19"/>
      <c r="F98" s="15">
        <v>1</v>
      </c>
      <c r="G98" s="60">
        <f>E98*F98*12</f>
        <v>0</v>
      </c>
      <c r="H98" s="14">
        <v>981</v>
      </c>
      <c r="I98" s="14">
        <f t="shared" ref="I98" si="77">G98*H98</f>
        <v>0</v>
      </c>
      <c r="J98" s="20">
        <f t="shared" si="31"/>
        <v>0</v>
      </c>
      <c r="K98" s="51">
        <f>References!$C$17*J98</f>
        <v>0</v>
      </c>
      <c r="L98" s="57">
        <f>K98/References!$F$18</f>
        <v>0</v>
      </c>
      <c r="M98" s="57" t="e">
        <f t="shared" ref="M98" si="78">L98/G98</f>
        <v>#DIV/0!</v>
      </c>
      <c r="N98" s="51">
        <v>4.8</v>
      </c>
      <c r="O98" s="57">
        <f t="shared" si="32"/>
        <v>5.2164253256956066</v>
      </c>
      <c r="P98" s="51">
        <f t="shared" ref="P98" si="79">O98</f>
        <v>5.2164253256956066</v>
      </c>
      <c r="Q98" s="53">
        <f t="shared" ref="Q98" si="80">G98*N98</f>
        <v>0</v>
      </c>
      <c r="R98" s="53">
        <f t="shared" ref="R98" si="81">G98*P98</f>
        <v>0</v>
      </c>
      <c r="S98" s="53">
        <f t="shared" ref="S98" si="82">R98-Q98</f>
        <v>0</v>
      </c>
      <c r="T98" s="53">
        <f t="shared" ref="T98" si="83">G98*O98</f>
        <v>0</v>
      </c>
      <c r="U98" s="82">
        <f t="shared" ref="U98" si="84">T98-Q98</f>
        <v>0</v>
      </c>
    </row>
    <row r="99" spans="1:22" s="23" customFormat="1">
      <c r="A99" s="121"/>
      <c r="B99" s="93"/>
      <c r="C99" s="28"/>
      <c r="D99" s="48" t="s">
        <v>152</v>
      </c>
      <c r="E99" s="19"/>
      <c r="F99" s="15"/>
      <c r="G99" s="60"/>
      <c r="H99" s="14"/>
      <c r="I99" s="14"/>
      <c r="J99" s="20"/>
      <c r="K99" s="51"/>
      <c r="L99" s="57"/>
      <c r="M99" s="57"/>
      <c r="N99" s="51"/>
      <c r="O99" s="57"/>
      <c r="P99" s="51"/>
      <c r="Q99" s="53"/>
      <c r="R99" s="53"/>
      <c r="S99" s="53"/>
      <c r="T99" s="53"/>
      <c r="U99" s="82"/>
    </row>
    <row r="100" spans="1:22" s="23" customFormat="1">
      <c r="A100" s="210" t="s">
        <v>12</v>
      </c>
      <c r="B100" s="93">
        <v>240</v>
      </c>
      <c r="C100" s="28">
        <v>42</v>
      </c>
      <c r="D100" s="18" t="s">
        <v>101</v>
      </c>
      <c r="E100" s="19"/>
      <c r="F100" s="15">
        <v>1</v>
      </c>
      <c r="G100" s="60">
        <f>E100*F100*12</f>
        <v>0</v>
      </c>
      <c r="H100" s="14">
        <v>0</v>
      </c>
      <c r="I100" s="14">
        <f t="shared" ref="I100:I116" si="85">G100*H100</f>
        <v>0</v>
      </c>
      <c r="J100" s="20">
        <f t="shared" ref="J100:J114" si="86">$E$298*I100</f>
        <v>0</v>
      </c>
      <c r="K100" s="51">
        <f>References!$C$17*J100</f>
        <v>0</v>
      </c>
      <c r="L100" s="57">
        <f>K100/References!$F$18</f>
        <v>0</v>
      </c>
      <c r="M100" s="57" t="e">
        <f t="shared" ref="M100" si="87">L100/G100*F100</f>
        <v>#DIV/0!</v>
      </c>
      <c r="N100" s="51">
        <v>4.22</v>
      </c>
      <c r="O100" s="57">
        <f t="shared" ref="O100:O125" si="88">+N100*$E$7+N100</f>
        <v>4.5861072655073869</v>
      </c>
      <c r="P100" s="51">
        <f>O100</f>
        <v>4.5861072655073869</v>
      </c>
      <c r="Q100" s="53">
        <f>G100*N100</f>
        <v>0</v>
      </c>
      <c r="R100" s="53">
        <f>G100*P100</f>
        <v>0</v>
      </c>
      <c r="S100" s="53">
        <f t="shared" ref="S100:S116" si="89">R100-Q100</f>
        <v>0</v>
      </c>
      <c r="T100" s="53">
        <f>G100*O100</f>
        <v>0</v>
      </c>
      <c r="U100" s="82">
        <f t="shared" ref="U100:U116" si="90">T100-Q100</f>
        <v>0</v>
      </c>
    </row>
    <row r="101" spans="1:22" s="23" customFormat="1">
      <c r="A101" s="210"/>
      <c r="B101" s="93">
        <v>240</v>
      </c>
      <c r="C101" s="28">
        <v>42</v>
      </c>
      <c r="D101" s="18" t="s">
        <v>100</v>
      </c>
      <c r="E101" s="19"/>
      <c r="F101" s="15">
        <f>References!$D$8</f>
        <v>2.1666666666666665</v>
      </c>
      <c r="G101" s="60">
        <f t="shared" ref="G101:G105" si="91">E101*F101*12</f>
        <v>0</v>
      </c>
      <c r="H101" s="14">
        <v>175</v>
      </c>
      <c r="I101" s="14">
        <f t="shared" si="85"/>
        <v>0</v>
      </c>
      <c r="J101" s="20">
        <f t="shared" si="86"/>
        <v>0</v>
      </c>
      <c r="K101" s="51">
        <f>References!$C$17*J101</f>
        <v>0</v>
      </c>
      <c r="L101" s="57">
        <f>K101/References!$F$18</f>
        <v>0</v>
      </c>
      <c r="M101" s="57" t="e">
        <f>L101/G101</f>
        <v>#DIV/0!</v>
      </c>
      <c r="N101" s="51">
        <v>15.77</v>
      </c>
      <c r="O101" s="57">
        <f t="shared" si="88"/>
        <v>17.138130705462441</v>
      </c>
      <c r="P101" s="51">
        <f>O101</f>
        <v>17.138130705462441</v>
      </c>
      <c r="Q101" s="53">
        <f>G101*N101</f>
        <v>0</v>
      </c>
      <c r="R101" s="53">
        <f>G101*P101</f>
        <v>0</v>
      </c>
      <c r="S101" s="53">
        <f t="shared" si="89"/>
        <v>0</v>
      </c>
      <c r="T101" s="53">
        <f>G101*O101</f>
        <v>0</v>
      </c>
      <c r="U101" s="82">
        <f t="shared" si="90"/>
        <v>0</v>
      </c>
    </row>
    <row r="102" spans="1:22" s="23" customFormat="1">
      <c r="A102" s="210"/>
      <c r="B102" s="93">
        <v>240</v>
      </c>
      <c r="C102" s="28">
        <v>42</v>
      </c>
      <c r="D102" s="18" t="s">
        <v>102</v>
      </c>
      <c r="E102" s="19"/>
      <c r="F102" s="15">
        <f>References!D32</f>
        <v>0</v>
      </c>
      <c r="G102" s="60">
        <f t="shared" si="91"/>
        <v>0</v>
      </c>
      <c r="H102" s="14">
        <v>0</v>
      </c>
      <c r="I102" s="14">
        <f t="shared" si="85"/>
        <v>0</v>
      </c>
      <c r="J102" s="20">
        <f t="shared" si="86"/>
        <v>0</v>
      </c>
      <c r="K102" s="51">
        <f>References!$C$17*J102</f>
        <v>0</v>
      </c>
      <c r="L102" s="57">
        <f>K102/References!$F$18</f>
        <v>0</v>
      </c>
      <c r="M102" s="57" t="e">
        <f t="shared" ref="M102" si="92">L102/G102*F102</f>
        <v>#DIV/0!</v>
      </c>
      <c r="N102" s="51">
        <v>4.8099999999999996</v>
      </c>
      <c r="O102" s="57">
        <f t="shared" si="88"/>
        <v>5.2272928784574724</v>
      </c>
      <c r="P102" s="51">
        <f t="shared" ref="P102:P116" si="93">O102</f>
        <v>5.2272928784574724</v>
      </c>
      <c r="Q102" s="53">
        <f t="shared" ref="Q102:Q116" si="94">G102*N102</f>
        <v>0</v>
      </c>
      <c r="R102" s="53">
        <f t="shared" ref="R102:R116" si="95">G102*P102</f>
        <v>0</v>
      </c>
      <c r="S102" s="53">
        <f t="shared" si="89"/>
        <v>0</v>
      </c>
      <c r="T102" s="53">
        <f t="shared" ref="T102:T116" si="96">G102*O102</f>
        <v>0</v>
      </c>
      <c r="U102" s="82">
        <f t="shared" si="90"/>
        <v>0</v>
      </c>
    </row>
    <row r="103" spans="1:22" s="23" customFormat="1" ht="15" customHeight="1">
      <c r="A103" s="210"/>
      <c r="B103" s="93">
        <v>240</v>
      </c>
      <c r="C103" s="28">
        <v>42</v>
      </c>
      <c r="D103" s="18" t="s">
        <v>103</v>
      </c>
      <c r="E103" s="19"/>
      <c r="F103" s="15">
        <f>References!$D$8</f>
        <v>2.1666666666666665</v>
      </c>
      <c r="G103" s="60">
        <f t="shared" si="91"/>
        <v>0</v>
      </c>
      <c r="H103" s="14">
        <v>250</v>
      </c>
      <c r="I103" s="14">
        <f t="shared" si="85"/>
        <v>0</v>
      </c>
      <c r="J103" s="20">
        <f t="shared" si="86"/>
        <v>0</v>
      </c>
      <c r="K103" s="51">
        <f>References!$C$17*J103</f>
        <v>0</v>
      </c>
      <c r="L103" s="57">
        <f>K103/References!$F$18</f>
        <v>0</v>
      </c>
      <c r="M103" s="57" t="e">
        <f>L103/G103</f>
        <v>#DIV/0!</v>
      </c>
      <c r="N103" s="51">
        <v>20.64</v>
      </c>
      <c r="O103" s="57">
        <f t="shared" si="88"/>
        <v>22.430628900491108</v>
      </c>
      <c r="P103" s="51">
        <f t="shared" si="93"/>
        <v>22.430628900491108</v>
      </c>
      <c r="Q103" s="53">
        <f t="shared" si="94"/>
        <v>0</v>
      </c>
      <c r="R103" s="53">
        <f t="shared" si="95"/>
        <v>0</v>
      </c>
      <c r="S103" s="53">
        <f t="shared" si="89"/>
        <v>0</v>
      </c>
      <c r="T103" s="53">
        <f t="shared" si="96"/>
        <v>0</v>
      </c>
      <c r="U103" s="82">
        <f t="shared" si="90"/>
        <v>0</v>
      </c>
    </row>
    <row r="104" spans="1:22" ht="15" customHeight="1">
      <c r="A104" s="210"/>
      <c r="B104" s="93">
        <v>240</v>
      </c>
      <c r="C104" s="28">
        <v>42</v>
      </c>
      <c r="D104" s="18" t="s">
        <v>104</v>
      </c>
      <c r="E104" s="19">
        <v>3</v>
      </c>
      <c r="F104" s="15">
        <v>1</v>
      </c>
      <c r="G104" s="60">
        <f t="shared" si="91"/>
        <v>36</v>
      </c>
      <c r="H104" s="14">
        <v>0</v>
      </c>
      <c r="I104" s="14">
        <f t="shared" si="85"/>
        <v>0</v>
      </c>
      <c r="J104" s="20">
        <f t="shared" si="86"/>
        <v>0</v>
      </c>
      <c r="K104" s="51">
        <f>References!$C$17*J104</f>
        <v>0</v>
      </c>
      <c r="L104" s="57">
        <f>K104/References!$F$18</f>
        <v>0</v>
      </c>
      <c r="M104" s="57">
        <f t="shared" ref="M104" si="97">L104/G104*F104</f>
        <v>0</v>
      </c>
      <c r="N104" s="51">
        <v>5.76</v>
      </c>
      <c r="O104" s="57">
        <f t="shared" si="88"/>
        <v>6.2597103908347274</v>
      </c>
      <c r="P104" s="51">
        <f t="shared" si="93"/>
        <v>6.2597103908347274</v>
      </c>
      <c r="Q104" s="53">
        <f t="shared" si="94"/>
        <v>207.35999999999999</v>
      </c>
      <c r="R104" s="53">
        <f t="shared" si="95"/>
        <v>225.34957407005018</v>
      </c>
      <c r="S104" s="53">
        <f t="shared" si="89"/>
        <v>17.989574070050196</v>
      </c>
      <c r="T104" s="53">
        <f t="shared" si="96"/>
        <v>225.34957407005018</v>
      </c>
      <c r="U104" s="82">
        <f t="shared" si="90"/>
        <v>17.989574070050196</v>
      </c>
      <c r="V104" s="23"/>
    </row>
    <row r="105" spans="1:22" s="23" customFormat="1" ht="14.45" customHeight="1">
      <c r="A105" s="210"/>
      <c r="B105" s="93">
        <v>240</v>
      </c>
      <c r="C105" s="28">
        <v>42</v>
      </c>
      <c r="D105" s="18" t="s">
        <v>105</v>
      </c>
      <c r="E105" s="19">
        <v>5.0999999999999996</v>
      </c>
      <c r="F105" s="15">
        <v>1</v>
      </c>
      <c r="G105" s="60">
        <f t="shared" si="91"/>
        <v>61.199999999999996</v>
      </c>
      <c r="H105" s="14">
        <v>324</v>
      </c>
      <c r="I105" s="14">
        <f t="shared" si="85"/>
        <v>19828.8</v>
      </c>
      <c r="J105" s="20">
        <f t="shared" si="86"/>
        <v>0</v>
      </c>
      <c r="K105" s="51">
        <f>References!$C$17*J105</f>
        <v>0</v>
      </c>
      <c r="L105" s="57">
        <f>K105/References!$F$18</f>
        <v>0</v>
      </c>
      <c r="M105" s="57">
        <f>L105/G105</f>
        <v>0</v>
      </c>
      <c r="N105" s="51">
        <v>25</v>
      </c>
      <c r="O105" s="57">
        <f>+N105*$E$7+N105</f>
        <v>27.168881904664616</v>
      </c>
      <c r="P105" s="51">
        <f t="shared" si="93"/>
        <v>27.168881904664616</v>
      </c>
      <c r="Q105" s="53">
        <f t="shared" si="94"/>
        <v>1530</v>
      </c>
      <c r="R105" s="53">
        <f t="shared" si="95"/>
        <v>1662.7355725654743</v>
      </c>
      <c r="S105" s="53">
        <f t="shared" si="89"/>
        <v>132.73557256547429</v>
      </c>
      <c r="T105" s="53">
        <f t="shared" si="96"/>
        <v>1662.7355725654743</v>
      </c>
      <c r="U105" s="82">
        <f t="shared" si="90"/>
        <v>132.73557256547429</v>
      </c>
    </row>
    <row r="106" spans="1:22">
      <c r="A106" s="210"/>
      <c r="B106" s="93">
        <v>240</v>
      </c>
      <c r="C106" s="28">
        <v>42</v>
      </c>
      <c r="D106" s="18" t="s">
        <v>106</v>
      </c>
      <c r="E106" s="19">
        <v>2</v>
      </c>
      <c r="F106" s="15">
        <v>1</v>
      </c>
      <c r="G106" s="60">
        <f>E106*F106*12</f>
        <v>24</v>
      </c>
      <c r="H106" s="14">
        <v>0</v>
      </c>
      <c r="I106" s="14">
        <f t="shared" si="85"/>
        <v>0</v>
      </c>
      <c r="J106" s="20">
        <f t="shared" si="86"/>
        <v>0</v>
      </c>
      <c r="K106" s="51">
        <f>References!$C$17*J106</f>
        <v>0</v>
      </c>
      <c r="L106" s="57">
        <f>K106/References!$F$18</f>
        <v>0</v>
      </c>
      <c r="M106" s="57">
        <f t="shared" ref="M106:M116" si="98">L106/G106</f>
        <v>0</v>
      </c>
      <c r="N106" s="51">
        <v>6.79</v>
      </c>
      <c r="O106" s="57">
        <f t="shared" si="88"/>
        <v>7.3790683253069105</v>
      </c>
      <c r="P106" s="51">
        <f t="shared" si="93"/>
        <v>7.3790683253069105</v>
      </c>
      <c r="Q106" s="53">
        <f>G106*N106</f>
        <v>162.96</v>
      </c>
      <c r="R106" s="53">
        <f t="shared" si="95"/>
        <v>177.09763980736585</v>
      </c>
      <c r="S106" s="53">
        <f t="shared" si="89"/>
        <v>14.137639807365844</v>
      </c>
      <c r="T106" s="53">
        <f t="shared" si="96"/>
        <v>177.09763980736585</v>
      </c>
      <c r="U106" s="82">
        <f t="shared" si="90"/>
        <v>14.137639807365844</v>
      </c>
      <c r="V106" s="23"/>
    </row>
    <row r="107" spans="1:22">
      <c r="A107" s="210"/>
      <c r="B107" s="93">
        <v>240</v>
      </c>
      <c r="C107" s="28">
        <v>42</v>
      </c>
      <c r="D107" s="18" t="s">
        <v>107</v>
      </c>
      <c r="E107" s="19">
        <v>1</v>
      </c>
      <c r="F107" s="15">
        <f>References!$D$8</f>
        <v>2.1666666666666665</v>
      </c>
      <c r="G107" s="60">
        <f>E107*F107*12</f>
        <v>26</v>
      </c>
      <c r="H107" s="14">
        <v>473</v>
      </c>
      <c r="I107" s="14">
        <f t="shared" si="85"/>
        <v>12298</v>
      </c>
      <c r="J107" s="20">
        <f t="shared" si="86"/>
        <v>0</v>
      </c>
      <c r="K107" s="51">
        <f>References!$C$17*J107</f>
        <v>0</v>
      </c>
      <c r="L107" s="57">
        <f>K107/References!$F$18</f>
        <v>0</v>
      </c>
      <c r="M107" s="57">
        <f t="shared" si="98"/>
        <v>0</v>
      </c>
      <c r="N107" s="51">
        <v>33.49</v>
      </c>
      <c r="O107" s="57">
        <f t="shared" si="88"/>
        <v>36.395434199488726</v>
      </c>
      <c r="P107" s="51">
        <f t="shared" si="93"/>
        <v>36.395434199488726</v>
      </c>
      <c r="Q107" s="53">
        <f t="shared" si="94"/>
        <v>870.74</v>
      </c>
      <c r="R107" s="53">
        <f t="shared" si="95"/>
        <v>946.28128918670689</v>
      </c>
      <c r="S107" s="53">
        <f t="shared" si="89"/>
        <v>75.541289186706877</v>
      </c>
      <c r="T107" s="53">
        <f t="shared" si="96"/>
        <v>946.28128918670689</v>
      </c>
      <c r="U107" s="82">
        <f t="shared" si="90"/>
        <v>75.541289186706877</v>
      </c>
      <c r="V107" s="23"/>
    </row>
    <row r="108" spans="1:22">
      <c r="A108" s="210"/>
      <c r="B108" s="93">
        <v>240</v>
      </c>
      <c r="C108" s="28">
        <v>42</v>
      </c>
      <c r="D108" s="18" t="s">
        <v>270</v>
      </c>
      <c r="E108" s="19">
        <f>7+1+3</f>
        <v>11</v>
      </c>
      <c r="F108" s="15">
        <v>1</v>
      </c>
      <c r="G108" s="60">
        <f>E108*F108*12</f>
        <v>132</v>
      </c>
      <c r="H108" s="14">
        <v>473</v>
      </c>
      <c r="I108" s="14">
        <f t="shared" si="85"/>
        <v>62436</v>
      </c>
      <c r="J108" s="20">
        <f t="shared" si="86"/>
        <v>0</v>
      </c>
      <c r="K108" s="51">
        <f>References!$C$17*J108</f>
        <v>0</v>
      </c>
      <c r="L108" s="57">
        <f>K108/References!$F$18</f>
        <v>0</v>
      </c>
      <c r="M108" s="57">
        <f t="shared" si="98"/>
        <v>0</v>
      </c>
      <c r="N108" s="51">
        <v>13.57</v>
      </c>
      <c r="O108" s="57">
        <f t="shared" si="88"/>
        <v>14.747269097851955</v>
      </c>
      <c r="P108" s="51">
        <f t="shared" si="93"/>
        <v>14.747269097851955</v>
      </c>
      <c r="Q108" s="53">
        <f t="shared" si="94"/>
        <v>1791.24</v>
      </c>
      <c r="R108" s="53">
        <f t="shared" si="95"/>
        <v>1946.639520916458</v>
      </c>
      <c r="S108" s="53">
        <f t="shared" si="89"/>
        <v>155.39952091645796</v>
      </c>
      <c r="T108" s="53">
        <f t="shared" si="96"/>
        <v>1946.639520916458</v>
      </c>
      <c r="U108" s="82">
        <f t="shared" si="90"/>
        <v>155.39952091645796</v>
      </c>
      <c r="V108" s="23"/>
    </row>
    <row r="109" spans="1:22">
      <c r="A109" s="210"/>
      <c r="B109" s="93">
        <v>240</v>
      </c>
      <c r="C109" s="28">
        <v>42</v>
      </c>
      <c r="D109" s="18" t="s">
        <v>108</v>
      </c>
      <c r="E109" s="19">
        <v>5</v>
      </c>
      <c r="F109" s="15">
        <v>1</v>
      </c>
      <c r="G109" s="60">
        <f t="shared" ref="G109:G110" si="99">E109*F109*12</f>
        <v>60</v>
      </c>
      <c r="H109" s="14">
        <v>0</v>
      </c>
      <c r="I109" s="14">
        <f t="shared" si="85"/>
        <v>0</v>
      </c>
      <c r="J109" s="20">
        <f t="shared" si="86"/>
        <v>0</v>
      </c>
      <c r="K109" s="51">
        <f>References!$C$17*J109</f>
        <v>0</v>
      </c>
      <c r="L109" s="57">
        <f>K109/References!$F$18</f>
        <v>0</v>
      </c>
      <c r="M109" s="57">
        <f t="shared" si="98"/>
        <v>0</v>
      </c>
      <c r="N109" s="51">
        <v>7.42</v>
      </c>
      <c r="O109" s="57">
        <f t="shared" si="88"/>
        <v>8.0637241493044591</v>
      </c>
      <c r="P109" s="51">
        <f t="shared" si="93"/>
        <v>8.0637241493044591</v>
      </c>
      <c r="Q109" s="53">
        <f t="shared" si="94"/>
        <v>445.2</v>
      </c>
      <c r="R109" s="53">
        <f t="shared" si="95"/>
        <v>483.82344895826753</v>
      </c>
      <c r="S109" s="53">
        <f t="shared" si="89"/>
        <v>38.623448958267545</v>
      </c>
      <c r="T109" s="53">
        <f t="shared" si="96"/>
        <v>483.82344895826753</v>
      </c>
      <c r="U109" s="82">
        <f t="shared" si="90"/>
        <v>38.623448958267545</v>
      </c>
      <c r="V109" s="23"/>
    </row>
    <row r="110" spans="1:22">
      <c r="A110" s="210"/>
      <c r="B110" s="93">
        <v>240</v>
      </c>
      <c r="C110" s="28">
        <v>42</v>
      </c>
      <c r="D110" s="18" t="s">
        <v>109</v>
      </c>
      <c r="E110" s="19">
        <v>4.2</v>
      </c>
      <c r="F110" s="15">
        <v>1</v>
      </c>
      <c r="G110" s="60">
        <f t="shared" si="99"/>
        <v>50.400000000000006</v>
      </c>
      <c r="H110" s="14">
        <v>613</v>
      </c>
      <c r="I110" s="14">
        <f t="shared" si="85"/>
        <v>30895.200000000004</v>
      </c>
      <c r="J110" s="20">
        <f t="shared" si="86"/>
        <v>0</v>
      </c>
      <c r="K110" s="51">
        <f>References!$C$17*J110</f>
        <v>0</v>
      </c>
      <c r="L110" s="57">
        <f>K110/References!$F$18</f>
        <v>0</v>
      </c>
      <c r="M110" s="57">
        <f t="shared" si="98"/>
        <v>0</v>
      </c>
      <c r="N110" s="51">
        <v>42.03</v>
      </c>
      <c r="O110" s="57">
        <f t="shared" si="88"/>
        <v>45.676324258122158</v>
      </c>
      <c r="P110" s="51">
        <f t="shared" si="93"/>
        <v>45.676324258122158</v>
      </c>
      <c r="Q110" s="53">
        <f t="shared" si="94"/>
        <v>2118.3120000000004</v>
      </c>
      <c r="R110" s="53">
        <f t="shared" si="95"/>
        <v>2302.0867426093569</v>
      </c>
      <c r="S110" s="53">
        <f t="shared" si="89"/>
        <v>183.77474260935651</v>
      </c>
      <c r="T110" s="53">
        <f t="shared" si="96"/>
        <v>2302.0867426093569</v>
      </c>
      <c r="U110" s="82">
        <f t="shared" si="90"/>
        <v>183.77474260935651</v>
      </c>
      <c r="V110" s="23"/>
    </row>
    <row r="111" spans="1:22" ht="14.45" customHeight="1">
      <c r="A111" s="210"/>
      <c r="B111" s="93">
        <v>240</v>
      </c>
      <c r="C111" s="28">
        <v>42</v>
      </c>
      <c r="D111" s="18" t="s">
        <v>110</v>
      </c>
      <c r="E111" s="19">
        <v>4</v>
      </c>
      <c r="F111" s="15">
        <v>1</v>
      </c>
      <c r="G111" s="60">
        <f>E111*F111*12</f>
        <v>48</v>
      </c>
      <c r="H111" s="14">
        <v>0</v>
      </c>
      <c r="I111" s="14">
        <f t="shared" si="85"/>
        <v>0</v>
      </c>
      <c r="J111" s="20">
        <f t="shared" si="86"/>
        <v>0</v>
      </c>
      <c r="K111" s="51">
        <f>References!$C$17*J111</f>
        <v>0</v>
      </c>
      <c r="L111" s="57">
        <f>K111/References!$F$18</f>
        <v>0</v>
      </c>
      <c r="M111" s="57">
        <f t="shared" si="98"/>
        <v>0</v>
      </c>
      <c r="N111" s="51">
        <v>11.43</v>
      </c>
      <c r="O111" s="57">
        <f t="shared" si="88"/>
        <v>12.421612806812663</v>
      </c>
      <c r="P111" s="51">
        <f t="shared" si="93"/>
        <v>12.421612806812663</v>
      </c>
      <c r="Q111" s="53">
        <f t="shared" si="94"/>
        <v>548.64</v>
      </c>
      <c r="R111" s="53">
        <f t="shared" si="95"/>
        <v>596.23741472700783</v>
      </c>
      <c r="S111" s="53">
        <f t="shared" si="89"/>
        <v>47.597414727007845</v>
      </c>
      <c r="T111" s="53">
        <f t="shared" si="96"/>
        <v>596.23741472700783</v>
      </c>
      <c r="U111" s="82">
        <f t="shared" si="90"/>
        <v>47.597414727007845</v>
      </c>
      <c r="V111" s="23"/>
    </row>
    <row r="112" spans="1:22">
      <c r="A112" s="210"/>
      <c r="B112" s="93">
        <v>240</v>
      </c>
      <c r="C112" s="28">
        <v>42</v>
      </c>
      <c r="D112" s="18" t="s">
        <v>111</v>
      </c>
      <c r="E112" s="19">
        <v>6.6</v>
      </c>
      <c r="F112" s="15">
        <v>1</v>
      </c>
      <c r="G112" s="60">
        <f>E112*F112*12</f>
        <v>79.199999999999989</v>
      </c>
      <c r="H112" s="14">
        <v>840</v>
      </c>
      <c r="I112" s="14">
        <f t="shared" si="85"/>
        <v>66527.999999999985</v>
      </c>
      <c r="J112" s="20">
        <f t="shared" si="86"/>
        <v>0</v>
      </c>
      <c r="K112" s="51">
        <f>References!$C$17*J112</f>
        <v>0</v>
      </c>
      <c r="L112" s="57">
        <f>K112/References!$F$18</f>
        <v>0</v>
      </c>
      <c r="M112" s="57">
        <f t="shared" si="98"/>
        <v>0</v>
      </c>
      <c r="N112" s="51">
        <v>57.95</v>
      </c>
      <c r="O112" s="57">
        <f t="shared" si="88"/>
        <v>62.977468255012582</v>
      </c>
      <c r="P112" s="51">
        <f t="shared" si="93"/>
        <v>62.977468255012582</v>
      </c>
      <c r="Q112" s="53">
        <f t="shared" si="94"/>
        <v>4589.6399999999994</v>
      </c>
      <c r="R112" s="53">
        <f t="shared" si="95"/>
        <v>4987.8154857969957</v>
      </c>
      <c r="S112" s="53">
        <f t="shared" si="89"/>
        <v>398.17548579699633</v>
      </c>
      <c r="T112" s="53">
        <f t="shared" si="96"/>
        <v>4987.8154857969957</v>
      </c>
      <c r="U112" s="82">
        <f t="shared" si="90"/>
        <v>398.17548579699633</v>
      </c>
      <c r="V112" s="23"/>
    </row>
    <row r="113" spans="1:29">
      <c r="A113" s="210"/>
      <c r="B113" s="93">
        <v>240</v>
      </c>
      <c r="C113" s="28">
        <v>43</v>
      </c>
      <c r="D113" s="18" t="s">
        <v>112</v>
      </c>
      <c r="E113" s="19">
        <v>4</v>
      </c>
      <c r="F113" s="15">
        <v>1</v>
      </c>
      <c r="G113" s="60">
        <f>E113*F113*12</f>
        <v>48</v>
      </c>
      <c r="H113" s="14">
        <v>0</v>
      </c>
      <c r="I113" s="14">
        <f t="shared" si="85"/>
        <v>0</v>
      </c>
      <c r="J113" s="20">
        <f t="shared" si="86"/>
        <v>0</v>
      </c>
      <c r="K113" s="51">
        <f>References!$C$17*J113</f>
        <v>0</v>
      </c>
      <c r="L113" s="57">
        <f>K113/References!$F$18</f>
        <v>0</v>
      </c>
      <c r="M113" s="57">
        <f t="shared" si="98"/>
        <v>0</v>
      </c>
      <c r="N113" s="51">
        <v>13.54</v>
      </c>
      <c r="O113" s="57">
        <f t="shared" si="88"/>
        <v>14.714666439566356</v>
      </c>
      <c r="P113" s="51">
        <f t="shared" si="93"/>
        <v>14.714666439566356</v>
      </c>
      <c r="Q113" s="53">
        <f t="shared" si="94"/>
        <v>649.91999999999996</v>
      </c>
      <c r="R113" s="53">
        <f t="shared" si="95"/>
        <v>706.30398909918506</v>
      </c>
      <c r="S113" s="53">
        <f t="shared" si="89"/>
        <v>56.383989099185101</v>
      </c>
      <c r="T113" s="53">
        <f t="shared" si="96"/>
        <v>706.30398909918506</v>
      </c>
      <c r="U113" s="82">
        <f t="shared" si="90"/>
        <v>56.383989099185101</v>
      </c>
      <c r="V113" s="23"/>
    </row>
    <row r="114" spans="1:29">
      <c r="A114" s="210"/>
      <c r="B114" s="93">
        <v>240</v>
      </c>
      <c r="C114" s="28">
        <v>43</v>
      </c>
      <c r="D114" s="18" t="s">
        <v>113</v>
      </c>
      <c r="E114" s="19">
        <v>19</v>
      </c>
      <c r="F114" s="15">
        <v>1</v>
      </c>
      <c r="G114" s="60">
        <f t="shared" ref="G114:G144" si="100">E114*F114*12</f>
        <v>228</v>
      </c>
      <c r="H114" s="14">
        <v>980</v>
      </c>
      <c r="I114" s="14">
        <f t="shared" si="85"/>
        <v>223440</v>
      </c>
      <c r="J114" s="20">
        <f t="shared" si="86"/>
        <v>0</v>
      </c>
      <c r="K114" s="51">
        <f>References!$C$17*J114</f>
        <v>0</v>
      </c>
      <c r="L114" s="57">
        <f>K114/References!$F$18</f>
        <v>0</v>
      </c>
      <c r="M114" s="57">
        <f t="shared" si="98"/>
        <v>0</v>
      </c>
      <c r="N114" s="51">
        <v>74.84</v>
      </c>
      <c r="O114" s="57">
        <f t="shared" si="88"/>
        <v>81.332764869803995</v>
      </c>
      <c r="P114" s="51">
        <f t="shared" si="93"/>
        <v>81.332764869803995</v>
      </c>
      <c r="Q114" s="53">
        <f t="shared" si="94"/>
        <v>17063.52</v>
      </c>
      <c r="R114" s="53">
        <f t="shared" si="95"/>
        <v>18543.870390315311</v>
      </c>
      <c r="S114" s="53">
        <f t="shared" si="89"/>
        <v>1480.3503903153105</v>
      </c>
      <c r="T114" s="53">
        <f t="shared" si="96"/>
        <v>18543.870390315311</v>
      </c>
      <c r="U114" s="82">
        <f t="shared" si="90"/>
        <v>1480.3503903153105</v>
      </c>
      <c r="V114" s="23"/>
    </row>
    <row r="115" spans="1:29">
      <c r="A115" s="122"/>
      <c r="B115" s="93">
        <v>240</v>
      </c>
      <c r="C115" s="28">
        <v>43</v>
      </c>
      <c r="D115" s="18" t="s">
        <v>231</v>
      </c>
      <c r="E115" s="19"/>
      <c r="F115" s="15">
        <v>4.33</v>
      </c>
      <c r="G115" s="60">
        <f t="shared" si="100"/>
        <v>0</v>
      </c>
      <c r="H115" s="14">
        <v>32</v>
      </c>
      <c r="I115" s="14"/>
      <c r="J115" s="20"/>
      <c r="K115" s="51"/>
      <c r="L115" s="57"/>
      <c r="M115" s="57"/>
      <c r="N115" s="51">
        <v>3.5</v>
      </c>
      <c r="O115" s="57">
        <f t="shared" si="88"/>
        <v>3.8036434666530465</v>
      </c>
      <c r="P115" s="51">
        <f t="shared" si="93"/>
        <v>3.8036434666530465</v>
      </c>
      <c r="Q115" s="53"/>
      <c r="R115" s="53"/>
      <c r="S115" s="53"/>
      <c r="T115" s="53"/>
      <c r="U115" s="82"/>
      <c r="V115" s="23"/>
    </row>
    <row r="116" spans="1:29">
      <c r="A116" s="121"/>
      <c r="B116" s="93">
        <v>240</v>
      </c>
      <c r="C116" s="28">
        <v>42</v>
      </c>
      <c r="D116" s="18" t="s">
        <v>153</v>
      </c>
      <c r="E116" s="19">
        <v>7</v>
      </c>
      <c r="F116" s="15">
        <v>1</v>
      </c>
      <c r="G116" s="60">
        <f t="shared" si="100"/>
        <v>84</v>
      </c>
      <c r="H116" s="14"/>
      <c r="I116" s="14">
        <f t="shared" si="85"/>
        <v>0</v>
      </c>
      <c r="J116" s="20">
        <f t="shared" ref="J116:J128" si="101">$E$298*I116</f>
        <v>0</v>
      </c>
      <c r="K116" s="51">
        <f>References!$C$17*J116</f>
        <v>0</v>
      </c>
      <c r="L116" s="57">
        <f>K116/References!$F$18</f>
        <v>0</v>
      </c>
      <c r="M116" s="57">
        <f t="shared" si="98"/>
        <v>0</v>
      </c>
      <c r="N116" s="51">
        <v>13.57</v>
      </c>
      <c r="O116" s="57">
        <f t="shared" si="88"/>
        <v>14.747269097851955</v>
      </c>
      <c r="P116" s="51">
        <f t="shared" si="93"/>
        <v>14.747269097851955</v>
      </c>
      <c r="Q116" s="53">
        <f t="shared" si="94"/>
        <v>1139.8800000000001</v>
      </c>
      <c r="R116" s="53">
        <f t="shared" si="95"/>
        <v>1238.7706042195641</v>
      </c>
      <c r="S116" s="53">
        <f t="shared" si="89"/>
        <v>98.890604219564011</v>
      </c>
      <c r="T116" s="53">
        <f t="shared" si="96"/>
        <v>1238.7706042195641</v>
      </c>
      <c r="U116" s="82">
        <f t="shared" si="90"/>
        <v>98.890604219564011</v>
      </c>
      <c r="V116" s="23"/>
    </row>
    <row r="117" spans="1:29">
      <c r="A117" s="121"/>
      <c r="B117" s="93">
        <v>240</v>
      </c>
      <c r="C117" s="28">
        <v>42</v>
      </c>
      <c r="D117" s="18" t="s">
        <v>143</v>
      </c>
      <c r="E117" s="19">
        <v>4</v>
      </c>
      <c r="F117" s="15">
        <v>1</v>
      </c>
      <c r="G117" s="60">
        <f t="shared" si="100"/>
        <v>48</v>
      </c>
      <c r="H117" s="14"/>
      <c r="I117" s="14">
        <f t="shared" ref="I117:I124" si="102">G117*H117</f>
        <v>0</v>
      </c>
      <c r="J117" s="20">
        <f t="shared" si="101"/>
        <v>0</v>
      </c>
      <c r="K117" s="51">
        <f>References!$C$17*J117</f>
        <v>0</v>
      </c>
      <c r="L117" s="57">
        <f>K117/References!$F$18</f>
        <v>0</v>
      </c>
      <c r="M117" s="57">
        <f t="shared" ref="M117:M124" si="103">L117/G117</f>
        <v>0</v>
      </c>
      <c r="N117" s="51">
        <v>4.8</v>
      </c>
      <c r="O117" s="57">
        <f t="shared" si="88"/>
        <v>5.2164253256956066</v>
      </c>
      <c r="P117" s="51">
        <f t="shared" ref="P117:P125" si="104">O117</f>
        <v>5.2164253256956066</v>
      </c>
      <c r="Q117" s="53">
        <f t="shared" ref="Q117:Q125" si="105">G117*N117</f>
        <v>230.39999999999998</v>
      </c>
      <c r="R117" s="53">
        <f t="shared" ref="R117:R125" si="106">G117*P117</f>
        <v>250.38841563338912</v>
      </c>
      <c r="S117" s="53">
        <f t="shared" ref="S117:S125" si="107">R117-Q117</f>
        <v>19.988415633389138</v>
      </c>
      <c r="T117" s="53">
        <f t="shared" ref="T117:T125" si="108">G117*O117</f>
        <v>250.38841563338912</v>
      </c>
      <c r="U117" s="82">
        <f t="shared" ref="U117:U125" si="109">T117-Q117</f>
        <v>19.988415633389138</v>
      </c>
      <c r="V117" s="23"/>
    </row>
    <row r="118" spans="1:29">
      <c r="A118" s="121"/>
      <c r="B118" s="93">
        <v>245</v>
      </c>
      <c r="C118" s="28">
        <v>46</v>
      </c>
      <c r="D118" s="18" t="s">
        <v>154</v>
      </c>
      <c r="E118" s="19"/>
      <c r="F118" s="15">
        <v>2.17</v>
      </c>
      <c r="G118" s="60">
        <f t="shared" si="100"/>
        <v>0</v>
      </c>
      <c r="H118" s="14">
        <v>32</v>
      </c>
      <c r="I118" s="14">
        <f t="shared" si="102"/>
        <v>0</v>
      </c>
      <c r="J118" s="20">
        <f t="shared" si="101"/>
        <v>0</v>
      </c>
      <c r="K118" s="51">
        <f>References!$C$17*J118</f>
        <v>0</v>
      </c>
      <c r="L118" s="57">
        <f>K118/References!$F$18</f>
        <v>0</v>
      </c>
      <c r="M118" s="57" t="e">
        <f t="shared" si="103"/>
        <v>#DIV/0!</v>
      </c>
      <c r="N118" s="51">
        <v>3.5</v>
      </c>
      <c r="O118" s="57">
        <f t="shared" si="88"/>
        <v>3.8036434666530465</v>
      </c>
      <c r="P118" s="51">
        <f t="shared" si="104"/>
        <v>3.8036434666530465</v>
      </c>
      <c r="Q118" s="53">
        <f>G118*N118</f>
        <v>0</v>
      </c>
      <c r="R118" s="53">
        <f t="shared" si="106"/>
        <v>0</v>
      </c>
      <c r="S118" s="53">
        <f t="shared" si="107"/>
        <v>0</v>
      </c>
      <c r="T118" s="53">
        <f t="shared" si="108"/>
        <v>0</v>
      </c>
      <c r="U118" s="82">
        <f t="shared" si="109"/>
        <v>0</v>
      </c>
      <c r="V118" s="23"/>
    </row>
    <row r="119" spans="1:29">
      <c r="A119" s="121"/>
      <c r="B119" s="93">
        <v>245</v>
      </c>
      <c r="C119" s="28">
        <v>43</v>
      </c>
      <c r="D119" s="18" t="s">
        <v>257</v>
      </c>
      <c r="E119" s="19"/>
      <c r="F119" s="15">
        <v>1</v>
      </c>
      <c r="G119" s="60">
        <f t="shared" si="100"/>
        <v>0</v>
      </c>
      <c r="H119" s="14">
        <v>32</v>
      </c>
      <c r="I119" s="14">
        <f t="shared" si="102"/>
        <v>0</v>
      </c>
      <c r="J119" s="20">
        <f t="shared" si="101"/>
        <v>0</v>
      </c>
      <c r="K119" s="51">
        <f>References!$C$17*J119</f>
        <v>0</v>
      </c>
      <c r="L119" s="57">
        <f>K119/References!$F$18</f>
        <v>0</v>
      </c>
      <c r="M119" s="57" t="e">
        <f t="shared" si="103"/>
        <v>#DIV/0!</v>
      </c>
      <c r="N119" s="51">
        <v>12.65</v>
      </c>
      <c r="O119" s="57">
        <f t="shared" si="88"/>
        <v>13.747454243760297</v>
      </c>
      <c r="P119" s="51">
        <f t="shared" si="104"/>
        <v>13.747454243760297</v>
      </c>
      <c r="Q119" s="53">
        <f t="shared" si="105"/>
        <v>0</v>
      </c>
      <c r="R119" s="53">
        <f t="shared" si="106"/>
        <v>0</v>
      </c>
      <c r="S119" s="53">
        <f t="shared" si="107"/>
        <v>0</v>
      </c>
      <c r="T119" s="53">
        <f t="shared" si="108"/>
        <v>0</v>
      </c>
      <c r="U119" s="82">
        <f t="shared" si="109"/>
        <v>0</v>
      </c>
      <c r="V119" s="23"/>
    </row>
    <row r="120" spans="1:29">
      <c r="A120" s="93"/>
      <c r="B120" s="93">
        <v>240</v>
      </c>
      <c r="C120" s="28">
        <v>43</v>
      </c>
      <c r="D120" s="18" t="s">
        <v>258</v>
      </c>
      <c r="E120" s="19">
        <v>671</v>
      </c>
      <c r="F120" s="15">
        <v>4.33</v>
      </c>
      <c r="G120" s="60">
        <f t="shared" ref="G120:G122" si="110">E120*F120*12</f>
        <v>34865.159999999996</v>
      </c>
      <c r="H120" s="14">
        <v>32</v>
      </c>
      <c r="I120" s="14">
        <f t="shared" si="102"/>
        <v>1115685.1199999999</v>
      </c>
      <c r="J120" s="20">
        <f t="shared" si="101"/>
        <v>0</v>
      </c>
      <c r="K120" s="51">
        <f>References!$C$17*J120</f>
        <v>0</v>
      </c>
      <c r="L120" s="57">
        <f>K120/References!$F$18</f>
        <v>0</v>
      </c>
      <c r="M120" s="57">
        <f t="shared" ref="M120" si="111">L120/G120</f>
        <v>0</v>
      </c>
      <c r="N120" s="51">
        <v>3.5</v>
      </c>
      <c r="O120" s="57">
        <f t="shared" si="88"/>
        <v>3.8036434666530465</v>
      </c>
      <c r="P120" s="51">
        <f t="shared" si="104"/>
        <v>3.8036434666530465</v>
      </c>
      <c r="Q120" s="53">
        <f t="shared" si="105"/>
        <v>122028.05999999998</v>
      </c>
      <c r="R120" s="53">
        <f t="shared" si="106"/>
        <v>132614.63804781312</v>
      </c>
      <c r="S120" s="53">
        <f t="shared" si="107"/>
        <v>10586.578047813135</v>
      </c>
      <c r="T120" s="53">
        <f t="shared" si="108"/>
        <v>132614.63804781312</v>
      </c>
      <c r="U120" s="82">
        <f t="shared" si="109"/>
        <v>10586.578047813135</v>
      </c>
      <c r="V120" s="23"/>
    </row>
    <row r="121" spans="1:29">
      <c r="A121" s="156"/>
      <c r="B121" s="93">
        <v>240</v>
      </c>
      <c r="C121" s="28">
        <v>43</v>
      </c>
      <c r="D121" s="18" t="s">
        <v>255</v>
      </c>
      <c r="E121" s="19">
        <v>148</v>
      </c>
      <c r="F121" s="15">
        <v>4.33</v>
      </c>
      <c r="G121" s="60">
        <f t="shared" si="110"/>
        <v>7690.08</v>
      </c>
      <c r="H121" s="14">
        <f>+H36</f>
        <v>47</v>
      </c>
      <c r="I121" s="14">
        <f t="shared" ref="I121:I122" si="112">G121*H121</f>
        <v>361433.76</v>
      </c>
      <c r="J121" s="20">
        <f t="shared" si="101"/>
        <v>0</v>
      </c>
      <c r="K121" s="51">
        <f>References!$C$17*J121</f>
        <v>0</v>
      </c>
      <c r="L121" s="57">
        <f>K121/References!$F$18</f>
        <v>0</v>
      </c>
      <c r="M121" s="57">
        <f t="shared" ref="M121:M122" si="113">L121/G121</f>
        <v>0</v>
      </c>
      <c r="N121" s="51">
        <v>5.17</v>
      </c>
      <c r="O121" s="57">
        <f t="shared" ref="O121:O122" si="114">+N121*$E$7+N121</f>
        <v>5.6185247778846428</v>
      </c>
      <c r="P121" s="51">
        <f t="shared" ref="P121:P122" si="115">O121</f>
        <v>5.6185247778846428</v>
      </c>
      <c r="Q121" s="53">
        <f t="shared" ref="Q121:Q122" si="116">G121*N121</f>
        <v>39757.713599999995</v>
      </c>
      <c r="R121" s="53">
        <f t="shared" ref="R121:R122" si="117">G121*P121</f>
        <v>43206.905023915133</v>
      </c>
      <c r="S121" s="53">
        <f t="shared" ref="S121:S122" si="118">R121-Q121</f>
        <v>3449.1914239151374</v>
      </c>
      <c r="T121" s="53">
        <f t="shared" ref="T121:T122" si="119">G121*O121</f>
        <v>43206.905023915133</v>
      </c>
      <c r="U121" s="82">
        <f t="shared" ref="U121:U122" si="120">T121-Q121</f>
        <v>3449.1914239151374</v>
      </c>
      <c r="V121" s="23"/>
    </row>
    <row r="122" spans="1:29">
      <c r="A122" s="157"/>
      <c r="B122" s="93">
        <v>240</v>
      </c>
      <c r="C122" s="28">
        <v>43</v>
      </c>
      <c r="D122" s="18" t="s">
        <v>256</v>
      </c>
      <c r="E122" s="19">
        <v>43</v>
      </c>
      <c r="F122" s="15">
        <v>4.33</v>
      </c>
      <c r="G122" s="60">
        <f t="shared" si="110"/>
        <v>2234.2799999999997</v>
      </c>
      <c r="H122" s="14">
        <v>68</v>
      </c>
      <c r="I122" s="14">
        <f t="shared" si="112"/>
        <v>151931.03999999998</v>
      </c>
      <c r="J122" s="20">
        <f t="shared" si="101"/>
        <v>0</v>
      </c>
      <c r="K122" s="51">
        <f>References!$C$17*J122</f>
        <v>0</v>
      </c>
      <c r="L122" s="57">
        <f>K122/References!$F$18</f>
        <v>0</v>
      </c>
      <c r="M122" s="57">
        <f t="shared" si="113"/>
        <v>0</v>
      </c>
      <c r="N122" s="51">
        <v>8.26</v>
      </c>
      <c r="O122" s="57">
        <f t="shared" si="114"/>
        <v>8.9765985813011895</v>
      </c>
      <c r="P122" s="51">
        <f t="shared" si="115"/>
        <v>8.9765985813011895</v>
      </c>
      <c r="Q122" s="53">
        <f t="shared" si="116"/>
        <v>18455.152799999996</v>
      </c>
      <c r="R122" s="53">
        <f t="shared" si="117"/>
        <v>20056.234678229619</v>
      </c>
      <c r="S122" s="53">
        <f t="shared" si="118"/>
        <v>1601.0818782296228</v>
      </c>
      <c r="T122" s="53">
        <f t="shared" si="119"/>
        <v>20056.234678229619</v>
      </c>
      <c r="U122" s="82">
        <f t="shared" si="120"/>
        <v>1601.0818782296228</v>
      </c>
      <c r="V122" s="23"/>
      <c r="W122" s="23"/>
      <c r="X122" s="23"/>
      <c r="Y122" s="23"/>
      <c r="Z122" s="23"/>
      <c r="AA122" s="23"/>
      <c r="AB122" s="23"/>
      <c r="AC122" s="23"/>
    </row>
    <row r="123" spans="1:29">
      <c r="A123" s="121"/>
      <c r="B123" s="93">
        <v>246</v>
      </c>
      <c r="C123" s="28">
        <v>46</v>
      </c>
      <c r="D123" s="18" t="s">
        <v>155</v>
      </c>
      <c r="E123" s="19"/>
      <c r="F123" s="15">
        <v>2.17</v>
      </c>
      <c r="G123" s="60">
        <f t="shared" si="100"/>
        <v>0</v>
      </c>
      <c r="H123" s="14">
        <v>175</v>
      </c>
      <c r="I123" s="14">
        <f t="shared" si="102"/>
        <v>0</v>
      </c>
      <c r="J123" s="20">
        <f t="shared" si="101"/>
        <v>0</v>
      </c>
      <c r="K123" s="51">
        <f>References!$C$17*J123</f>
        <v>0</v>
      </c>
      <c r="L123" s="57">
        <f>K123/References!$F$18</f>
        <v>0</v>
      </c>
      <c r="M123" s="57" t="e">
        <f t="shared" si="103"/>
        <v>#DIV/0!</v>
      </c>
      <c r="N123" s="51">
        <v>11.67</v>
      </c>
      <c r="O123" s="57">
        <f t="shared" si="88"/>
        <v>12.682434073097443</v>
      </c>
      <c r="P123" s="51">
        <f t="shared" si="104"/>
        <v>12.682434073097443</v>
      </c>
      <c r="Q123" s="53">
        <f t="shared" si="105"/>
        <v>0</v>
      </c>
      <c r="R123" s="53">
        <f t="shared" si="106"/>
        <v>0</v>
      </c>
      <c r="S123" s="53">
        <f t="shared" si="107"/>
        <v>0</v>
      </c>
      <c r="T123" s="53">
        <f t="shared" si="108"/>
        <v>0</v>
      </c>
      <c r="U123" s="82">
        <f t="shared" si="109"/>
        <v>0</v>
      </c>
      <c r="V123" s="23"/>
    </row>
    <row r="124" spans="1:29">
      <c r="A124" s="121"/>
      <c r="B124" s="93">
        <v>245</v>
      </c>
      <c r="C124" s="28">
        <v>46</v>
      </c>
      <c r="D124" s="18" t="s">
        <v>156</v>
      </c>
      <c r="E124" s="19"/>
      <c r="F124" s="15">
        <v>2.17</v>
      </c>
      <c r="G124" s="60">
        <f t="shared" si="100"/>
        <v>0</v>
      </c>
      <c r="H124" s="14">
        <v>250</v>
      </c>
      <c r="I124" s="14">
        <f t="shared" si="102"/>
        <v>0</v>
      </c>
      <c r="J124" s="20">
        <f t="shared" si="101"/>
        <v>0</v>
      </c>
      <c r="K124" s="51">
        <f>References!$C$17*J124</f>
        <v>0</v>
      </c>
      <c r="L124" s="57">
        <f>K124/References!$F$18</f>
        <v>0</v>
      </c>
      <c r="M124" s="57" t="e">
        <f t="shared" si="103"/>
        <v>#DIV/0!</v>
      </c>
      <c r="N124" s="51">
        <v>16.16</v>
      </c>
      <c r="O124" s="57">
        <f t="shared" si="88"/>
        <v>17.56196526317521</v>
      </c>
      <c r="P124" s="51">
        <f t="shared" si="104"/>
        <v>17.56196526317521</v>
      </c>
      <c r="Q124" s="53">
        <f t="shared" si="105"/>
        <v>0</v>
      </c>
      <c r="R124" s="53">
        <f t="shared" si="106"/>
        <v>0</v>
      </c>
      <c r="S124" s="53">
        <f t="shared" si="107"/>
        <v>0</v>
      </c>
      <c r="T124" s="53">
        <f t="shared" si="108"/>
        <v>0</v>
      </c>
      <c r="U124" s="82">
        <f t="shared" si="109"/>
        <v>0</v>
      </c>
      <c r="V124" s="23"/>
    </row>
    <row r="125" spans="1:29">
      <c r="A125" s="121"/>
      <c r="B125" s="93">
        <v>245</v>
      </c>
      <c r="C125" s="28">
        <v>46</v>
      </c>
      <c r="D125" s="18" t="s">
        <v>157</v>
      </c>
      <c r="E125" s="19"/>
      <c r="F125" s="15">
        <v>2.17</v>
      </c>
      <c r="G125" s="60">
        <f t="shared" si="100"/>
        <v>0</v>
      </c>
      <c r="H125" s="14">
        <v>324</v>
      </c>
      <c r="I125" s="14">
        <f t="shared" ref="I125" si="121">G125*H125</f>
        <v>0</v>
      </c>
      <c r="J125" s="20">
        <f t="shared" si="101"/>
        <v>0</v>
      </c>
      <c r="K125" s="51">
        <f>References!$C$17*J125</f>
        <v>0</v>
      </c>
      <c r="L125" s="57">
        <f>K125/References!$F$18</f>
        <v>0</v>
      </c>
      <c r="M125" s="57" t="e">
        <f t="shared" ref="M125" si="122">L125/G125</f>
        <v>#DIV/0!</v>
      </c>
      <c r="N125" s="51">
        <v>20.97</v>
      </c>
      <c r="O125" s="57">
        <f t="shared" si="88"/>
        <v>22.789258141632679</v>
      </c>
      <c r="P125" s="51">
        <f t="shared" si="104"/>
        <v>22.789258141632679</v>
      </c>
      <c r="Q125" s="53">
        <f t="shared" si="105"/>
        <v>0</v>
      </c>
      <c r="R125" s="53">
        <f t="shared" si="106"/>
        <v>0</v>
      </c>
      <c r="S125" s="53">
        <f t="shared" si="107"/>
        <v>0</v>
      </c>
      <c r="T125" s="53">
        <f t="shared" si="108"/>
        <v>0</v>
      </c>
      <c r="U125" s="82">
        <f t="shared" si="109"/>
        <v>0</v>
      </c>
      <c r="V125" s="23"/>
    </row>
    <row r="126" spans="1:29">
      <c r="A126" s="122"/>
      <c r="B126" s="177">
        <v>160</v>
      </c>
      <c r="C126" s="16">
        <v>36</v>
      </c>
      <c r="D126" s="18" t="s">
        <v>209</v>
      </c>
      <c r="E126" s="22">
        <v>1</v>
      </c>
      <c r="F126" s="106">
        <v>1</v>
      </c>
      <c r="G126" s="14">
        <f>F126*12</f>
        <v>12</v>
      </c>
      <c r="H126" s="22">
        <v>0</v>
      </c>
      <c r="I126" s="20">
        <f>G126*H126/12</f>
        <v>0</v>
      </c>
      <c r="J126" s="104">
        <f t="shared" si="101"/>
        <v>0</v>
      </c>
      <c r="K126" s="51">
        <f>References!$C$17*J126</f>
        <v>0</v>
      </c>
      <c r="L126" s="51">
        <f>K126/References!$F$18</f>
        <v>0</v>
      </c>
      <c r="M126" s="57">
        <f>L126/G126</f>
        <v>0</v>
      </c>
      <c r="N126" s="72">
        <v>113.18</v>
      </c>
      <c r="O126" s="57">
        <f>+N126*$E$7+N126</f>
        <v>122.99896215879767</v>
      </c>
      <c r="P126" s="51">
        <f>O126</f>
        <v>122.99896215879767</v>
      </c>
      <c r="Q126" s="21">
        <f>E126*N126*12</f>
        <v>1358.16</v>
      </c>
      <c r="R126" s="21">
        <f>E126*P126*12</f>
        <v>1475.987545905572</v>
      </c>
      <c r="S126" s="21">
        <f>R126-Q126</f>
        <v>117.82754590557192</v>
      </c>
      <c r="T126" s="21">
        <f>E126*O126*12</f>
        <v>1475.987545905572</v>
      </c>
      <c r="V126" s="23"/>
    </row>
    <row r="127" spans="1:29">
      <c r="A127" s="122"/>
      <c r="B127" s="177">
        <v>160</v>
      </c>
      <c r="C127" s="16">
        <v>36</v>
      </c>
      <c r="D127" s="18" t="s">
        <v>210</v>
      </c>
      <c r="E127" s="22">
        <v>1.5</v>
      </c>
      <c r="F127" s="106">
        <v>1</v>
      </c>
      <c r="G127" s="14">
        <f>+E127*12</f>
        <v>18</v>
      </c>
      <c r="H127" s="22">
        <v>0</v>
      </c>
      <c r="I127" s="20">
        <f>G127*H127/12</f>
        <v>0</v>
      </c>
      <c r="J127" s="104">
        <f t="shared" si="101"/>
        <v>0</v>
      </c>
      <c r="K127" s="51">
        <f>References!$C$17*J127</f>
        <v>0</v>
      </c>
      <c r="L127" s="51">
        <f>K127/References!$F$18</f>
        <v>0</v>
      </c>
      <c r="M127" s="57">
        <f>L127/G127</f>
        <v>0</v>
      </c>
      <c r="N127" s="72">
        <v>45.06</v>
      </c>
      <c r="O127" s="57">
        <f>+N127*$E$7+N127</f>
        <v>48.969192744967508</v>
      </c>
      <c r="P127" s="51">
        <f>O127</f>
        <v>48.969192744967508</v>
      </c>
      <c r="Q127" s="21">
        <f>E127*N127*12</f>
        <v>811.08</v>
      </c>
      <c r="R127" s="21">
        <f>E127*P127*12</f>
        <v>881.44546940941518</v>
      </c>
      <c r="S127" s="21">
        <f>R127-Q127</f>
        <v>70.365469409415141</v>
      </c>
      <c r="T127" s="21">
        <f>E127*O127*12</f>
        <v>881.44546940941518</v>
      </c>
      <c r="V127" s="23"/>
    </row>
    <row r="128" spans="1:29">
      <c r="A128" s="122"/>
      <c r="B128" s="177">
        <v>245</v>
      </c>
      <c r="C128" s="16">
        <v>46</v>
      </c>
      <c r="D128" s="18" t="s">
        <v>158</v>
      </c>
      <c r="E128" s="22">
        <f>7+69</f>
        <v>76</v>
      </c>
      <c r="F128" s="106">
        <v>1</v>
      </c>
      <c r="G128" s="14">
        <f>F128*12</f>
        <v>12</v>
      </c>
      <c r="H128" s="22">
        <v>0</v>
      </c>
      <c r="I128" s="20">
        <f>G128*H128/12</f>
        <v>0</v>
      </c>
      <c r="J128" s="104">
        <f t="shared" si="101"/>
        <v>0</v>
      </c>
      <c r="K128" s="51">
        <f>References!$C$17*J128</f>
        <v>0</v>
      </c>
      <c r="L128" s="51">
        <f>K128/References!$F$18</f>
        <v>0</v>
      </c>
      <c r="M128" s="57">
        <f>L128/G128</f>
        <v>0</v>
      </c>
      <c r="N128" s="72">
        <v>1.37</v>
      </c>
      <c r="O128" s="57">
        <f>+N128*$E$7+N128</f>
        <v>1.4888547283756211</v>
      </c>
      <c r="P128" s="51">
        <f>O128</f>
        <v>1.4888547283756211</v>
      </c>
      <c r="Q128" s="21">
        <f>E128*N128*12</f>
        <v>1249.44</v>
      </c>
      <c r="R128" s="21">
        <f>E128*P128*12</f>
        <v>1357.8355122785665</v>
      </c>
      <c r="S128" s="21">
        <f>R128-Q128</f>
        <v>108.39551227856646</v>
      </c>
      <c r="T128" s="21">
        <f>E128*O128*12</f>
        <v>1357.8355122785665</v>
      </c>
      <c r="U128" s="16" t="s">
        <v>159</v>
      </c>
      <c r="V128" s="23"/>
    </row>
    <row r="129" spans="1:22">
      <c r="A129" s="122"/>
      <c r="B129" s="93">
        <v>241</v>
      </c>
      <c r="C129" s="28">
        <v>44</v>
      </c>
      <c r="D129" s="18" t="s">
        <v>218</v>
      </c>
      <c r="E129" s="19"/>
      <c r="F129" s="15"/>
      <c r="G129" s="60">
        <f t="shared" si="100"/>
        <v>0</v>
      </c>
      <c r="H129" s="14"/>
      <c r="I129" s="14"/>
      <c r="J129" s="20"/>
      <c r="K129" s="51"/>
      <c r="L129" s="57"/>
      <c r="M129" s="57"/>
      <c r="N129" s="51"/>
      <c r="O129" s="57">
        <f>+N129*$E$7+N129</f>
        <v>0</v>
      </c>
      <c r="P129" s="51">
        <f>O129</f>
        <v>0</v>
      </c>
      <c r="Q129" s="53"/>
      <c r="R129" s="53"/>
      <c r="S129" s="53"/>
      <c r="T129" s="53"/>
      <c r="U129" s="82"/>
      <c r="V129" s="23"/>
    </row>
    <row r="130" spans="1:22">
      <c r="A130" s="122"/>
      <c r="B130" s="93"/>
      <c r="C130" s="28"/>
      <c r="D130" s="18"/>
      <c r="E130" s="19"/>
      <c r="F130" s="15"/>
      <c r="G130" s="60">
        <f t="shared" si="100"/>
        <v>0</v>
      </c>
      <c r="H130" s="14"/>
      <c r="I130" s="14"/>
      <c r="J130" s="20"/>
      <c r="K130" s="51"/>
      <c r="L130" s="57"/>
      <c r="M130" s="57"/>
      <c r="N130" s="51"/>
      <c r="O130" s="57"/>
      <c r="P130" s="51"/>
      <c r="Q130" s="53"/>
      <c r="R130" s="53"/>
      <c r="S130" s="53"/>
      <c r="T130" s="53"/>
      <c r="U130" s="82"/>
      <c r="V130" s="23"/>
    </row>
    <row r="131" spans="1:22">
      <c r="A131" s="122"/>
      <c r="B131" s="93"/>
      <c r="C131" s="28"/>
      <c r="D131" s="18"/>
      <c r="E131" s="19"/>
      <c r="F131" s="15"/>
      <c r="G131" s="60">
        <f t="shared" si="100"/>
        <v>0</v>
      </c>
      <c r="H131" s="14"/>
      <c r="I131" s="14"/>
      <c r="J131" s="20"/>
      <c r="K131" s="51"/>
      <c r="L131" s="57"/>
      <c r="M131" s="57"/>
      <c r="N131" s="51"/>
      <c r="O131" s="57"/>
      <c r="P131" s="51"/>
      <c r="Q131" s="53"/>
      <c r="R131" s="53"/>
      <c r="S131" s="53"/>
      <c r="T131" s="53"/>
      <c r="U131" s="82"/>
      <c r="V131" s="23"/>
    </row>
    <row r="132" spans="1:22">
      <c r="A132" s="122"/>
      <c r="B132" s="93">
        <v>255</v>
      </c>
      <c r="C132" s="28" t="s">
        <v>223</v>
      </c>
      <c r="D132" s="18" t="s">
        <v>219</v>
      </c>
      <c r="E132" s="19"/>
      <c r="F132" s="15"/>
      <c r="G132" s="60">
        <f t="shared" si="100"/>
        <v>0</v>
      </c>
      <c r="H132" s="14"/>
      <c r="I132" s="14"/>
      <c r="J132" s="20"/>
      <c r="K132" s="51"/>
      <c r="L132" s="57"/>
      <c r="M132" s="57"/>
      <c r="N132" s="51"/>
      <c r="O132" s="57"/>
      <c r="P132" s="51"/>
      <c r="Q132" s="53"/>
      <c r="R132" s="53"/>
      <c r="S132" s="53"/>
      <c r="T132" s="53"/>
      <c r="U132" s="82"/>
      <c r="V132" s="23"/>
    </row>
    <row r="133" spans="1:22">
      <c r="A133" s="122"/>
      <c r="B133" s="93">
        <v>255</v>
      </c>
      <c r="C133" s="28" t="s">
        <v>223</v>
      </c>
      <c r="D133" s="18" t="s">
        <v>220</v>
      </c>
      <c r="E133" s="19"/>
      <c r="F133" s="15">
        <v>2.17</v>
      </c>
      <c r="G133" s="60">
        <f t="shared" si="100"/>
        <v>0</v>
      </c>
      <c r="H133" s="14"/>
      <c r="I133" s="14">
        <f t="shared" ref="I133:I140" si="123">G133*H133</f>
        <v>0</v>
      </c>
      <c r="J133" s="20">
        <f t="shared" ref="J133:J140" si="124">$E$298*I133</f>
        <v>0</v>
      </c>
      <c r="K133" s="51">
        <f>References!$C$17*J133</f>
        <v>0</v>
      </c>
      <c r="L133" s="57">
        <f>K133/References!$F$18</f>
        <v>0</v>
      </c>
      <c r="M133" s="57" t="e">
        <f t="shared" ref="M133:M140" si="125">L133/G133</f>
        <v>#DIV/0!</v>
      </c>
      <c r="N133" s="51">
        <v>67.14</v>
      </c>
      <c r="O133" s="57">
        <f t="shared" ref="O133:O140" si="126">+N133*$E$7+N133</f>
        <v>72.96474924316729</v>
      </c>
      <c r="P133" s="51">
        <f t="shared" ref="P133:P140" si="127">O133</f>
        <v>72.96474924316729</v>
      </c>
      <c r="Q133" s="53">
        <f t="shared" ref="Q133:Q140" si="128">G133*N133</f>
        <v>0</v>
      </c>
      <c r="R133" s="53">
        <f t="shared" ref="R133:R140" si="129">G133*P133</f>
        <v>0</v>
      </c>
      <c r="S133" s="53">
        <f t="shared" ref="S133:S140" si="130">R133-Q133</f>
        <v>0</v>
      </c>
      <c r="T133" s="53">
        <f t="shared" ref="T133:T140" si="131">G133*O133</f>
        <v>0</v>
      </c>
      <c r="U133" s="82">
        <f t="shared" ref="U133:U140" si="132">T133-Q133</f>
        <v>0</v>
      </c>
      <c r="V133" s="23"/>
    </row>
    <row r="134" spans="1:22">
      <c r="A134" s="122"/>
      <c r="B134" s="93">
        <v>255</v>
      </c>
      <c r="C134" s="28" t="s">
        <v>223</v>
      </c>
      <c r="D134" s="18" t="s">
        <v>186</v>
      </c>
      <c r="E134" s="19"/>
      <c r="F134" s="15">
        <v>1</v>
      </c>
      <c r="G134" s="60">
        <f t="shared" si="100"/>
        <v>0</v>
      </c>
      <c r="H134" s="14"/>
      <c r="I134" s="14">
        <f t="shared" si="123"/>
        <v>0</v>
      </c>
      <c r="J134" s="20">
        <f t="shared" si="124"/>
        <v>0</v>
      </c>
      <c r="K134" s="51">
        <f>References!$C$17*J134</f>
        <v>0</v>
      </c>
      <c r="L134" s="57">
        <f>K134/References!$F$18</f>
        <v>0</v>
      </c>
      <c r="M134" s="57" t="e">
        <f t="shared" si="125"/>
        <v>#DIV/0!</v>
      </c>
      <c r="N134" s="51">
        <v>81.36</v>
      </c>
      <c r="O134" s="57">
        <f t="shared" si="126"/>
        <v>88.418409270540536</v>
      </c>
      <c r="P134" s="51">
        <f t="shared" si="127"/>
        <v>88.418409270540536</v>
      </c>
      <c r="Q134" s="53">
        <f t="shared" si="128"/>
        <v>0</v>
      </c>
      <c r="R134" s="53">
        <f t="shared" si="129"/>
        <v>0</v>
      </c>
      <c r="S134" s="53">
        <f t="shared" si="130"/>
        <v>0</v>
      </c>
      <c r="T134" s="53">
        <f t="shared" si="131"/>
        <v>0</v>
      </c>
      <c r="U134" s="82">
        <f t="shared" si="132"/>
        <v>0</v>
      </c>
      <c r="V134" s="23"/>
    </row>
    <row r="135" spans="1:22">
      <c r="A135" s="159"/>
      <c r="B135" s="93">
        <v>255</v>
      </c>
      <c r="C135" s="28" t="s">
        <v>223</v>
      </c>
      <c r="D135" s="18" t="s">
        <v>221</v>
      </c>
      <c r="E135" s="19">
        <v>1.4</v>
      </c>
      <c r="F135" s="15">
        <v>4.33</v>
      </c>
      <c r="G135" s="60">
        <f t="shared" si="100"/>
        <v>72.744</v>
      </c>
      <c r="H135" s="14"/>
      <c r="I135" s="14">
        <f t="shared" si="123"/>
        <v>0</v>
      </c>
      <c r="J135" s="20">
        <f t="shared" si="124"/>
        <v>0</v>
      </c>
      <c r="K135" s="51">
        <f>References!$C$17*J135</f>
        <v>0</v>
      </c>
      <c r="L135" s="57">
        <f>K135/References!$F$18</f>
        <v>0</v>
      </c>
      <c r="M135" s="57">
        <f t="shared" si="125"/>
        <v>0</v>
      </c>
      <c r="N135" s="51">
        <v>97.83</v>
      </c>
      <c r="O135" s="57">
        <f t="shared" si="126"/>
        <v>106.31726866933357</v>
      </c>
      <c r="P135" s="51">
        <f t="shared" si="127"/>
        <v>106.31726866933357</v>
      </c>
      <c r="Q135" s="53">
        <f t="shared" si="128"/>
        <v>7116.5455199999997</v>
      </c>
      <c r="R135" s="53">
        <f t="shared" si="129"/>
        <v>7733.9433920820011</v>
      </c>
      <c r="S135" s="53">
        <f t="shared" si="130"/>
        <v>617.39787208200141</v>
      </c>
      <c r="T135" s="53">
        <f t="shared" si="131"/>
        <v>7733.9433920820011</v>
      </c>
      <c r="U135" s="82">
        <f t="shared" si="132"/>
        <v>617.39787208200141</v>
      </c>
      <c r="V135" s="23"/>
    </row>
    <row r="136" spans="1:22">
      <c r="A136" s="159"/>
      <c r="B136" s="93">
        <v>255</v>
      </c>
      <c r="C136" s="28" t="s">
        <v>223</v>
      </c>
      <c r="D136" s="18" t="s">
        <v>190</v>
      </c>
      <c r="E136" s="19"/>
      <c r="F136" s="15">
        <v>1</v>
      </c>
      <c r="G136" s="60">
        <f t="shared" si="100"/>
        <v>0</v>
      </c>
      <c r="H136" s="14"/>
      <c r="I136" s="14">
        <f t="shared" si="123"/>
        <v>0</v>
      </c>
      <c r="J136" s="20">
        <f t="shared" si="124"/>
        <v>0</v>
      </c>
      <c r="K136" s="51">
        <f>References!$C$17*J136</f>
        <v>0</v>
      </c>
      <c r="L136" s="57">
        <f>K136/References!$F$18</f>
        <v>0</v>
      </c>
      <c r="M136" s="57" t="e">
        <f t="shared" si="125"/>
        <v>#DIV/0!</v>
      </c>
      <c r="N136" s="51">
        <v>112.2</v>
      </c>
      <c r="O136" s="57">
        <f t="shared" si="126"/>
        <v>121.93394198813481</v>
      </c>
      <c r="P136" s="51">
        <f t="shared" si="127"/>
        <v>121.93394198813481</v>
      </c>
      <c r="Q136" s="53">
        <f t="shared" si="128"/>
        <v>0</v>
      </c>
      <c r="R136" s="53">
        <f t="shared" si="129"/>
        <v>0</v>
      </c>
      <c r="S136" s="53">
        <f t="shared" si="130"/>
        <v>0</v>
      </c>
      <c r="T136" s="53">
        <f t="shared" si="131"/>
        <v>0</v>
      </c>
      <c r="U136" s="82">
        <f t="shared" si="132"/>
        <v>0</v>
      </c>
      <c r="V136" s="23"/>
    </row>
    <row r="137" spans="1:22" ht="15" customHeight="1">
      <c r="A137" s="159"/>
      <c r="B137" s="93">
        <v>255</v>
      </c>
      <c r="C137" s="28" t="s">
        <v>223</v>
      </c>
      <c r="D137" s="18" t="s">
        <v>222</v>
      </c>
      <c r="E137" s="19"/>
      <c r="F137" s="15">
        <v>2.17</v>
      </c>
      <c r="G137" s="60">
        <f t="shared" si="100"/>
        <v>0</v>
      </c>
      <c r="H137" s="14"/>
      <c r="I137" s="14">
        <f t="shared" si="123"/>
        <v>0</v>
      </c>
      <c r="J137" s="20">
        <f t="shared" si="124"/>
        <v>0</v>
      </c>
      <c r="K137" s="51">
        <f>References!$C$17*J137</f>
        <v>0</v>
      </c>
      <c r="L137" s="57">
        <f>K137/References!$F$18</f>
        <v>0</v>
      </c>
      <c r="M137" s="57" t="e">
        <f t="shared" si="125"/>
        <v>#DIV/0!</v>
      </c>
      <c r="N137" s="51">
        <v>130.77000000000001</v>
      </c>
      <c r="O137" s="57">
        <f t="shared" si="126"/>
        <v>142.1149874669197</v>
      </c>
      <c r="P137" s="51">
        <f t="shared" si="127"/>
        <v>142.1149874669197</v>
      </c>
      <c r="Q137" s="53">
        <f t="shared" si="128"/>
        <v>0</v>
      </c>
      <c r="R137" s="53">
        <f t="shared" si="129"/>
        <v>0</v>
      </c>
      <c r="S137" s="53">
        <f t="shared" si="130"/>
        <v>0</v>
      </c>
      <c r="T137" s="53">
        <f t="shared" si="131"/>
        <v>0</v>
      </c>
      <c r="U137" s="82">
        <f t="shared" si="132"/>
        <v>0</v>
      </c>
      <c r="V137" s="23"/>
    </row>
    <row r="138" spans="1:22" ht="15" customHeight="1">
      <c r="A138" s="122"/>
      <c r="B138" s="93">
        <v>255</v>
      </c>
      <c r="C138" s="28" t="s">
        <v>223</v>
      </c>
      <c r="D138" s="18" t="s">
        <v>197</v>
      </c>
      <c r="E138" s="19"/>
      <c r="F138" s="15">
        <v>1</v>
      </c>
      <c r="G138" s="60">
        <f t="shared" si="100"/>
        <v>0</v>
      </c>
      <c r="H138" s="123"/>
      <c r="I138" s="14">
        <f t="shared" si="123"/>
        <v>0</v>
      </c>
      <c r="J138" s="20">
        <f t="shared" si="124"/>
        <v>0</v>
      </c>
      <c r="K138" s="51">
        <f>References!$C$17*J138</f>
        <v>0</v>
      </c>
      <c r="L138" s="57">
        <f>K138/References!$F$18</f>
        <v>0</v>
      </c>
      <c r="M138" s="57" t="e">
        <f t="shared" si="125"/>
        <v>#DIV/0!</v>
      </c>
      <c r="N138" s="51">
        <v>145.22</v>
      </c>
      <c r="O138" s="57">
        <f t="shared" si="126"/>
        <v>157.81860120781582</v>
      </c>
      <c r="P138" s="51">
        <f t="shared" si="127"/>
        <v>157.81860120781582</v>
      </c>
      <c r="Q138" s="53">
        <f t="shared" si="128"/>
        <v>0</v>
      </c>
      <c r="R138" s="53">
        <f t="shared" si="129"/>
        <v>0</v>
      </c>
      <c r="S138" s="53">
        <f t="shared" si="130"/>
        <v>0</v>
      </c>
      <c r="T138" s="53">
        <f t="shared" si="131"/>
        <v>0</v>
      </c>
      <c r="U138" s="82">
        <f t="shared" si="132"/>
        <v>0</v>
      </c>
      <c r="V138" s="23"/>
    </row>
    <row r="139" spans="1:22" ht="15" customHeight="1">
      <c r="A139" s="122"/>
      <c r="B139" s="93">
        <v>255</v>
      </c>
      <c r="C139" s="28" t="s">
        <v>223</v>
      </c>
      <c r="D139" s="18" t="s">
        <v>224</v>
      </c>
      <c r="E139" s="19"/>
      <c r="F139" s="15">
        <v>2.17</v>
      </c>
      <c r="G139" s="60">
        <f t="shared" si="100"/>
        <v>0</v>
      </c>
      <c r="H139" s="123"/>
      <c r="I139" s="14">
        <f t="shared" si="123"/>
        <v>0</v>
      </c>
      <c r="J139" s="20">
        <f t="shared" si="124"/>
        <v>0</v>
      </c>
      <c r="K139" s="51">
        <f>References!$C$17*J139</f>
        <v>0</v>
      </c>
      <c r="L139" s="57">
        <f>K139/References!$F$18</f>
        <v>0</v>
      </c>
      <c r="M139" s="57" t="e">
        <f t="shared" si="125"/>
        <v>#DIV/0!</v>
      </c>
      <c r="N139" s="51">
        <v>192.78</v>
      </c>
      <c r="O139" s="57">
        <f t="shared" si="126"/>
        <v>209.50468214324979</v>
      </c>
      <c r="P139" s="51">
        <f t="shared" si="127"/>
        <v>209.50468214324979</v>
      </c>
      <c r="Q139" s="53">
        <f t="shared" si="128"/>
        <v>0</v>
      </c>
      <c r="R139" s="53">
        <f t="shared" si="129"/>
        <v>0</v>
      </c>
      <c r="S139" s="53">
        <f t="shared" si="130"/>
        <v>0</v>
      </c>
      <c r="T139" s="53">
        <f t="shared" si="131"/>
        <v>0</v>
      </c>
      <c r="U139" s="82">
        <f t="shared" si="132"/>
        <v>0</v>
      </c>
      <c r="V139" s="23"/>
    </row>
    <row r="140" spans="1:22" s="23" customFormat="1">
      <c r="A140" s="160"/>
      <c r="B140" s="94">
        <v>255</v>
      </c>
      <c r="C140" s="34" t="s">
        <v>223</v>
      </c>
      <c r="D140" s="35" t="s">
        <v>201</v>
      </c>
      <c r="E140" s="24"/>
      <c r="F140" s="25">
        <v>1</v>
      </c>
      <c r="G140" s="158">
        <f t="shared" si="100"/>
        <v>0</v>
      </c>
      <c r="H140" s="161"/>
      <c r="I140" s="26">
        <f t="shared" si="123"/>
        <v>0</v>
      </c>
      <c r="J140" s="27">
        <f t="shared" si="124"/>
        <v>0</v>
      </c>
      <c r="K140" s="52">
        <f>References!$C$17*J140</f>
        <v>0</v>
      </c>
      <c r="L140" s="58">
        <f>K140/References!$F$18</f>
        <v>0</v>
      </c>
      <c r="M140" s="58" t="e">
        <f t="shared" si="125"/>
        <v>#DIV/0!</v>
      </c>
      <c r="N140" s="52">
        <v>207.35</v>
      </c>
      <c r="O140" s="58">
        <f t="shared" si="126"/>
        <v>225.33870651728833</v>
      </c>
      <c r="P140" s="52">
        <f t="shared" si="127"/>
        <v>225.33870651728833</v>
      </c>
      <c r="Q140" s="54">
        <f t="shared" si="128"/>
        <v>0</v>
      </c>
      <c r="R140" s="54">
        <f t="shared" si="129"/>
        <v>0</v>
      </c>
      <c r="S140" s="54">
        <f t="shared" si="130"/>
        <v>0</v>
      </c>
      <c r="T140" s="54">
        <f t="shared" si="131"/>
        <v>0</v>
      </c>
      <c r="U140" s="162">
        <f t="shared" si="132"/>
        <v>0</v>
      </c>
    </row>
    <row r="141" spans="1:22" s="23" customFormat="1" ht="15.75" thickBot="1">
      <c r="A141" s="163"/>
      <c r="B141" s="164"/>
      <c r="C141" s="165"/>
      <c r="D141" s="166"/>
      <c r="E141" s="167"/>
      <c r="F141" s="168"/>
      <c r="G141" s="169"/>
      <c r="H141" s="170"/>
      <c r="I141" s="171"/>
      <c r="J141" s="172"/>
      <c r="K141" s="173"/>
      <c r="L141" s="174"/>
      <c r="M141" s="174"/>
      <c r="N141" s="173"/>
      <c r="O141" s="173"/>
      <c r="P141" s="173"/>
      <c r="Q141" s="173">
        <f>SUM(Q76:Q140)</f>
        <v>1876950.2407199994</v>
      </c>
      <c r="R141" s="173">
        <f>SUM(R76:R140)</f>
        <v>2039785.5772421402</v>
      </c>
      <c r="S141" s="173">
        <f>SUM(S76:S140)</f>
        <v>162835.33652214025</v>
      </c>
      <c r="T141" s="173">
        <f>SUM(T76:T140)</f>
        <v>2039785.5772421402</v>
      </c>
      <c r="U141" s="173">
        <f>SUM(U76:U140)</f>
        <v>162538.74799454672</v>
      </c>
    </row>
    <row r="142" spans="1:22" s="23" customFormat="1">
      <c r="A142" s="159"/>
      <c r="B142" s="93"/>
      <c r="C142" s="28"/>
      <c r="D142" s="18"/>
      <c r="E142" s="19"/>
      <c r="F142" s="15"/>
      <c r="G142" s="60"/>
      <c r="H142" s="123"/>
      <c r="I142" s="14"/>
      <c r="J142" s="20"/>
      <c r="K142" s="51"/>
      <c r="L142" s="57"/>
      <c r="M142" s="57"/>
      <c r="N142" s="51"/>
      <c r="O142" s="51"/>
      <c r="P142" s="51"/>
      <c r="Q142" s="51"/>
      <c r="R142" s="51"/>
      <c r="S142" s="51"/>
      <c r="T142" s="51"/>
      <c r="U142" s="51"/>
    </row>
    <row r="143" spans="1:22" s="23" customFormat="1">
      <c r="A143" s="159"/>
      <c r="B143" s="93"/>
      <c r="C143" s="28"/>
      <c r="D143" s="18"/>
      <c r="E143" s="19"/>
      <c r="F143" s="15"/>
      <c r="G143" s="60"/>
      <c r="H143" s="123"/>
      <c r="I143" s="14"/>
      <c r="J143" s="20"/>
      <c r="K143" s="51"/>
      <c r="L143" s="57"/>
      <c r="M143" s="57"/>
      <c r="N143" s="51"/>
      <c r="O143" s="51"/>
      <c r="P143" s="51"/>
      <c r="Q143" s="51"/>
      <c r="R143" s="51"/>
      <c r="S143" s="51"/>
      <c r="T143" s="51"/>
      <c r="U143" s="51"/>
    </row>
    <row r="144" spans="1:22" s="23" customFormat="1">
      <c r="A144" s="159"/>
      <c r="B144" s="93"/>
      <c r="C144" s="28"/>
      <c r="D144" s="18"/>
      <c r="E144" s="19"/>
      <c r="F144" s="15"/>
      <c r="G144" s="60">
        <f t="shared" si="100"/>
        <v>0</v>
      </c>
      <c r="H144" s="14"/>
      <c r="I144" s="14"/>
      <c r="J144" s="20"/>
      <c r="K144" s="51"/>
      <c r="L144" s="175"/>
      <c r="M144" s="57"/>
      <c r="N144" s="51"/>
      <c r="O144" s="57"/>
      <c r="P144" s="51"/>
      <c r="Q144" s="53"/>
      <c r="R144" s="53"/>
      <c r="S144" s="53"/>
      <c r="T144" s="53"/>
      <c r="U144" s="82"/>
    </row>
    <row r="145" spans="1:21" s="23" customFormat="1">
      <c r="A145" s="159"/>
      <c r="B145" s="93">
        <v>260</v>
      </c>
      <c r="C145" s="28">
        <v>48</v>
      </c>
      <c r="D145" s="18" t="s">
        <v>114</v>
      </c>
      <c r="E145" s="19">
        <v>27</v>
      </c>
      <c r="F145" s="15">
        <f>References!$D$9</f>
        <v>1</v>
      </c>
      <c r="G145" s="60">
        <f t="shared" si="8"/>
        <v>324</v>
      </c>
      <c r="H145" s="14">
        <v>0</v>
      </c>
      <c r="I145" s="14">
        <f t="shared" ref="I145:I150" si="133">G145*H145</f>
        <v>0</v>
      </c>
      <c r="J145" s="20">
        <f>$E$298*I145</f>
        <v>0</v>
      </c>
      <c r="K145" s="51">
        <f>References!$C$17*J145</f>
        <v>0</v>
      </c>
      <c r="L145" s="57">
        <f>K145/References!$F$18</f>
        <v>0</v>
      </c>
      <c r="M145" s="57">
        <f t="shared" ref="M145:M150" si="134">L145/G145</f>
        <v>0</v>
      </c>
      <c r="N145" s="51">
        <v>61.04</v>
      </c>
      <c r="O145" s="57">
        <f t="shared" ref="O145:O166" si="135">+N145*$E$7+N145</f>
        <v>66.335542058429127</v>
      </c>
      <c r="P145" s="51">
        <f t="shared" si="38"/>
        <v>66.335542058429127</v>
      </c>
      <c r="Q145" s="53">
        <f t="shared" ref="Q145:Q150" si="136">G145*N145</f>
        <v>19776.96</v>
      </c>
      <c r="R145" s="53">
        <f t="shared" si="40"/>
        <v>21492.715626931036</v>
      </c>
      <c r="S145" s="53">
        <f t="shared" ref="S145:S150" si="137">R145-Q145</f>
        <v>1715.7556269310371</v>
      </c>
      <c r="T145" s="53">
        <f t="shared" si="41"/>
        <v>21492.715626931036</v>
      </c>
      <c r="U145" s="82">
        <f t="shared" ref="U145:U150" si="138">T145-Q145</f>
        <v>1715.7556269310371</v>
      </c>
    </row>
    <row r="146" spans="1:21" s="23" customFormat="1">
      <c r="A146" s="121"/>
      <c r="B146" s="93">
        <v>260</v>
      </c>
      <c r="C146" s="28">
        <v>48</v>
      </c>
      <c r="D146" s="18" t="s">
        <v>115</v>
      </c>
      <c r="E146" s="19">
        <v>2</v>
      </c>
      <c r="F146" s="15">
        <f>References!$D$9</f>
        <v>1</v>
      </c>
      <c r="G146" s="60">
        <f t="shared" si="8"/>
        <v>24</v>
      </c>
      <c r="H146" s="14">
        <v>0</v>
      </c>
      <c r="I146" s="14">
        <f t="shared" si="133"/>
        <v>0</v>
      </c>
      <c r="J146" s="20">
        <f>$E$298*I146</f>
        <v>0</v>
      </c>
      <c r="K146" s="51">
        <f>References!$C$17*J146</f>
        <v>0</v>
      </c>
      <c r="L146" s="57">
        <f>K146/References!$F$18</f>
        <v>0</v>
      </c>
      <c r="M146" s="57">
        <f t="shared" si="134"/>
        <v>0</v>
      </c>
      <c r="N146" s="51">
        <v>184.06</v>
      </c>
      <c r="O146" s="57">
        <f t="shared" si="135"/>
        <v>200.02817613490276</v>
      </c>
      <c r="P146" s="51">
        <f t="shared" si="38"/>
        <v>200.02817613490276</v>
      </c>
      <c r="Q146" s="53">
        <f t="shared" si="136"/>
        <v>4417.4400000000005</v>
      </c>
      <c r="R146" s="53">
        <f t="shared" ref="R146:R150" si="139">G146*P146</f>
        <v>4800.6762272376664</v>
      </c>
      <c r="S146" s="53">
        <f t="shared" si="137"/>
        <v>383.23622723766584</v>
      </c>
      <c r="T146" s="53">
        <f t="shared" si="41"/>
        <v>4800.6762272376664</v>
      </c>
      <c r="U146" s="82">
        <f t="shared" si="138"/>
        <v>383.23622723766584</v>
      </c>
    </row>
    <row r="147" spans="1:21" s="23" customFormat="1">
      <c r="A147" s="178"/>
      <c r="B147" s="93">
        <v>160</v>
      </c>
      <c r="C147" s="28">
        <v>36</v>
      </c>
      <c r="D147" s="18" t="s">
        <v>271</v>
      </c>
      <c r="E147" s="19">
        <v>2</v>
      </c>
      <c r="F147" s="15">
        <v>1</v>
      </c>
      <c r="G147" s="60">
        <f t="shared" si="8"/>
        <v>24</v>
      </c>
      <c r="H147" s="14"/>
      <c r="I147" s="14"/>
      <c r="J147" s="20"/>
      <c r="K147" s="51"/>
      <c r="L147" s="57"/>
      <c r="M147" s="57"/>
      <c r="N147" s="51">
        <f>268.96-N146</f>
        <v>84.899999999999977</v>
      </c>
      <c r="O147" s="57">
        <f t="shared" ref="O147" si="140">+N147*$E$7+N147</f>
        <v>92.265522948241014</v>
      </c>
      <c r="P147" s="51">
        <f t="shared" ref="P147" si="141">O147</f>
        <v>92.265522948241014</v>
      </c>
      <c r="Q147" s="53">
        <f t="shared" ref="Q147" si="142">G147*N147</f>
        <v>2037.5999999999995</v>
      </c>
      <c r="R147" s="53">
        <f t="shared" ref="R147" si="143">G147*P147</f>
        <v>2214.3725507577842</v>
      </c>
      <c r="S147" s="53">
        <f t="shared" ref="S147" si="144">R147-Q147</f>
        <v>176.77255075778476</v>
      </c>
      <c r="T147" s="53">
        <f t="shared" ref="T147" si="145">G147*O147</f>
        <v>2214.3725507577842</v>
      </c>
      <c r="U147" s="82">
        <f t="shared" ref="U147" si="146">T147-Q147</f>
        <v>176.77255075778476</v>
      </c>
    </row>
    <row r="148" spans="1:21" s="23" customFormat="1">
      <c r="A148" s="210" t="s">
        <v>124</v>
      </c>
      <c r="B148" s="93">
        <v>260</v>
      </c>
      <c r="C148" s="28">
        <v>48</v>
      </c>
      <c r="D148" s="18" t="s">
        <v>116</v>
      </c>
      <c r="E148" s="19">
        <v>34</v>
      </c>
      <c r="F148" s="15">
        <f>References!$D$9</f>
        <v>1</v>
      </c>
      <c r="G148" s="60">
        <f t="shared" si="8"/>
        <v>408</v>
      </c>
      <c r="H148" s="14">
        <v>0</v>
      </c>
      <c r="I148" s="14">
        <f t="shared" si="133"/>
        <v>0</v>
      </c>
      <c r="J148" s="20">
        <f>$E$298*I148</f>
        <v>0</v>
      </c>
      <c r="K148" s="51">
        <f>References!$C$17*J148</f>
        <v>0</v>
      </c>
      <c r="L148" s="57">
        <f>K148/References!$F$18</f>
        <v>0</v>
      </c>
      <c r="M148" s="57">
        <f t="shared" si="134"/>
        <v>0</v>
      </c>
      <c r="N148" s="51">
        <v>198.77</v>
      </c>
      <c r="O148" s="57">
        <f t="shared" si="135"/>
        <v>216.01434624760745</v>
      </c>
      <c r="P148" s="51">
        <f t="shared" si="38"/>
        <v>216.01434624760745</v>
      </c>
      <c r="Q148" s="53">
        <f t="shared" si="136"/>
        <v>81098.16</v>
      </c>
      <c r="R148" s="53">
        <f t="shared" si="139"/>
        <v>88133.853269023835</v>
      </c>
      <c r="S148" s="53">
        <f t="shared" si="137"/>
        <v>7035.6932690238318</v>
      </c>
      <c r="T148" s="53">
        <f t="shared" si="41"/>
        <v>88133.853269023835</v>
      </c>
      <c r="U148" s="82">
        <f t="shared" si="138"/>
        <v>7035.6932690238318</v>
      </c>
    </row>
    <row r="149" spans="1:21" s="23" customFormat="1">
      <c r="A149" s="210"/>
      <c r="B149" s="93">
        <v>160</v>
      </c>
      <c r="C149" s="28">
        <v>36</v>
      </c>
      <c r="D149" s="18" t="s">
        <v>271</v>
      </c>
      <c r="E149" s="19">
        <v>34</v>
      </c>
      <c r="F149" s="15">
        <f>References!$D$9</f>
        <v>1</v>
      </c>
      <c r="G149" s="60">
        <f t="shared" ref="G149" si="147">E149*F149*12</f>
        <v>408</v>
      </c>
      <c r="H149" s="14"/>
      <c r="I149" s="14"/>
      <c r="J149" s="20"/>
      <c r="K149" s="51"/>
      <c r="L149" s="57"/>
      <c r="M149" s="57"/>
      <c r="N149" s="51">
        <f>283.67-N148</f>
        <v>84.9</v>
      </c>
      <c r="O149" s="57">
        <f t="shared" ref="O149" si="148">+N149*$E$7+N149</f>
        <v>92.265522948241042</v>
      </c>
      <c r="P149" s="51">
        <f t="shared" ref="P149" si="149">O149</f>
        <v>92.265522948241042</v>
      </c>
      <c r="Q149" s="53">
        <f t="shared" ref="Q149" si="150">G149*N149</f>
        <v>34639.200000000004</v>
      </c>
      <c r="R149" s="53">
        <f t="shared" ref="R149" si="151">G149*P149</f>
        <v>37644.333362882346</v>
      </c>
      <c r="S149" s="53">
        <f t="shared" ref="S149" si="152">R149-Q149</f>
        <v>3005.1333628823413</v>
      </c>
      <c r="T149" s="53">
        <f t="shared" ref="T149" si="153">G149*O149</f>
        <v>37644.333362882346</v>
      </c>
      <c r="U149" s="82">
        <f t="shared" ref="U149" si="154">T149-Q149</f>
        <v>3005.1333628823413</v>
      </c>
    </row>
    <row r="150" spans="1:21" s="23" customFormat="1">
      <c r="A150" s="210"/>
      <c r="B150" s="93">
        <v>260</v>
      </c>
      <c r="C150" s="28">
        <v>48</v>
      </c>
      <c r="D150" s="18" t="s">
        <v>117</v>
      </c>
      <c r="E150" s="19">
        <v>20</v>
      </c>
      <c r="F150" s="15">
        <f>References!$D$9</f>
        <v>1</v>
      </c>
      <c r="G150" s="60">
        <f t="shared" si="8"/>
        <v>240</v>
      </c>
      <c r="H150" s="14">
        <v>0</v>
      </c>
      <c r="I150" s="14">
        <f t="shared" si="133"/>
        <v>0</v>
      </c>
      <c r="J150" s="20">
        <f>$E$298*I150</f>
        <v>0</v>
      </c>
      <c r="K150" s="51">
        <f>References!$C$17*J150</f>
        <v>0</v>
      </c>
      <c r="L150" s="57">
        <f>K150/References!$F$18</f>
        <v>0</v>
      </c>
      <c r="M150" s="57">
        <f t="shared" si="134"/>
        <v>0</v>
      </c>
      <c r="N150" s="51">
        <v>213.48</v>
      </c>
      <c r="O150" s="57">
        <f t="shared" si="135"/>
        <v>232.00051636031208</v>
      </c>
      <c r="P150" s="51">
        <f t="shared" si="38"/>
        <v>232.00051636031208</v>
      </c>
      <c r="Q150" s="53">
        <f t="shared" si="136"/>
        <v>51235.199999999997</v>
      </c>
      <c r="R150" s="53">
        <f t="shared" si="139"/>
        <v>55680.123926474902</v>
      </c>
      <c r="S150" s="53">
        <f t="shared" si="137"/>
        <v>4444.9239264749049</v>
      </c>
      <c r="T150" s="53">
        <f t="shared" si="41"/>
        <v>55680.123926474902</v>
      </c>
      <c r="U150" s="82">
        <f t="shared" si="138"/>
        <v>4444.9239264749049</v>
      </c>
    </row>
    <row r="151" spans="1:21" s="23" customFormat="1">
      <c r="A151" s="210"/>
      <c r="B151" s="93">
        <v>160</v>
      </c>
      <c r="C151" s="28">
        <v>36</v>
      </c>
      <c r="D151" s="18" t="s">
        <v>271</v>
      </c>
      <c r="E151" s="19">
        <v>20</v>
      </c>
      <c r="F151" s="15">
        <f>References!$D$9</f>
        <v>1</v>
      </c>
      <c r="G151" s="60">
        <f t="shared" ref="G151" si="155">E151*F151*12</f>
        <v>240</v>
      </c>
      <c r="H151" s="14"/>
      <c r="I151" s="14"/>
      <c r="J151" s="20"/>
      <c r="K151" s="51"/>
      <c r="L151" s="57"/>
      <c r="M151" s="57"/>
      <c r="N151" s="51">
        <f>298.38-N150</f>
        <v>84.9</v>
      </c>
      <c r="O151" s="57">
        <f t="shared" ref="O151" si="156">+N151*$E$7+N151</f>
        <v>92.265522948241042</v>
      </c>
      <c r="P151" s="51">
        <f t="shared" ref="P151" si="157">O151</f>
        <v>92.265522948241042</v>
      </c>
      <c r="Q151" s="53">
        <f t="shared" ref="Q151" si="158">G151*N151</f>
        <v>20376</v>
      </c>
      <c r="R151" s="53">
        <f t="shared" ref="R151" si="159">G151*P151</f>
        <v>22143.725507577848</v>
      </c>
      <c r="S151" s="53">
        <f t="shared" ref="S151" si="160">R151-Q151</f>
        <v>1767.7255075778485</v>
      </c>
      <c r="T151" s="53">
        <f t="shared" ref="T151" si="161">G151*O151</f>
        <v>22143.725507577848</v>
      </c>
      <c r="U151" s="82">
        <f t="shared" ref="U151" si="162">T151-Q151</f>
        <v>1767.7255075778485</v>
      </c>
    </row>
    <row r="152" spans="1:21" s="23" customFormat="1">
      <c r="A152" s="210"/>
      <c r="B152" s="93">
        <v>260</v>
      </c>
      <c r="C152" s="28">
        <v>48</v>
      </c>
      <c r="D152" s="18" t="s">
        <v>226</v>
      </c>
      <c r="E152" s="19">
        <f>2+1</f>
        <v>3</v>
      </c>
      <c r="F152" s="15">
        <f>References!$D$9</f>
        <v>1</v>
      </c>
      <c r="G152" s="60">
        <f t="shared" ref="G152:G157" si="163">E152*F152*12</f>
        <v>36</v>
      </c>
      <c r="H152" s="14">
        <v>0</v>
      </c>
      <c r="I152" s="14">
        <f t="shared" ref="I152:I157" si="164">G152*H152</f>
        <v>0</v>
      </c>
      <c r="J152" s="20">
        <f t="shared" ref="J152:J158" si="165">$E$298*I152</f>
        <v>0</v>
      </c>
      <c r="K152" s="51">
        <f>References!$C$17*J152</f>
        <v>0</v>
      </c>
      <c r="L152" s="57">
        <f>K152/References!$F$18</f>
        <v>0</v>
      </c>
      <c r="M152" s="57">
        <f t="shared" ref="M152:M157" si="166">L152/G152</f>
        <v>0</v>
      </c>
      <c r="N152" s="51">
        <v>27.15</v>
      </c>
      <c r="O152" s="57">
        <f t="shared" si="135"/>
        <v>29.505405748465773</v>
      </c>
      <c r="P152" s="51">
        <f t="shared" ref="P152:P157" si="167">O152</f>
        <v>29.505405748465773</v>
      </c>
      <c r="Q152" s="53">
        <f t="shared" ref="Q152:Q157" si="168">G152*N152</f>
        <v>977.4</v>
      </c>
      <c r="R152" s="53">
        <f t="shared" ref="R152:R157" si="169">G152*P152</f>
        <v>1062.1946069447679</v>
      </c>
      <c r="S152" s="53">
        <f t="shared" ref="S152:S157" si="170">R152-Q152</f>
        <v>84.794606944767906</v>
      </c>
      <c r="T152" s="53">
        <f t="shared" ref="T152:T157" si="171">G152*O152</f>
        <v>1062.1946069447679</v>
      </c>
      <c r="U152" s="82">
        <f t="shared" ref="U152:U157" si="172">T152-Q152</f>
        <v>84.794606944767906</v>
      </c>
    </row>
    <row r="153" spans="1:21" s="23" customFormat="1">
      <c r="A153" s="210"/>
      <c r="B153" s="93">
        <v>260</v>
      </c>
      <c r="C153" s="28">
        <v>48</v>
      </c>
      <c r="D153" s="18" t="s">
        <v>227</v>
      </c>
      <c r="E153" s="19">
        <v>4</v>
      </c>
      <c r="F153" s="15">
        <f>References!$D$9</f>
        <v>1</v>
      </c>
      <c r="G153" s="60">
        <f t="shared" si="163"/>
        <v>48</v>
      </c>
      <c r="H153" s="14">
        <v>0</v>
      </c>
      <c r="I153" s="14">
        <f t="shared" si="164"/>
        <v>0</v>
      </c>
      <c r="J153" s="20">
        <f t="shared" si="165"/>
        <v>0</v>
      </c>
      <c r="K153" s="51">
        <f>References!$C$17*J153</f>
        <v>0</v>
      </c>
      <c r="L153" s="57">
        <f>K153/References!$F$18</f>
        <v>0</v>
      </c>
      <c r="M153" s="57">
        <f t="shared" si="166"/>
        <v>0</v>
      </c>
      <c r="N153" s="51">
        <v>3.61</v>
      </c>
      <c r="O153" s="57">
        <f t="shared" si="135"/>
        <v>3.9231865470335707</v>
      </c>
      <c r="P153" s="51">
        <f t="shared" si="167"/>
        <v>3.9231865470335707</v>
      </c>
      <c r="Q153" s="53">
        <f t="shared" si="168"/>
        <v>173.28</v>
      </c>
      <c r="R153" s="53">
        <f t="shared" si="169"/>
        <v>188.31295425761141</v>
      </c>
      <c r="S153" s="53">
        <f t="shared" si="170"/>
        <v>15.032954257611408</v>
      </c>
      <c r="T153" s="53">
        <f t="shared" si="171"/>
        <v>188.31295425761141</v>
      </c>
      <c r="U153" s="82">
        <f t="shared" si="172"/>
        <v>15.032954257611408</v>
      </c>
    </row>
    <row r="154" spans="1:21" s="23" customFormat="1">
      <c r="A154" s="210"/>
      <c r="B154" s="93">
        <v>275</v>
      </c>
      <c r="C154" s="28">
        <v>49</v>
      </c>
      <c r="D154" s="18" t="s">
        <v>272</v>
      </c>
      <c r="E154" s="19"/>
      <c r="F154" s="15">
        <f>References!$D$9</f>
        <v>1</v>
      </c>
      <c r="G154" s="60">
        <f t="shared" si="163"/>
        <v>0</v>
      </c>
      <c r="H154" s="14"/>
      <c r="I154" s="14">
        <f t="shared" si="164"/>
        <v>0</v>
      </c>
      <c r="J154" s="20">
        <f t="shared" si="165"/>
        <v>0</v>
      </c>
      <c r="K154" s="51">
        <f>References!$C$17*J154</f>
        <v>0</v>
      </c>
      <c r="L154" s="57">
        <f>K154/References!$F$18</f>
        <v>0</v>
      </c>
      <c r="M154" s="57" t="e">
        <f t="shared" si="166"/>
        <v>#DIV/0!</v>
      </c>
      <c r="N154" s="51">
        <v>323.85000000000002</v>
      </c>
      <c r="O154" s="57">
        <f t="shared" si="135"/>
        <v>351.94569619302547</v>
      </c>
      <c r="P154" s="51">
        <f t="shared" si="167"/>
        <v>351.94569619302547</v>
      </c>
      <c r="Q154" s="53">
        <f t="shared" si="168"/>
        <v>0</v>
      </c>
      <c r="R154" s="53">
        <f t="shared" si="169"/>
        <v>0</v>
      </c>
      <c r="S154" s="53">
        <f t="shared" si="170"/>
        <v>0</v>
      </c>
      <c r="T154" s="53">
        <f t="shared" si="171"/>
        <v>0</v>
      </c>
      <c r="U154" s="82">
        <f t="shared" si="172"/>
        <v>0</v>
      </c>
    </row>
    <row r="155" spans="1:21" s="23" customFormat="1">
      <c r="A155" s="210"/>
      <c r="B155" s="93">
        <v>275</v>
      </c>
      <c r="C155" s="28">
        <v>49</v>
      </c>
      <c r="D155" s="18" t="s">
        <v>273</v>
      </c>
      <c r="E155" s="19">
        <v>1.3</v>
      </c>
      <c r="F155" s="15">
        <f>References!$D$9</f>
        <v>1</v>
      </c>
      <c r="G155" s="60">
        <f t="shared" si="163"/>
        <v>15.600000000000001</v>
      </c>
      <c r="H155" s="14"/>
      <c r="I155" s="14">
        <f t="shared" si="164"/>
        <v>0</v>
      </c>
      <c r="J155" s="20">
        <f t="shared" si="165"/>
        <v>0</v>
      </c>
      <c r="K155" s="51">
        <f>References!$C$17*J155</f>
        <v>0</v>
      </c>
      <c r="L155" s="57">
        <f>K155/References!$F$18</f>
        <v>0</v>
      </c>
      <c r="M155" s="57">
        <f t="shared" si="166"/>
        <v>0</v>
      </c>
      <c r="N155" s="51">
        <v>323.85000000000002</v>
      </c>
      <c r="O155" s="57">
        <f t="shared" si="135"/>
        <v>351.94569619302547</v>
      </c>
      <c r="P155" s="51">
        <f t="shared" si="167"/>
        <v>351.94569619302547</v>
      </c>
      <c r="Q155" s="53">
        <f t="shared" si="168"/>
        <v>5052.0600000000004</v>
      </c>
      <c r="R155" s="53">
        <f t="shared" si="169"/>
        <v>5490.3528606111977</v>
      </c>
      <c r="S155" s="53">
        <f t="shared" si="170"/>
        <v>438.29286061119728</v>
      </c>
      <c r="T155" s="53">
        <f t="shared" si="171"/>
        <v>5490.3528606111977</v>
      </c>
      <c r="U155" s="82">
        <f t="shared" si="172"/>
        <v>438.29286061119728</v>
      </c>
    </row>
    <row r="156" spans="1:21" s="23" customFormat="1">
      <c r="A156" s="210"/>
      <c r="B156" s="93">
        <v>275</v>
      </c>
      <c r="C156" s="28">
        <v>49</v>
      </c>
      <c r="D156" s="18" t="s">
        <v>274</v>
      </c>
      <c r="E156" s="19">
        <v>18</v>
      </c>
      <c r="F156" s="15">
        <f>References!$D$9</f>
        <v>1</v>
      </c>
      <c r="G156" s="60">
        <f t="shared" si="163"/>
        <v>216</v>
      </c>
      <c r="H156" s="14"/>
      <c r="I156" s="14">
        <f t="shared" si="164"/>
        <v>0</v>
      </c>
      <c r="J156" s="20">
        <f t="shared" si="165"/>
        <v>0</v>
      </c>
      <c r="K156" s="51">
        <f>References!$C$17*J156</f>
        <v>0</v>
      </c>
      <c r="L156" s="57">
        <f>K156/References!$F$18</f>
        <v>0</v>
      </c>
      <c r="M156" s="57">
        <f t="shared" si="166"/>
        <v>0</v>
      </c>
      <c r="N156" s="51">
        <v>323.85000000000002</v>
      </c>
      <c r="O156" s="57">
        <f t="shared" si="135"/>
        <v>351.94569619302547</v>
      </c>
      <c r="P156" s="51">
        <f t="shared" si="167"/>
        <v>351.94569619302547</v>
      </c>
      <c r="Q156" s="53">
        <f t="shared" si="168"/>
        <v>69951.600000000006</v>
      </c>
      <c r="R156" s="53">
        <f t="shared" si="169"/>
        <v>76020.270377693494</v>
      </c>
      <c r="S156" s="53">
        <f t="shared" si="170"/>
        <v>6068.6703776934883</v>
      </c>
      <c r="T156" s="53">
        <f t="shared" si="171"/>
        <v>76020.270377693494</v>
      </c>
      <c r="U156" s="82">
        <f t="shared" si="172"/>
        <v>6068.6703776934883</v>
      </c>
    </row>
    <row r="157" spans="1:21" s="23" customFormat="1">
      <c r="A157" s="210"/>
      <c r="B157" s="93">
        <v>275</v>
      </c>
      <c r="C157" s="28">
        <v>49</v>
      </c>
      <c r="D157" s="18" t="s">
        <v>275</v>
      </c>
      <c r="E157" s="19">
        <v>5</v>
      </c>
      <c r="F157" s="15">
        <f>References!$D$9</f>
        <v>1</v>
      </c>
      <c r="G157" s="60">
        <f t="shared" si="163"/>
        <v>60</v>
      </c>
      <c r="H157" s="14"/>
      <c r="I157" s="14">
        <f t="shared" si="164"/>
        <v>0</v>
      </c>
      <c r="J157" s="20">
        <f t="shared" si="165"/>
        <v>0</v>
      </c>
      <c r="K157" s="51">
        <f>References!$C$17*J157</f>
        <v>0</v>
      </c>
      <c r="L157" s="57">
        <f>K157/References!$F$18</f>
        <v>0</v>
      </c>
      <c r="M157" s="57">
        <f t="shared" si="166"/>
        <v>0</v>
      </c>
      <c r="N157" s="51">
        <v>323.85000000000002</v>
      </c>
      <c r="O157" s="57">
        <f t="shared" si="135"/>
        <v>351.94569619302547</v>
      </c>
      <c r="P157" s="51">
        <f t="shared" si="167"/>
        <v>351.94569619302547</v>
      </c>
      <c r="Q157" s="53">
        <f t="shared" si="168"/>
        <v>19431</v>
      </c>
      <c r="R157" s="53">
        <f t="shared" si="169"/>
        <v>21116.741771581528</v>
      </c>
      <c r="S157" s="53">
        <f t="shared" si="170"/>
        <v>1685.7417715815282</v>
      </c>
      <c r="T157" s="53">
        <f t="shared" si="171"/>
        <v>21116.741771581528</v>
      </c>
      <c r="U157" s="82">
        <f t="shared" si="172"/>
        <v>1685.7417715815282</v>
      </c>
    </row>
    <row r="158" spans="1:21" s="23" customFormat="1">
      <c r="A158" s="210"/>
      <c r="B158" s="93">
        <v>275</v>
      </c>
      <c r="C158" s="28">
        <v>49</v>
      </c>
      <c r="D158" s="18" t="s">
        <v>276</v>
      </c>
      <c r="E158" s="19">
        <v>4</v>
      </c>
      <c r="F158" s="15">
        <f>References!$D$9</f>
        <v>1</v>
      </c>
      <c r="G158" s="60">
        <f>E158*F158*12</f>
        <v>48</v>
      </c>
      <c r="H158" s="14"/>
      <c r="I158" s="14">
        <f>G158*H158</f>
        <v>0</v>
      </c>
      <c r="J158" s="20">
        <f t="shared" si="165"/>
        <v>0</v>
      </c>
      <c r="K158" s="51">
        <f>References!$C$17*J158</f>
        <v>0</v>
      </c>
      <c r="L158" s="57">
        <f>K158/References!$F$18</f>
        <v>0</v>
      </c>
      <c r="M158" s="57">
        <f>L158/G158</f>
        <v>0</v>
      </c>
      <c r="N158" s="51">
        <v>323.85000000000002</v>
      </c>
      <c r="O158" s="57">
        <f t="shared" si="135"/>
        <v>351.94569619302547</v>
      </c>
      <c r="P158" s="51">
        <f>O158</f>
        <v>351.94569619302547</v>
      </c>
      <c r="Q158" s="53">
        <f>G158*N158</f>
        <v>15544.800000000001</v>
      </c>
      <c r="R158" s="53">
        <f>G158*P158</f>
        <v>16893.393417265223</v>
      </c>
      <c r="S158" s="53">
        <f>R158-Q158</f>
        <v>1348.5934172652214</v>
      </c>
      <c r="T158" s="53">
        <f>G158*O158</f>
        <v>16893.393417265223</v>
      </c>
      <c r="U158" s="82">
        <f>T158-Q158</f>
        <v>1348.5934172652214</v>
      </c>
    </row>
    <row r="159" spans="1:21" s="23" customFormat="1">
      <c r="A159" s="210"/>
      <c r="B159" s="93">
        <v>275</v>
      </c>
      <c r="C159" s="28">
        <v>49</v>
      </c>
      <c r="D159" s="18" t="s">
        <v>277</v>
      </c>
      <c r="E159" s="19">
        <v>6</v>
      </c>
      <c r="F159" s="15">
        <v>1</v>
      </c>
      <c r="G159" s="60">
        <f>E159*F159*12</f>
        <v>72</v>
      </c>
      <c r="H159" s="14"/>
      <c r="I159" s="14"/>
      <c r="J159" s="20"/>
      <c r="K159" s="51">
        <f>References!$C$17*J159</f>
        <v>0</v>
      </c>
      <c r="L159" s="57">
        <f>K159/References!$F$18</f>
        <v>0</v>
      </c>
      <c r="M159" s="57">
        <f t="shared" ref="M159" si="173">L159/G159</f>
        <v>0</v>
      </c>
      <c r="N159" s="51">
        <v>323.85000000000002</v>
      </c>
      <c r="O159" s="57">
        <f t="shared" ref="O159:O160" si="174">+N159*$E$7+N159</f>
        <v>351.94569619302547</v>
      </c>
      <c r="P159" s="51">
        <f t="shared" ref="P159:P160" si="175">O159</f>
        <v>351.94569619302547</v>
      </c>
      <c r="Q159" s="53">
        <f t="shared" ref="Q159" si="176">G159*N159</f>
        <v>23317.200000000001</v>
      </c>
      <c r="R159" s="53">
        <f t="shared" ref="R159" si="177">G159*P159</f>
        <v>25340.090125897834</v>
      </c>
      <c r="S159" s="53">
        <f t="shared" ref="S159" si="178">R159-Q159</f>
        <v>2022.8901258978331</v>
      </c>
      <c r="T159" s="53">
        <f t="shared" ref="T159" si="179">G159*O159</f>
        <v>25340.090125897834</v>
      </c>
      <c r="U159" s="82">
        <f t="shared" ref="U159" si="180">T159-Q159</f>
        <v>2022.8901258978331</v>
      </c>
    </row>
    <row r="160" spans="1:21" s="23" customFormat="1">
      <c r="A160" s="210"/>
      <c r="B160" s="93">
        <v>275</v>
      </c>
      <c r="C160" s="28">
        <v>49</v>
      </c>
      <c r="D160" s="18" t="s">
        <v>280</v>
      </c>
      <c r="E160" s="19"/>
      <c r="F160" s="15"/>
      <c r="G160" s="60"/>
      <c r="H160" s="14"/>
      <c r="I160" s="14"/>
      <c r="J160" s="20"/>
      <c r="K160" s="51"/>
      <c r="L160" s="57"/>
      <c r="M160" s="57"/>
      <c r="N160" s="51">
        <v>238.95</v>
      </c>
      <c r="O160" s="57">
        <f t="shared" si="174"/>
        <v>259.68017324478438</v>
      </c>
      <c r="P160" s="51">
        <f t="shared" si="175"/>
        <v>259.68017324478438</v>
      </c>
      <c r="Q160" s="53"/>
      <c r="R160" s="53"/>
      <c r="S160" s="53"/>
      <c r="T160" s="53"/>
      <c r="U160" s="82"/>
    </row>
    <row r="161" spans="1:23" s="23" customFormat="1">
      <c r="A161" s="210"/>
      <c r="B161" s="23" t="s">
        <v>250</v>
      </c>
      <c r="C161" s="23" t="s">
        <v>251</v>
      </c>
      <c r="D161" s="18" t="s">
        <v>278</v>
      </c>
      <c r="E161" s="19">
        <v>16</v>
      </c>
      <c r="F161" s="106">
        <v>1</v>
      </c>
      <c r="G161" s="14">
        <f>+E161*12</f>
        <v>192</v>
      </c>
      <c r="H161" s="22">
        <v>0</v>
      </c>
      <c r="I161" s="20">
        <f>G161*H161/12</f>
        <v>0</v>
      </c>
      <c r="J161" s="104">
        <f>$E$298*I161</f>
        <v>0</v>
      </c>
      <c r="K161" s="51">
        <f>References!$C$17*J161</f>
        <v>0</v>
      </c>
      <c r="L161" s="51">
        <f>K161/References!$F$18</f>
        <v>0</v>
      </c>
      <c r="M161" s="57">
        <f>L161/G161</f>
        <v>0</v>
      </c>
      <c r="N161" s="72">
        <v>13.57</v>
      </c>
      <c r="O161" s="57">
        <f>+N161*$E$7+N161</f>
        <v>14.747269097851955</v>
      </c>
      <c r="P161" s="51">
        <f>O161</f>
        <v>14.747269097851955</v>
      </c>
      <c r="Q161" s="21">
        <f>E161*N161*12</f>
        <v>2605.44</v>
      </c>
      <c r="R161" s="21">
        <f>E161*P161*12</f>
        <v>2831.4756667875754</v>
      </c>
      <c r="S161" s="21">
        <f>R161-Q161</f>
        <v>226.03566678757534</v>
      </c>
      <c r="T161" s="21">
        <f>E161*O161*12</f>
        <v>2831.4756667875754</v>
      </c>
      <c r="V161" s="16"/>
    </row>
    <row r="162" spans="1:23" s="23" customFormat="1">
      <c r="A162" s="210"/>
      <c r="B162" s="93">
        <v>210</v>
      </c>
      <c r="C162" s="28">
        <v>40</v>
      </c>
      <c r="D162" s="18" t="s">
        <v>215</v>
      </c>
      <c r="E162" s="19"/>
      <c r="F162" s="15">
        <f>References!$D$9</f>
        <v>1</v>
      </c>
      <c r="G162" s="60">
        <f t="shared" ref="G162:G165" si="181">E162*F162*12</f>
        <v>0</v>
      </c>
      <c r="H162" s="14">
        <v>0</v>
      </c>
      <c r="I162" s="14">
        <f t="shared" ref="I162:I165" si="182">G162*H162</f>
        <v>0</v>
      </c>
      <c r="J162" s="20">
        <f>$E$298*I162</f>
        <v>0</v>
      </c>
      <c r="K162" s="51">
        <f>References!$C$17*J162</f>
        <v>0</v>
      </c>
      <c r="L162" s="57">
        <f>K162/References!$F$18</f>
        <v>0</v>
      </c>
      <c r="M162" s="57" t="e">
        <f t="shared" ref="M162:M165" si="183">L162/G162</f>
        <v>#DIV/0!</v>
      </c>
      <c r="N162" s="51">
        <v>12.54</v>
      </c>
      <c r="O162" s="57">
        <f t="shared" si="135"/>
        <v>13.627911163379771</v>
      </c>
      <c r="P162" s="51">
        <f t="shared" ref="P162:P166" si="184">O162</f>
        <v>13.627911163379771</v>
      </c>
      <c r="Q162" s="53">
        <f t="shared" ref="Q162:Q166" si="185">G162*N162</f>
        <v>0</v>
      </c>
      <c r="R162" s="53">
        <f t="shared" ref="R162:R166" si="186">G162*P162</f>
        <v>0</v>
      </c>
      <c r="S162" s="53">
        <f t="shared" ref="S162:S166" si="187">R162-Q162</f>
        <v>0</v>
      </c>
      <c r="T162" s="53">
        <f t="shared" ref="T162:T166" si="188">G162*O162</f>
        <v>0</v>
      </c>
      <c r="U162" s="82">
        <f t="shared" ref="U162:U168" si="189">T162-Q162</f>
        <v>0</v>
      </c>
      <c r="V162" s="23" t="s">
        <v>139</v>
      </c>
    </row>
    <row r="163" spans="1:23" s="23" customFormat="1">
      <c r="A163" s="210"/>
      <c r="B163" s="93">
        <v>210</v>
      </c>
      <c r="C163" s="28">
        <v>40</v>
      </c>
      <c r="D163" s="18" t="s">
        <v>214</v>
      </c>
      <c r="E163" s="19"/>
      <c r="F163" s="15">
        <f>References!$D$9</f>
        <v>1</v>
      </c>
      <c r="G163" s="60">
        <f t="shared" si="181"/>
        <v>0</v>
      </c>
      <c r="H163" s="14">
        <v>0</v>
      </c>
      <c r="I163" s="14">
        <f t="shared" si="182"/>
        <v>0</v>
      </c>
      <c r="J163" s="20">
        <f>$E$298*I163</f>
        <v>0</v>
      </c>
      <c r="K163" s="51">
        <f>References!$C$17*J163</f>
        <v>0</v>
      </c>
      <c r="L163" s="57">
        <f>K163/References!$F$18</f>
        <v>0</v>
      </c>
      <c r="M163" s="57" t="e">
        <f t="shared" si="183"/>
        <v>#DIV/0!</v>
      </c>
      <c r="N163" s="51">
        <v>15.09</v>
      </c>
      <c r="O163" s="57">
        <f t="shared" si="135"/>
        <v>16.399137117655563</v>
      </c>
      <c r="P163" s="51">
        <f t="shared" si="184"/>
        <v>16.399137117655563</v>
      </c>
      <c r="Q163" s="53">
        <f t="shared" si="185"/>
        <v>0</v>
      </c>
      <c r="R163" s="53">
        <f t="shared" si="186"/>
        <v>0</v>
      </c>
      <c r="S163" s="53">
        <f t="shared" si="187"/>
        <v>0</v>
      </c>
      <c r="T163" s="53">
        <f t="shared" si="188"/>
        <v>0</v>
      </c>
      <c r="U163" s="82">
        <f t="shared" si="189"/>
        <v>0</v>
      </c>
      <c r="V163" s="16" t="s">
        <v>139</v>
      </c>
    </row>
    <row r="164" spans="1:23" s="23" customFormat="1">
      <c r="A164" s="210"/>
      <c r="B164" s="93">
        <v>210</v>
      </c>
      <c r="C164" s="28">
        <v>40</v>
      </c>
      <c r="D164" s="18" t="s">
        <v>216</v>
      </c>
      <c r="E164" s="19"/>
      <c r="F164" s="15">
        <f>References!$D$9</f>
        <v>1</v>
      </c>
      <c r="G164" s="60">
        <f t="shared" si="181"/>
        <v>0</v>
      </c>
      <c r="H164" s="14">
        <v>0</v>
      </c>
      <c r="I164" s="14">
        <f t="shared" si="182"/>
        <v>0</v>
      </c>
      <c r="J164" s="20">
        <f>$E$298*I164</f>
        <v>0</v>
      </c>
      <c r="K164" s="51">
        <f>References!$C$17*J164</f>
        <v>0</v>
      </c>
      <c r="L164" s="57">
        <f>K164/References!$F$18</f>
        <v>0</v>
      </c>
      <c r="M164" s="57" t="e">
        <f t="shared" si="183"/>
        <v>#DIV/0!</v>
      </c>
      <c r="N164" s="51">
        <v>12.54</v>
      </c>
      <c r="O164" s="57">
        <f t="shared" si="135"/>
        <v>13.627911163379771</v>
      </c>
      <c r="P164" s="51">
        <f t="shared" si="184"/>
        <v>13.627911163379771</v>
      </c>
      <c r="Q164" s="53">
        <f t="shared" si="185"/>
        <v>0</v>
      </c>
      <c r="R164" s="53">
        <f t="shared" si="186"/>
        <v>0</v>
      </c>
      <c r="S164" s="53">
        <f t="shared" si="187"/>
        <v>0</v>
      </c>
      <c r="T164" s="53">
        <f t="shared" si="188"/>
        <v>0</v>
      </c>
      <c r="U164" s="82">
        <f t="shared" si="189"/>
        <v>0</v>
      </c>
      <c r="V164" s="16" t="s">
        <v>139</v>
      </c>
    </row>
    <row r="165" spans="1:23" s="23" customFormat="1">
      <c r="A165" s="210"/>
      <c r="B165" s="93">
        <v>210</v>
      </c>
      <c r="C165" s="28">
        <v>40</v>
      </c>
      <c r="D165" s="18" t="s">
        <v>217</v>
      </c>
      <c r="E165" s="19"/>
      <c r="F165" s="15">
        <f>References!$D$9</f>
        <v>1</v>
      </c>
      <c r="G165" s="60">
        <f t="shared" si="181"/>
        <v>0</v>
      </c>
      <c r="H165" s="14">
        <v>0</v>
      </c>
      <c r="I165" s="14">
        <f t="shared" si="182"/>
        <v>0</v>
      </c>
      <c r="J165" s="20">
        <f>$E$298*I165</f>
        <v>0</v>
      </c>
      <c r="K165" s="51">
        <f>References!$C$17*J165</f>
        <v>0</v>
      </c>
      <c r="L165" s="57">
        <f>K165/References!$F$18</f>
        <v>0</v>
      </c>
      <c r="M165" s="57" t="e">
        <f t="shared" si="183"/>
        <v>#DIV/0!</v>
      </c>
      <c r="N165" s="51">
        <v>18.86</v>
      </c>
      <c r="O165" s="57">
        <f t="shared" si="135"/>
        <v>20.496204508878986</v>
      </c>
      <c r="P165" s="51">
        <f t="shared" si="184"/>
        <v>20.496204508878986</v>
      </c>
      <c r="Q165" s="53">
        <f t="shared" si="185"/>
        <v>0</v>
      </c>
      <c r="R165" s="53">
        <f t="shared" si="186"/>
        <v>0</v>
      </c>
      <c r="S165" s="53">
        <f t="shared" si="187"/>
        <v>0</v>
      </c>
      <c r="T165" s="53">
        <f t="shared" si="188"/>
        <v>0</v>
      </c>
      <c r="U165" s="82">
        <f t="shared" si="189"/>
        <v>0</v>
      </c>
      <c r="V165" s="16"/>
    </row>
    <row r="166" spans="1:23" s="23" customFormat="1">
      <c r="A166" s="210"/>
      <c r="B166" s="182">
        <v>260</v>
      </c>
      <c r="C166" s="23">
        <v>48</v>
      </c>
      <c r="D166" s="18" t="s">
        <v>249</v>
      </c>
      <c r="E166" s="22">
        <v>3</v>
      </c>
      <c r="F166" s="15">
        <f>References!$D$9</f>
        <v>1</v>
      </c>
      <c r="G166" s="14">
        <f>+E166*12</f>
        <v>36</v>
      </c>
      <c r="H166" s="18"/>
      <c r="I166" s="15"/>
      <c r="J166" s="15"/>
      <c r="K166" s="14"/>
      <c r="N166" s="72">
        <v>27.15</v>
      </c>
      <c r="O166" s="57">
        <f t="shared" si="135"/>
        <v>29.505405748465773</v>
      </c>
      <c r="P166" s="51">
        <f t="shared" si="184"/>
        <v>29.505405748465773</v>
      </c>
      <c r="Q166" s="112">
        <f t="shared" si="185"/>
        <v>977.4</v>
      </c>
      <c r="R166" s="14">
        <f t="shared" si="186"/>
        <v>1062.1946069447679</v>
      </c>
      <c r="S166" s="53">
        <f t="shared" si="187"/>
        <v>84.794606944767906</v>
      </c>
      <c r="T166" s="53">
        <f t="shared" si="188"/>
        <v>1062.1946069447679</v>
      </c>
      <c r="U166" s="82">
        <f t="shared" si="189"/>
        <v>84.794606944767906</v>
      </c>
      <c r="V166" s="16"/>
    </row>
    <row r="167" spans="1:23">
      <c r="A167" s="210"/>
      <c r="B167" s="182">
        <v>160</v>
      </c>
      <c r="C167" s="23">
        <v>36</v>
      </c>
      <c r="D167" s="18" t="s">
        <v>209</v>
      </c>
      <c r="E167" s="22">
        <v>1</v>
      </c>
      <c r="F167" s="106">
        <v>1</v>
      </c>
      <c r="G167" s="14">
        <f>F167*12</f>
        <v>12</v>
      </c>
      <c r="H167" s="22">
        <v>0</v>
      </c>
      <c r="I167" s="20">
        <f>G167*H167/12</f>
        <v>0</v>
      </c>
      <c r="J167" s="104">
        <f>$E$298*I167</f>
        <v>0</v>
      </c>
      <c r="K167" s="51">
        <f>References!$C$17*J167</f>
        <v>0</v>
      </c>
      <c r="L167" s="51">
        <f>K167/References!$F$18</f>
        <v>0</v>
      </c>
      <c r="M167" s="57">
        <f>L167/G167</f>
        <v>0</v>
      </c>
      <c r="N167" s="72">
        <v>113.18</v>
      </c>
      <c r="O167" s="57">
        <f>+N167*$E$7+N167</f>
        <v>122.99896215879767</v>
      </c>
      <c r="P167" s="51">
        <f>O167</f>
        <v>122.99896215879767</v>
      </c>
      <c r="Q167" s="21">
        <f>E167*N167*12</f>
        <v>1358.16</v>
      </c>
      <c r="R167" s="21">
        <f>E167*P167*12</f>
        <v>1475.987545905572</v>
      </c>
      <c r="S167" s="21">
        <f>R167-Q167</f>
        <v>117.82754590557192</v>
      </c>
      <c r="T167" s="21">
        <f>E167*O167*12</f>
        <v>1475.987545905572</v>
      </c>
      <c r="U167" s="82">
        <f t="shared" si="189"/>
        <v>117.82754590557192</v>
      </c>
      <c r="V167" s="23"/>
    </row>
    <row r="168" spans="1:23" s="23" customFormat="1">
      <c r="A168" s="210"/>
      <c r="B168" s="93">
        <v>160</v>
      </c>
      <c r="C168" s="28">
        <v>36</v>
      </c>
      <c r="D168" s="18" t="s">
        <v>211</v>
      </c>
      <c r="F168" s="23">
        <v>1</v>
      </c>
      <c r="N168" s="51">
        <v>28.3</v>
      </c>
      <c r="O168" s="57">
        <f>+N168*$E$7+N168</f>
        <v>30.755174316080346</v>
      </c>
      <c r="P168" s="51">
        <f>O168</f>
        <v>30.755174316080346</v>
      </c>
      <c r="Q168" s="21">
        <f>E168*N168*12</f>
        <v>0</v>
      </c>
      <c r="R168" s="21">
        <f>E168*P168*12</f>
        <v>0</v>
      </c>
      <c r="S168" s="21">
        <f>R168-Q168</f>
        <v>0</v>
      </c>
      <c r="T168" s="21">
        <f>E168*O168*12</f>
        <v>0</v>
      </c>
      <c r="U168" s="82">
        <f t="shared" si="189"/>
        <v>0</v>
      </c>
      <c r="V168" s="16"/>
    </row>
    <row r="169" spans="1:23" s="23" customFormat="1">
      <c r="A169" s="210"/>
      <c r="B169" s="95"/>
      <c r="C169" s="63"/>
      <c r="D169" s="64" t="s">
        <v>25</v>
      </c>
      <c r="E169" s="193">
        <f>SUM(E76:E168)</f>
        <v>2702.6833333333334</v>
      </c>
      <c r="F169" s="194"/>
      <c r="G169" s="193">
        <f>SUM(G76:G168)</f>
        <v>99014.664000000004</v>
      </c>
      <c r="H169" s="126"/>
      <c r="I169" s="193">
        <f>SUM(I76:I168)</f>
        <v>25497651.040000007</v>
      </c>
      <c r="J169" s="193">
        <f>SUM(J76:J168)</f>
        <v>0</v>
      </c>
      <c r="K169" s="194"/>
      <c r="L169" s="194"/>
      <c r="M169" s="194"/>
      <c r="N169" s="194"/>
      <c r="O169" s="194"/>
      <c r="P169" s="194"/>
      <c r="Q169" s="193">
        <f>SUM(Q145:Q168)</f>
        <v>352968.9</v>
      </c>
      <c r="R169" s="193">
        <f>SUM(R145:R168)</f>
        <v>383590.81440477498</v>
      </c>
      <c r="S169" s="193">
        <f>SUM(S145:S168)</f>
        <v>30621.914404774972</v>
      </c>
      <c r="T169" s="193">
        <f>SUM(T76:T168)</f>
        <v>4463161.9688890548</v>
      </c>
      <c r="U169" s="193">
        <f>SUM(U76:U168)</f>
        <v>355473.37472708093</v>
      </c>
      <c r="V169" s="16" t="s">
        <v>141</v>
      </c>
    </row>
    <row r="170" spans="1:23" s="23" customFormat="1">
      <c r="A170" s="211"/>
      <c r="B170" s="65"/>
      <c r="C170" s="66"/>
      <c r="D170" s="67" t="s">
        <v>40</v>
      </c>
      <c r="E170" s="63"/>
      <c r="F170" s="63"/>
      <c r="G170" s="63"/>
      <c r="H170" s="124"/>
      <c r="I170" s="125"/>
      <c r="J170" s="126"/>
      <c r="K170" s="63"/>
      <c r="L170" s="63"/>
      <c r="M170" s="63"/>
      <c r="N170" s="63"/>
      <c r="O170" s="63"/>
      <c r="P170" s="63"/>
      <c r="Q170" s="127"/>
      <c r="R170" s="127"/>
      <c r="S170" s="127"/>
      <c r="T170" s="127"/>
      <c r="U170" s="63"/>
      <c r="V170" s="16" t="s">
        <v>139</v>
      </c>
      <c r="W170" s="16"/>
    </row>
    <row r="171" spans="1:23" ht="15" customHeight="1">
      <c r="A171" s="212" t="s">
        <v>11</v>
      </c>
      <c r="B171" s="93">
        <v>100</v>
      </c>
      <c r="C171" s="28">
        <v>30</v>
      </c>
      <c r="D171" s="18" t="s">
        <v>131</v>
      </c>
      <c r="E171" s="19">
        <v>3</v>
      </c>
      <c r="F171" s="15"/>
      <c r="G171" s="60">
        <f>+E171*12</f>
        <v>36</v>
      </c>
      <c r="H171" s="14">
        <v>34</v>
      </c>
      <c r="I171" s="14">
        <f t="shared" ref="I171:I193" si="190">G171*H171</f>
        <v>1224</v>
      </c>
      <c r="J171" s="20">
        <f t="shared" ref="J171:J183" si="191">$E$298*I171</f>
        <v>0</v>
      </c>
      <c r="K171" s="51">
        <f>References!$C$17*J171</f>
        <v>0</v>
      </c>
      <c r="L171" s="51">
        <f>K171/References!$F$18</f>
        <v>0</v>
      </c>
      <c r="M171" s="57">
        <f t="shared" ref="M171:M193" si="192">L171/G171</f>
        <v>0</v>
      </c>
      <c r="N171" s="51">
        <v>4.63</v>
      </c>
      <c r="O171" s="57">
        <f t="shared" ref="O171:O183" si="193">+N171*$E$7+N171</f>
        <v>5.0316769287438872</v>
      </c>
      <c r="P171" s="51">
        <f>O171</f>
        <v>5.0316769287438872</v>
      </c>
      <c r="Q171" s="53">
        <f>N171*G171</f>
        <v>166.68</v>
      </c>
      <c r="R171" s="53">
        <f>P171*G171</f>
        <v>181.14036943477993</v>
      </c>
      <c r="S171" s="53">
        <f>R171-Q171</f>
        <v>14.460369434779921</v>
      </c>
      <c r="T171" s="71">
        <f>O171*G171</f>
        <v>181.14036943477993</v>
      </c>
      <c r="U171" s="82">
        <f t="shared" ref="U171:U183" si="194">T171-Q171</f>
        <v>14.460369434779921</v>
      </c>
      <c r="V171" s="16" t="s">
        <v>225</v>
      </c>
      <c r="W171" s="17"/>
    </row>
    <row r="172" spans="1:23" s="17" customFormat="1">
      <c r="A172" s="210"/>
      <c r="B172" s="93">
        <v>100</v>
      </c>
      <c r="C172" s="28">
        <v>30</v>
      </c>
      <c r="D172" s="18" t="s">
        <v>125</v>
      </c>
      <c r="E172" s="105"/>
      <c r="F172" s="106">
        <v>1</v>
      </c>
      <c r="G172" s="60">
        <f>+E172*F172*12</f>
        <v>0</v>
      </c>
      <c r="H172" s="14">
        <v>34</v>
      </c>
      <c r="I172" s="14">
        <f t="shared" si="190"/>
        <v>0</v>
      </c>
      <c r="J172" s="20">
        <f t="shared" si="191"/>
        <v>0</v>
      </c>
      <c r="K172" s="51">
        <f>References!$C$17*J172</f>
        <v>0</v>
      </c>
      <c r="L172" s="51">
        <f>K172/References!$F$18</f>
        <v>0</v>
      </c>
      <c r="M172" s="57" t="e">
        <f t="shared" si="192"/>
        <v>#DIV/0!</v>
      </c>
      <c r="N172" s="72">
        <v>7.09</v>
      </c>
      <c r="O172" s="57">
        <f t="shared" si="193"/>
        <v>7.7050949081628852</v>
      </c>
      <c r="P172" s="51">
        <f>O172</f>
        <v>7.7050949081628852</v>
      </c>
      <c r="Q172" s="53">
        <f>N172*G172</f>
        <v>0</v>
      </c>
      <c r="R172" s="53">
        <f>MROUND(Q172+P172,References!$E$28)</f>
        <v>7.71</v>
      </c>
      <c r="S172" s="53">
        <f>R172-Q172</f>
        <v>7.71</v>
      </c>
      <c r="T172" s="82">
        <f>MROUND(S172+R172,References!$E$28)</f>
        <v>15.42</v>
      </c>
      <c r="U172" s="82">
        <f>MROUND(T172+S172,References!$E$28)</f>
        <v>23.13</v>
      </c>
      <c r="V172" s="16" t="s">
        <v>140</v>
      </c>
      <c r="W172" s="16"/>
    </row>
    <row r="173" spans="1:23">
      <c r="A173" s="210"/>
      <c r="B173" s="93">
        <v>100</v>
      </c>
      <c r="C173" s="28">
        <v>26</v>
      </c>
      <c r="D173" s="18" t="s">
        <v>213</v>
      </c>
      <c r="E173" s="105">
        <v>309</v>
      </c>
      <c r="F173" s="106">
        <v>4.33</v>
      </c>
      <c r="G173" s="60">
        <f>+E173*F173*12</f>
        <v>16055.64</v>
      </c>
      <c r="H173" s="14">
        <v>0</v>
      </c>
      <c r="I173" s="14">
        <f t="shared" si="190"/>
        <v>0</v>
      </c>
      <c r="J173" s="20">
        <f t="shared" si="191"/>
        <v>0</v>
      </c>
      <c r="K173" s="51">
        <f>References!$C$17*J173</f>
        <v>0</v>
      </c>
      <c r="L173" s="51">
        <f>K173/References!$F$18</f>
        <v>0</v>
      </c>
      <c r="M173" s="57">
        <f t="shared" ref="M173" si="195">L173/G173</f>
        <v>0</v>
      </c>
      <c r="N173" s="72">
        <v>1.35</v>
      </c>
      <c r="O173" s="57">
        <f t="shared" si="193"/>
        <v>1.4671196228518895</v>
      </c>
      <c r="P173" s="51">
        <f>O173</f>
        <v>1.4671196228518895</v>
      </c>
      <c r="Q173" s="53">
        <f>N173*G173</f>
        <v>21675.114000000001</v>
      </c>
      <c r="R173" s="53">
        <f>MROUND(Q173+P173,References!$E$28)</f>
        <v>21676.58</v>
      </c>
      <c r="S173" s="53">
        <f>R173-Q173</f>
        <v>1.4660000000003492</v>
      </c>
      <c r="T173" s="82">
        <f>MROUND(S173+R173,References!$E$28)</f>
        <v>21678.05</v>
      </c>
      <c r="U173" s="57">
        <f>MROUND(T173+S173,References!$E$28)</f>
        <v>21679.52</v>
      </c>
      <c r="V173" s="16" t="s">
        <v>132</v>
      </c>
    </row>
    <row r="174" spans="1:23">
      <c r="A174" s="210"/>
      <c r="B174" s="93">
        <v>80</v>
      </c>
      <c r="C174" s="28">
        <v>23</v>
      </c>
      <c r="D174" s="18" t="s">
        <v>118</v>
      </c>
      <c r="E174" s="105">
        <f>63+62</f>
        <v>125</v>
      </c>
      <c r="F174" s="106"/>
      <c r="G174" s="60">
        <f>+E174*12</f>
        <v>1500</v>
      </c>
      <c r="H174" s="20">
        <v>0</v>
      </c>
      <c r="I174" s="14">
        <f t="shared" si="190"/>
        <v>0</v>
      </c>
      <c r="J174" s="20">
        <f t="shared" si="191"/>
        <v>0</v>
      </c>
      <c r="K174" s="51">
        <f>References!$C$17*J174</f>
        <v>0</v>
      </c>
      <c r="L174" s="51">
        <f>K174/References!$F$18</f>
        <v>0</v>
      </c>
      <c r="M174" s="57">
        <f t="shared" si="192"/>
        <v>0</v>
      </c>
      <c r="N174" s="72">
        <v>3.29</v>
      </c>
      <c r="O174" s="57">
        <f t="shared" si="193"/>
        <v>3.5754248586538635</v>
      </c>
      <c r="P174" s="51">
        <f t="shared" ref="P174:P183" si="196">O174</f>
        <v>3.5754248586538635</v>
      </c>
      <c r="Q174" s="53">
        <f t="shared" ref="Q174:Q183" si="197">N174*G174</f>
        <v>4935</v>
      </c>
      <c r="R174" s="53">
        <f t="shared" ref="R174:R183" si="198">P174*G174</f>
        <v>5363.137287980795</v>
      </c>
      <c r="S174" s="53">
        <f t="shared" ref="S174:S183" si="199">R174-Q174</f>
        <v>428.13728798079501</v>
      </c>
      <c r="T174" s="71">
        <f>O174*G174</f>
        <v>5363.137287980795</v>
      </c>
      <c r="U174" s="82">
        <f t="shared" si="194"/>
        <v>428.13728798079501</v>
      </c>
      <c r="V174" s="16" t="s">
        <v>225</v>
      </c>
    </row>
    <row r="175" spans="1:23">
      <c r="A175" s="210"/>
      <c r="B175" s="93">
        <v>80</v>
      </c>
      <c r="C175" s="28">
        <v>23</v>
      </c>
      <c r="D175" s="18" t="s">
        <v>167</v>
      </c>
      <c r="E175" s="105">
        <f>16+17</f>
        <v>33</v>
      </c>
      <c r="F175" s="106"/>
      <c r="G175" s="60">
        <f>+E175*12</f>
        <v>396</v>
      </c>
      <c r="H175" s="20">
        <v>0</v>
      </c>
      <c r="I175" s="14">
        <f t="shared" ref="I175" si="200">G175*H175</f>
        <v>0</v>
      </c>
      <c r="J175" s="20">
        <f t="shared" si="191"/>
        <v>0</v>
      </c>
      <c r="K175" s="51">
        <f>References!$C$17*J175</f>
        <v>0</v>
      </c>
      <c r="L175" s="51">
        <f>K175/References!$F$18</f>
        <v>0</v>
      </c>
      <c r="M175" s="57">
        <f t="shared" ref="M175:M182" si="201">L175/G175</f>
        <v>0</v>
      </c>
      <c r="N175" s="72">
        <v>1.78</v>
      </c>
      <c r="O175" s="57">
        <f t="shared" si="193"/>
        <v>1.9344243916121209</v>
      </c>
      <c r="P175" s="51">
        <f t="shared" ref="P175:P176" si="202">O175</f>
        <v>1.9344243916121209</v>
      </c>
      <c r="Q175" s="53">
        <f t="shared" ref="Q175" si="203">N175*G175</f>
        <v>704.88</v>
      </c>
      <c r="R175" s="53">
        <f t="shared" ref="R175" si="204">P175*G175</f>
        <v>766.03205907839981</v>
      </c>
      <c r="S175" s="53">
        <f t="shared" ref="S175:S182" si="205">R175-Q175</f>
        <v>61.152059078399816</v>
      </c>
      <c r="T175" s="71">
        <f>O175*G175</f>
        <v>766.03205907839981</v>
      </c>
      <c r="U175" s="82">
        <f t="shared" ref="U175" si="206">T175-Q175</f>
        <v>61.152059078399816</v>
      </c>
    </row>
    <row r="176" spans="1:23">
      <c r="A176" s="210"/>
      <c r="B176" s="180">
        <v>51</v>
      </c>
      <c r="C176" s="17">
        <v>19</v>
      </c>
      <c r="D176" s="18" t="s">
        <v>162</v>
      </c>
      <c r="E176" s="21">
        <v>18</v>
      </c>
      <c r="F176" s="106">
        <v>1</v>
      </c>
      <c r="G176" s="14">
        <f t="shared" ref="G176" si="207">F176*12</f>
        <v>12</v>
      </c>
      <c r="H176" s="21">
        <v>0</v>
      </c>
      <c r="I176" s="20">
        <f t="shared" ref="I176" si="208">G176*H176/12</f>
        <v>0</v>
      </c>
      <c r="J176" s="14">
        <f t="shared" si="191"/>
        <v>0</v>
      </c>
      <c r="K176" s="51">
        <f>References!$C$17*J176</f>
        <v>0</v>
      </c>
      <c r="L176" s="51">
        <f>K176/References!$F$18</f>
        <v>0</v>
      </c>
      <c r="M176" s="57">
        <f t="shared" si="201"/>
        <v>0</v>
      </c>
      <c r="N176" s="72">
        <v>16.649999999999999</v>
      </c>
      <c r="O176" s="57">
        <f t="shared" si="193"/>
        <v>18.094475348506634</v>
      </c>
      <c r="P176" s="51">
        <f t="shared" si="202"/>
        <v>18.094475348506634</v>
      </c>
      <c r="Q176" s="53">
        <f t="shared" ref="Q176" si="209">E176*N176*12</f>
        <v>3596.3999999999996</v>
      </c>
      <c r="R176" s="21">
        <f t="shared" ref="R176" si="210">E176*P176*12</f>
        <v>3908.4066752774334</v>
      </c>
      <c r="S176" s="21">
        <f t="shared" si="205"/>
        <v>312.00667527743371</v>
      </c>
      <c r="T176" s="21">
        <f t="shared" ref="T176" si="211">E176*O176*12</f>
        <v>3908.4066752774334</v>
      </c>
      <c r="U176" s="23"/>
    </row>
    <row r="177" spans="1:22" s="23" customFormat="1">
      <c r="A177" s="210"/>
      <c r="B177" s="182">
        <v>51</v>
      </c>
      <c r="C177" s="23">
        <v>19</v>
      </c>
      <c r="D177" s="18" t="s">
        <v>161</v>
      </c>
      <c r="E177" s="22">
        <v>8</v>
      </c>
      <c r="F177" s="106">
        <v>1</v>
      </c>
      <c r="G177" s="14">
        <f>F177*12</f>
        <v>12</v>
      </c>
      <c r="H177" s="22">
        <v>0</v>
      </c>
      <c r="I177" s="20">
        <f>G177*H177/12</f>
        <v>0</v>
      </c>
      <c r="J177" s="104">
        <f t="shared" si="191"/>
        <v>0</v>
      </c>
      <c r="K177" s="51">
        <f>References!$C$17*J177</f>
        <v>0</v>
      </c>
      <c r="L177" s="51">
        <f>K177/References!$F$18</f>
        <v>0</v>
      </c>
      <c r="M177" s="57">
        <f>L177/G177</f>
        <v>0</v>
      </c>
      <c r="N177" s="72">
        <v>11.1</v>
      </c>
      <c r="O177" s="57">
        <f>+N177*$E$7+N177</f>
        <v>12.06298356567109</v>
      </c>
      <c r="P177" s="51">
        <f t="shared" ref="P177:P182" si="212">O177</f>
        <v>12.06298356567109</v>
      </c>
      <c r="Q177" s="21">
        <f>E177*N177*12</f>
        <v>1065.5999999999999</v>
      </c>
      <c r="R177" s="21">
        <f>E177*P177*12</f>
        <v>1158.0464223044246</v>
      </c>
      <c r="S177" s="21">
        <f>R177-Q177</f>
        <v>92.446422304424686</v>
      </c>
      <c r="T177" s="21">
        <f>E177*O177*12</f>
        <v>1158.0464223044246</v>
      </c>
      <c r="U177" s="16"/>
    </row>
    <row r="178" spans="1:22" s="23" customFormat="1">
      <c r="A178" s="210"/>
      <c r="B178" s="182">
        <v>50</v>
      </c>
      <c r="C178" s="23">
        <v>19</v>
      </c>
      <c r="D178" s="18" t="s">
        <v>160</v>
      </c>
      <c r="E178" s="22">
        <v>2</v>
      </c>
      <c r="F178" s="106">
        <v>1</v>
      </c>
      <c r="G178" s="14">
        <f>F178*12</f>
        <v>12</v>
      </c>
      <c r="H178" s="22">
        <v>0</v>
      </c>
      <c r="I178" s="20">
        <f>G178*H178/12</f>
        <v>0</v>
      </c>
      <c r="J178" s="104">
        <f t="shared" si="191"/>
        <v>0</v>
      </c>
      <c r="K178" s="51">
        <f>References!$C$17*J178</f>
        <v>0</v>
      </c>
      <c r="L178" s="51">
        <f>K178/References!$F$18</f>
        <v>0</v>
      </c>
      <c r="M178" s="57">
        <f>L178/G178</f>
        <v>0</v>
      </c>
      <c r="N178" s="72">
        <v>11.1</v>
      </c>
      <c r="O178" s="57">
        <f>+N178*$E$7+N178</f>
        <v>12.06298356567109</v>
      </c>
      <c r="P178" s="51">
        <f t="shared" si="212"/>
        <v>12.06298356567109</v>
      </c>
      <c r="Q178" s="21">
        <f>E178*N178*12</f>
        <v>266.39999999999998</v>
      </c>
      <c r="R178" s="21">
        <f>E178*P178*12</f>
        <v>289.51160557610615</v>
      </c>
      <c r="S178" s="21">
        <f>R178-Q178</f>
        <v>23.111605576106172</v>
      </c>
      <c r="T178" s="21">
        <f>E178*O178*12</f>
        <v>289.51160557610615</v>
      </c>
      <c r="U178" s="16"/>
    </row>
    <row r="179" spans="1:22" s="23" customFormat="1" ht="14.45" customHeight="1">
      <c r="A179" s="210"/>
      <c r="B179" s="93">
        <v>100</v>
      </c>
      <c r="C179" s="28">
        <v>26</v>
      </c>
      <c r="D179" s="18" t="s">
        <v>128</v>
      </c>
      <c r="E179" s="105">
        <v>6</v>
      </c>
      <c r="F179" s="106">
        <v>1</v>
      </c>
      <c r="G179" s="14">
        <f t="shared" ref="G179:G180" si="213">F179*12</f>
        <v>12</v>
      </c>
      <c r="H179" s="20">
        <v>47</v>
      </c>
      <c r="I179" s="20">
        <f t="shared" ref="I179:I180" si="214">G179*H179/12</f>
        <v>47</v>
      </c>
      <c r="J179" s="20">
        <f t="shared" si="191"/>
        <v>0</v>
      </c>
      <c r="K179" s="51">
        <f>References!$C$17*J179</f>
        <v>0</v>
      </c>
      <c r="L179" s="51">
        <f>K179/References!$F$18</f>
        <v>0</v>
      </c>
      <c r="M179" s="57">
        <f>L179/G179</f>
        <v>0</v>
      </c>
      <c r="N179" s="72">
        <v>4.1900000000000004</v>
      </c>
      <c r="O179" s="57">
        <f>+N179*$E$7+N179</f>
        <v>4.5535046072217904</v>
      </c>
      <c r="P179" s="51">
        <f t="shared" si="212"/>
        <v>4.5535046072217904</v>
      </c>
      <c r="Q179" s="21">
        <f t="shared" ref="Q179:Q180" si="215">E179*N179*12</f>
        <v>301.68</v>
      </c>
      <c r="R179" s="21">
        <f t="shared" ref="R179:R180" si="216">E179*P179*12</f>
        <v>327.8523317199689</v>
      </c>
      <c r="S179" s="21">
        <f t="shared" ref="S179:S180" si="217">R179-Q179</f>
        <v>26.172331719968895</v>
      </c>
      <c r="T179" s="22">
        <f t="shared" ref="T179:T180" si="218">E179*O179*12</f>
        <v>327.8523317199689</v>
      </c>
      <c r="U179" s="16" t="s">
        <v>139</v>
      </c>
    </row>
    <row r="180" spans="1:22" s="23" customFormat="1">
      <c r="A180" s="210"/>
      <c r="B180" s="93">
        <v>100</v>
      </c>
      <c r="C180" s="28">
        <v>26</v>
      </c>
      <c r="D180" s="18" t="s">
        <v>129</v>
      </c>
      <c r="E180" s="105">
        <v>26</v>
      </c>
      <c r="F180" s="106">
        <v>1</v>
      </c>
      <c r="G180" s="14">
        <f t="shared" si="213"/>
        <v>12</v>
      </c>
      <c r="H180" s="20">
        <v>68</v>
      </c>
      <c r="I180" s="20">
        <f t="shared" si="214"/>
        <v>68</v>
      </c>
      <c r="J180" s="20">
        <f t="shared" si="191"/>
        <v>0</v>
      </c>
      <c r="K180" s="51">
        <f>References!$C$17*J180</f>
        <v>0</v>
      </c>
      <c r="L180" s="51">
        <f>K180/References!$F$18</f>
        <v>0</v>
      </c>
      <c r="M180" s="57">
        <f>L180/G180</f>
        <v>0</v>
      </c>
      <c r="N180" s="72">
        <v>6.22</v>
      </c>
      <c r="O180" s="57">
        <f>+N180*$E$7+N180</f>
        <v>6.7596178178805566</v>
      </c>
      <c r="P180" s="51">
        <f t="shared" si="212"/>
        <v>6.7596178178805566</v>
      </c>
      <c r="Q180" s="21">
        <f t="shared" si="215"/>
        <v>1940.6399999999999</v>
      </c>
      <c r="R180" s="21">
        <f t="shared" si="216"/>
        <v>2109.0007591787335</v>
      </c>
      <c r="S180" s="21">
        <f t="shared" si="217"/>
        <v>168.36075917873359</v>
      </c>
      <c r="T180" s="21">
        <f t="shared" si="218"/>
        <v>2109.0007591787335</v>
      </c>
      <c r="U180" s="16" t="s">
        <v>139</v>
      </c>
    </row>
    <row r="181" spans="1:22" s="23" customFormat="1">
      <c r="A181" s="210"/>
      <c r="B181" s="182">
        <v>55</v>
      </c>
      <c r="C181" s="23">
        <v>20</v>
      </c>
      <c r="D181" s="18" t="s">
        <v>164</v>
      </c>
      <c r="E181" s="22">
        <f>8+571+33/2+4</f>
        <v>599.5</v>
      </c>
      <c r="F181" s="106">
        <v>1</v>
      </c>
      <c r="G181" s="14">
        <f>F181*12</f>
        <v>12</v>
      </c>
      <c r="H181" s="22">
        <v>0</v>
      </c>
      <c r="I181" s="20">
        <f>G181*H181/12</f>
        <v>0</v>
      </c>
      <c r="J181" s="104">
        <f t="shared" si="191"/>
        <v>0</v>
      </c>
      <c r="K181" s="51">
        <f>References!$C$17*J181</f>
        <v>0</v>
      </c>
      <c r="L181" s="51">
        <f>K181/References!$F$18</f>
        <v>0</v>
      </c>
      <c r="M181" s="57">
        <f>L181/G181</f>
        <v>0</v>
      </c>
      <c r="N181" s="72">
        <v>3.09</v>
      </c>
      <c r="O181" s="57">
        <f>+N181*$E$7+N181</f>
        <v>3.3580738034165467</v>
      </c>
      <c r="P181" s="51">
        <f t="shared" si="212"/>
        <v>3.3580738034165467</v>
      </c>
      <c r="Q181" s="21">
        <f>E181*N181</f>
        <v>1852.4549999999999</v>
      </c>
      <c r="R181" s="21">
        <f>E181*P181*12</f>
        <v>24157.982941778639</v>
      </c>
      <c r="S181" s="21">
        <f>R181-Q181</f>
        <v>22305.527941778637</v>
      </c>
      <c r="T181" s="21">
        <f>E181*O181*12</f>
        <v>24157.982941778639</v>
      </c>
      <c r="U181" s="16"/>
    </row>
    <row r="182" spans="1:22">
      <c r="A182" s="210"/>
      <c r="B182" s="93">
        <v>150</v>
      </c>
      <c r="C182" s="28">
        <v>35</v>
      </c>
      <c r="D182" s="18" t="s">
        <v>120</v>
      </c>
      <c r="E182" s="19">
        <f>72.5+15+42+76+65</f>
        <v>270.5</v>
      </c>
      <c r="F182" s="15">
        <v>1</v>
      </c>
      <c r="G182" s="60">
        <f t="shared" ref="G182" si="219">+E182*12</f>
        <v>3246</v>
      </c>
      <c r="H182" s="14">
        <v>34</v>
      </c>
      <c r="I182" s="14">
        <f t="shared" ref="I182" si="220">G182*H182</f>
        <v>110364</v>
      </c>
      <c r="J182" s="20">
        <f t="shared" si="191"/>
        <v>0</v>
      </c>
      <c r="K182" s="51">
        <f>References!$C$17*J182</f>
        <v>0</v>
      </c>
      <c r="L182" s="51">
        <f>K182/References!$F$18</f>
        <v>0</v>
      </c>
      <c r="M182" s="57">
        <f t="shared" si="201"/>
        <v>0</v>
      </c>
      <c r="N182" s="51">
        <v>19.559999999999999</v>
      </c>
      <c r="O182" s="57">
        <f t="shared" si="193"/>
        <v>21.256933202209595</v>
      </c>
      <c r="P182" s="51">
        <f t="shared" si="212"/>
        <v>21.256933202209595</v>
      </c>
      <c r="Q182" s="53">
        <f t="shared" ref="Q182" si="221">N182*G182</f>
        <v>63491.759999999995</v>
      </c>
      <c r="R182" s="53">
        <f t="shared" ref="R182" si="222">P182*G182</f>
        <v>69000.005174372345</v>
      </c>
      <c r="S182" s="53">
        <f t="shared" si="205"/>
        <v>5508.2451743723504</v>
      </c>
      <c r="T182" s="71">
        <f>O182*G182</f>
        <v>69000.005174372345</v>
      </c>
      <c r="U182" s="82">
        <f t="shared" ref="U182" si="223">T182-Q182</f>
        <v>5508.2451743723504</v>
      </c>
    </row>
    <row r="183" spans="1:22">
      <c r="A183" s="210"/>
      <c r="B183" s="94">
        <v>80</v>
      </c>
      <c r="C183" s="34">
        <v>23</v>
      </c>
      <c r="D183" s="35" t="s">
        <v>119</v>
      </c>
      <c r="E183" s="101">
        <f>17+1</f>
        <v>18</v>
      </c>
      <c r="F183" s="188">
        <v>1</v>
      </c>
      <c r="G183" s="158">
        <f>+E183*F183*12</f>
        <v>216</v>
      </c>
      <c r="H183" s="27">
        <v>0</v>
      </c>
      <c r="I183" s="26">
        <f t="shared" si="190"/>
        <v>0</v>
      </c>
      <c r="J183" s="27">
        <f t="shared" si="191"/>
        <v>0</v>
      </c>
      <c r="K183" s="51">
        <f>References!$C$17*J183</f>
        <v>0</v>
      </c>
      <c r="L183" s="52">
        <f>K183/References!$F$18</f>
        <v>0</v>
      </c>
      <c r="M183" s="58">
        <f t="shared" si="192"/>
        <v>0</v>
      </c>
      <c r="N183" s="73">
        <v>3.29</v>
      </c>
      <c r="O183" s="57">
        <f t="shared" si="193"/>
        <v>3.5754248586538635</v>
      </c>
      <c r="P183" s="52">
        <f t="shared" si="196"/>
        <v>3.5754248586538635</v>
      </c>
      <c r="Q183" s="54">
        <f t="shared" si="197"/>
        <v>710.64</v>
      </c>
      <c r="R183" s="54">
        <f t="shared" si="198"/>
        <v>772.29176946923451</v>
      </c>
      <c r="S183" s="54">
        <f t="shared" si="199"/>
        <v>61.651769469234523</v>
      </c>
      <c r="T183" s="54">
        <f>O183*G183</f>
        <v>772.29176946923451</v>
      </c>
      <c r="U183" s="82">
        <f t="shared" si="194"/>
        <v>61.651769469234523</v>
      </c>
    </row>
    <row r="184" spans="1:22">
      <c r="A184" s="181"/>
      <c r="B184" s="95"/>
      <c r="C184" s="28"/>
      <c r="D184" s="48" t="s">
        <v>25</v>
      </c>
      <c r="E184" s="128">
        <f>SUM(E171:E183)</f>
        <v>1418</v>
      </c>
      <c r="F184" s="107"/>
      <c r="G184" s="128">
        <f>SUM(G171:G183)</f>
        <v>21521.64</v>
      </c>
      <c r="H184" s="108"/>
      <c r="I184" s="179">
        <f>SUM(I171:I183)</f>
        <v>111703</v>
      </c>
      <c r="J184" s="128">
        <f>SUM(J171:J183)</f>
        <v>0</v>
      </c>
      <c r="K184" s="62"/>
      <c r="L184" s="74"/>
      <c r="M184" s="74"/>
      <c r="N184" s="75"/>
      <c r="O184" s="74"/>
      <c r="P184" s="75"/>
      <c r="Q184" s="179">
        <f t="shared" ref="Q184:U184" si="224">SUM(Q171:Q183)</f>
        <v>100707.249</v>
      </c>
      <c r="R184" s="179">
        <f>SUM(R171:R183)</f>
        <v>129717.69739617086</v>
      </c>
      <c r="S184" s="179">
        <f t="shared" si="224"/>
        <v>29010.448396170865</v>
      </c>
      <c r="T184" s="179">
        <f t="shared" si="224"/>
        <v>129726.87739617085</v>
      </c>
      <c r="U184" s="128">
        <f t="shared" si="224"/>
        <v>27776.296660335556</v>
      </c>
    </row>
    <row r="185" spans="1:22" ht="15" customHeight="1">
      <c r="A185" s="212" t="s">
        <v>12</v>
      </c>
      <c r="B185" s="93">
        <v>150</v>
      </c>
      <c r="C185" s="29">
        <v>35</v>
      </c>
      <c r="D185" s="30" t="s">
        <v>120</v>
      </c>
      <c r="E185" s="189">
        <v>0</v>
      </c>
      <c r="F185" s="33">
        <v>1</v>
      </c>
      <c r="G185" s="59">
        <f t="shared" ref="G185:G190" si="225">+E185*12</f>
        <v>0</v>
      </c>
      <c r="H185" s="31">
        <v>34</v>
      </c>
      <c r="I185" s="14">
        <f t="shared" si="190"/>
        <v>0</v>
      </c>
      <c r="J185" s="32">
        <f t="shared" ref="J185:J193" si="226">$E$298*I185</f>
        <v>0</v>
      </c>
      <c r="K185" s="51">
        <f>References!$C$17*J185</f>
        <v>0</v>
      </c>
      <c r="L185" s="50">
        <f>K185/References!$F$18</f>
        <v>0</v>
      </c>
      <c r="M185" s="57" t="e">
        <f t="shared" si="192"/>
        <v>#DIV/0!</v>
      </c>
      <c r="N185" s="50">
        <v>19.559999999999999</v>
      </c>
      <c r="O185" s="57">
        <f t="shared" ref="O185:O193" si="227">+N185*$E$7+N185</f>
        <v>21.256933202209595</v>
      </c>
      <c r="P185" s="50">
        <f>O185</f>
        <v>21.256933202209595</v>
      </c>
      <c r="Q185" s="53">
        <f t="shared" ref="Q185:Q193" si="228">N185*G185</f>
        <v>0</v>
      </c>
      <c r="R185" s="53">
        <f t="shared" ref="R185:R193" si="229">P185*G185</f>
        <v>0</v>
      </c>
      <c r="S185" s="53">
        <f t="shared" ref="S185:S193" si="230">R185-Q185</f>
        <v>0</v>
      </c>
      <c r="T185" s="71">
        <f>O185*G185</f>
        <v>0</v>
      </c>
      <c r="U185" s="82">
        <f t="shared" ref="U185:U193" si="231">T185-Q185</f>
        <v>0</v>
      </c>
    </row>
    <row r="186" spans="1:22">
      <c r="A186" s="210"/>
      <c r="B186" s="93">
        <v>245</v>
      </c>
      <c r="C186" s="28">
        <v>46</v>
      </c>
      <c r="D186" s="18" t="s">
        <v>232</v>
      </c>
      <c r="E186" s="19">
        <v>15</v>
      </c>
      <c r="F186" s="15">
        <v>4.33</v>
      </c>
      <c r="G186" s="60">
        <f t="shared" si="225"/>
        <v>180</v>
      </c>
      <c r="H186" s="14">
        <v>34</v>
      </c>
      <c r="I186" s="14">
        <f t="shared" si="190"/>
        <v>6120</v>
      </c>
      <c r="J186" s="20">
        <f t="shared" si="226"/>
        <v>0</v>
      </c>
      <c r="K186" s="51">
        <f>References!$C$17*J186</f>
        <v>0</v>
      </c>
      <c r="L186" s="51">
        <f>K186/References!$F$18</f>
        <v>0</v>
      </c>
      <c r="M186" s="57">
        <f t="shared" si="192"/>
        <v>0</v>
      </c>
      <c r="N186" s="51">
        <v>3.5</v>
      </c>
      <c r="O186" s="57">
        <f t="shared" si="227"/>
        <v>3.8036434666530465</v>
      </c>
      <c r="P186" s="51">
        <f>O186</f>
        <v>3.8036434666530465</v>
      </c>
      <c r="Q186" s="53">
        <f t="shared" si="228"/>
        <v>630</v>
      </c>
      <c r="R186" s="53">
        <f t="shared" si="229"/>
        <v>684.6558239975484</v>
      </c>
      <c r="S186" s="53">
        <f t="shared" si="230"/>
        <v>54.655823997548396</v>
      </c>
      <c r="T186" s="71">
        <f>O186*G186</f>
        <v>684.6558239975484</v>
      </c>
      <c r="U186" s="82">
        <f t="shared" si="231"/>
        <v>54.655823997548396</v>
      </c>
    </row>
    <row r="187" spans="1:22">
      <c r="A187" s="210"/>
      <c r="B187" s="93">
        <v>205</v>
      </c>
      <c r="C187" s="28">
        <v>38</v>
      </c>
      <c r="D187" s="18" t="s">
        <v>212</v>
      </c>
      <c r="E187" s="19">
        <f>107+21+2</f>
        <v>130</v>
      </c>
      <c r="F187" s="15">
        <v>4.33</v>
      </c>
      <c r="G187" s="60">
        <f t="shared" si="225"/>
        <v>1560</v>
      </c>
      <c r="H187" s="14">
        <v>0</v>
      </c>
      <c r="I187" s="14">
        <f t="shared" si="190"/>
        <v>0</v>
      </c>
      <c r="J187" s="20">
        <f t="shared" si="226"/>
        <v>0</v>
      </c>
      <c r="K187" s="51">
        <f>References!$C$17*J187</f>
        <v>0</v>
      </c>
      <c r="L187" s="51">
        <f>K187/References!$F$18</f>
        <v>0</v>
      </c>
      <c r="M187" s="57">
        <f t="shared" si="192"/>
        <v>0</v>
      </c>
      <c r="N187" s="51">
        <v>2.69</v>
      </c>
      <c r="O187" s="57">
        <f t="shared" si="227"/>
        <v>2.9233716929419127</v>
      </c>
      <c r="P187" s="51">
        <f t="shared" ref="P187:P193" si="232">O187</f>
        <v>2.9233716929419127</v>
      </c>
      <c r="Q187" s="53">
        <f t="shared" si="228"/>
        <v>4196.3999999999996</v>
      </c>
      <c r="R187" s="53">
        <f t="shared" si="229"/>
        <v>4560.4598409893833</v>
      </c>
      <c r="S187" s="53">
        <f t="shared" si="230"/>
        <v>364.0598409893837</v>
      </c>
      <c r="T187" s="71">
        <f>O187*G187</f>
        <v>4560.4598409893833</v>
      </c>
      <c r="U187" s="82">
        <f t="shared" si="231"/>
        <v>364.0598409893837</v>
      </c>
    </row>
    <row r="188" spans="1:22">
      <c r="A188" s="210"/>
      <c r="B188" s="93">
        <v>240</v>
      </c>
      <c r="C188" s="28">
        <v>42</v>
      </c>
      <c r="D188" s="18" t="s">
        <v>248</v>
      </c>
      <c r="E188" s="19">
        <f>12+39</f>
        <v>51</v>
      </c>
      <c r="F188" s="15"/>
      <c r="G188" s="60">
        <f t="shared" si="225"/>
        <v>612</v>
      </c>
      <c r="H188" s="14">
        <v>0</v>
      </c>
      <c r="I188" s="14">
        <f t="shared" ref="I188:I190" si="233">G188*H188</f>
        <v>0</v>
      </c>
      <c r="J188" s="20">
        <f t="shared" si="226"/>
        <v>0</v>
      </c>
      <c r="K188" s="51">
        <f>References!$C$17*J188</f>
        <v>0</v>
      </c>
      <c r="L188" s="51">
        <f>K188/References!$F$18</f>
        <v>0</v>
      </c>
      <c r="M188" s="57">
        <f t="shared" ref="M188:M190" si="234">L188/G188</f>
        <v>0</v>
      </c>
      <c r="N188" s="51">
        <v>2.69</v>
      </c>
      <c r="O188" s="57">
        <f t="shared" si="227"/>
        <v>2.9233716929419127</v>
      </c>
      <c r="P188" s="51">
        <f t="shared" si="232"/>
        <v>2.9233716929419127</v>
      </c>
      <c r="Q188" s="53">
        <f t="shared" ref="Q188:Q190" si="235">N188*G188</f>
        <v>1646.28</v>
      </c>
      <c r="R188" s="53">
        <f t="shared" ref="R188:R190" si="236">P188*G188</f>
        <v>1789.1034760804505</v>
      </c>
      <c r="S188" s="53">
        <f t="shared" ref="S188:S190" si="237">R188-Q188</f>
        <v>142.82347608045052</v>
      </c>
      <c r="T188" s="71">
        <f t="shared" ref="T188:T190" si="238">O188*G188</f>
        <v>1789.1034760804505</v>
      </c>
      <c r="U188" s="82">
        <f t="shared" ref="U188:U190" si="239">T188-Q188</f>
        <v>142.82347608045052</v>
      </c>
      <c r="V188" s="23"/>
    </row>
    <row r="189" spans="1:22">
      <c r="A189" s="210"/>
      <c r="B189" s="93">
        <v>245</v>
      </c>
      <c r="C189" s="28">
        <v>46</v>
      </c>
      <c r="D189" s="18" t="s">
        <v>126</v>
      </c>
      <c r="E189" s="19">
        <f>13+6+2+3+41+90+18+5+3</f>
        <v>181</v>
      </c>
      <c r="F189" s="15"/>
      <c r="G189" s="60">
        <f t="shared" si="225"/>
        <v>2172</v>
      </c>
      <c r="H189" s="14">
        <f>+H186</f>
        <v>34</v>
      </c>
      <c r="I189" s="14">
        <f t="shared" si="233"/>
        <v>73848</v>
      </c>
      <c r="J189" s="20">
        <f t="shared" si="226"/>
        <v>0</v>
      </c>
      <c r="K189" s="51">
        <f>References!$C$17*J189</f>
        <v>0</v>
      </c>
      <c r="L189" s="51">
        <f>K189/References!$F$18</f>
        <v>0</v>
      </c>
      <c r="M189" s="57">
        <f t="shared" si="234"/>
        <v>0</v>
      </c>
      <c r="N189" s="51">
        <v>3.5</v>
      </c>
      <c r="O189" s="57">
        <f t="shared" si="227"/>
        <v>3.8036434666530465</v>
      </c>
      <c r="P189" s="51">
        <f t="shared" si="232"/>
        <v>3.8036434666530465</v>
      </c>
      <c r="Q189" s="53">
        <f t="shared" si="235"/>
        <v>7602</v>
      </c>
      <c r="R189" s="53">
        <f t="shared" si="236"/>
        <v>8261.5136095704165</v>
      </c>
      <c r="S189" s="53">
        <f t="shared" si="237"/>
        <v>659.51360957041652</v>
      </c>
      <c r="T189" s="71">
        <f t="shared" si="238"/>
        <v>8261.5136095704165</v>
      </c>
      <c r="U189" s="82">
        <f t="shared" si="239"/>
        <v>659.51360957041652</v>
      </c>
      <c r="V189" s="23"/>
    </row>
    <row r="190" spans="1:22">
      <c r="A190" s="210"/>
      <c r="B190" s="93">
        <v>275</v>
      </c>
      <c r="C190" s="28">
        <v>49</v>
      </c>
      <c r="D190" s="18" t="s">
        <v>262</v>
      </c>
      <c r="E190" s="19">
        <f>2+7+26</f>
        <v>35</v>
      </c>
      <c r="F190" s="15"/>
      <c r="G190" s="60">
        <f t="shared" si="225"/>
        <v>420</v>
      </c>
      <c r="H190" s="14">
        <v>0</v>
      </c>
      <c r="I190" s="14">
        <f t="shared" si="233"/>
        <v>0</v>
      </c>
      <c r="J190" s="20">
        <f t="shared" si="226"/>
        <v>0</v>
      </c>
      <c r="K190" s="51">
        <f>References!$C$17*J190</f>
        <v>0</v>
      </c>
      <c r="L190" s="51">
        <f>K190/References!$F$18</f>
        <v>0</v>
      </c>
      <c r="M190" s="57">
        <f t="shared" si="234"/>
        <v>0</v>
      </c>
      <c r="N190" s="51">
        <v>11.96</v>
      </c>
      <c r="O190" s="57">
        <f t="shared" si="227"/>
        <v>12.997593103191553</v>
      </c>
      <c r="P190" s="51">
        <f t="shared" si="232"/>
        <v>12.997593103191553</v>
      </c>
      <c r="Q190" s="53">
        <f t="shared" si="235"/>
        <v>5023.2000000000007</v>
      </c>
      <c r="R190" s="53">
        <f t="shared" si="236"/>
        <v>5458.9891033404519</v>
      </c>
      <c r="S190" s="53">
        <f t="shared" si="237"/>
        <v>435.78910334045122</v>
      </c>
      <c r="T190" s="71">
        <f t="shared" si="238"/>
        <v>5458.9891033404519</v>
      </c>
      <c r="U190" s="82">
        <f t="shared" si="239"/>
        <v>435.78910334045122</v>
      </c>
      <c r="V190" s="23"/>
    </row>
    <row r="191" spans="1:22" s="23" customFormat="1">
      <c r="A191" s="210"/>
      <c r="B191" s="16" t="s">
        <v>250</v>
      </c>
      <c r="C191" s="16" t="s">
        <v>251</v>
      </c>
      <c r="D191" s="18" t="s">
        <v>253</v>
      </c>
      <c r="E191" s="22">
        <v>9</v>
      </c>
      <c r="F191" s="106">
        <v>1</v>
      </c>
      <c r="G191" s="14">
        <f>F191*12</f>
        <v>12</v>
      </c>
      <c r="H191" s="22">
        <v>0</v>
      </c>
      <c r="I191" s="20">
        <f t="shared" ref="I191" si="240">G191*H191/12</f>
        <v>0</v>
      </c>
      <c r="J191" s="104">
        <f t="shared" si="226"/>
        <v>0</v>
      </c>
      <c r="K191" s="51">
        <f>References!$C$17*J191</f>
        <v>0</v>
      </c>
      <c r="L191" s="51">
        <f>K191/References!$F$18</f>
        <v>0</v>
      </c>
      <c r="M191" s="57">
        <f t="shared" ref="M191" si="241">L191/G191</f>
        <v>0</v>
      </c>
      <c r="N191" s="72">
        <v>5.4</v>
      </c>
      <c r="O191" s="57">
        <f t="shared" ref="O191:O192" si="242">+N191*$E$7+N191</f>
        <v>5.8684784914075578</v>
      </c>
      <c r="P191" s="51">
        <f t="shared" ref="P191:P192" si="243">O191</f>
        <v>5.8684784914075578</v>
      </c>
      <c r="Q191" s="21">
        <f>E191*N191*12</f>
        <v>583.20000000000005</v>
      </c>
      <c r="R191" s="21">
        <f>E191*P191*12</f>
        <v>633.79567707201625</v>
      </c>
      <c r="S191" s="21">
        <f>R191-Q191</f>
        <v>50.595677072016201</v>
      </c>
      <c r="T191" s="21">
        <f>E191*O191*12</f>
        <v>633.79567707201625</v>
      </c>
      <c r="U191" s="16"/>
    </row>
    <row r="192" spans="1:22" s="23" customFormat="1">
      <c r="A192" s="210"/>
      <c r="B192" s="23" t="s">
        <v>250</v>
      </c>
      <c r="C192" s="23" t="s">
        <v>251</v>
      </c>
      <c r="D192" s="18" t="s">
        <v>254</v>
      </c>
      <c r="E192" s="22">
        <v>1</v>
      </c>
      <c r="F192" s="106">
        <v>1</v>
      </c>
      <c r="G192" s="14">
        <f>F192*12</f>
        <v>12</v>
      </c>
      <c r="H192" s="22">
        <v>0</v>
      </c>
      <c r="I192" s="20">
        <f>G192*H192/12</f>
        <v>0</v>
      </c>
      <c r="J192" s="104">
        <f t="shared" si="226"/>
        <v>0</v>
      </c>
      <c r="K192" s="51">
        <f>References!$C$17*J192</f>
        <v>0</v>
      </c>
      <c r="L192" s="51">
        <f>K192/References!$F$18</f>
        <v>0</v>
      </c>
      <c r="M192" s="57">
        <f t="shared" ref="M192" si="244">L192/G192</f>
        <v>0</v>
      </c>
      <c r="N192" s="72">
        <v>8.1300000000000008</v>
      </c>
      <c r="O192" s="57">
        <f t="shared" si="242"/>
        <v>8.8353203953969341</v>
      </c>
      <c r="P192" s="51">
        <f t="shared" si="243"/>
        <v>8.8353203953969341</v>
      </c>
      <c r="Q192" s="21">
        <f>E192*N192*12</f>
        <v>97.56</v>
      </c>
      <c r="R192" s="21">
        <f>E192*P192*12</f>
        <v>106.02384474476321</v>
      </c>
      <c r="S192" s="21">
        <f>R192-Q192</f>
        <v>8.4638447447632075</v>
      </c>
      <c r="T192" s="21">
        <f>E192*O192*12</f>
        <v>106.02384474476321</v>
      </c>
      <c r="U192" s="16"/>
    </row>
    <row r="193" spans="1:22">
      <c r="A193" s="210"/>
      <c r="B193" s="94">
        <v>260</v>
      </c>
      <c r="C193" s="34">
        <v>48</v>
      </c>
      <c r="D193" s="35" t="s">
        <v>121</v>
      </c>
      <c r="E193" s="24"/>
      <c r="F193" s="25"/>
      <c r="G193" s="158">
        <f>+E193</f>
        <v>0</v>
      </c>
      <c r="H193" s="26">
        <v>0</v>
      </c>
      <c r="I193" s="14">
        <f t="shared" si="190"/>
        <v>0</v>
      </c>
      <c r="J193" s="27">
        <f t="shared" si="226"/>
        <v>0</v>
      </c>
      <c r="K193" s="51">
        <f>References!$C$17*J193</f>
        <v>0</v>
      </c>
      <c r="L193" s="52">
        <f>K193/References!$F$18</f>
        <v>0</v>
      </c>
      <c r="M193" s="57" t="e">
        <f t="shared" si="192"/>
        <v>#DIV/0!</v>
      </c>
      <c r="N193" s="52">
        <v>3.61</v>
      </c>
      <c r="O193" s="57">
        <f t="shared" si="227"/>
        <v>3.9231865470335707</v>
      </c>
      <c r="P193" s="51">
        <f t="shared" si="232"/>
        <v>3.9231865470335707</v>
      </c>
      <c r="Q193" s="53">
        <f t="shared" si="228"/>
        <v>0</v>
      </c>
      <c r="R193" s="53">
        <f t="shared" si="229"/>
        <v>0</v>
      </c>
      <c r="S193" s="53">
        <f t="shared" si="230"/>
        <v>0</v>
      </c>
      <c r="T193" s="71">
        <f>O193*G193</f>
        <v>0</v>
      </c>
      <c r="U193" s="82">
        <f t="shared" si="231"/>
        <v>0</v>
      </c>
      <c r="V193" s="23"/>
    </row>
    <row r="194" spans="1:22">
      <c r="A194" s="181"/>
      <c r="B194" s="181"/>
      <c r="C194" s="66"/>
      <c r="D194" s="64" t="s">
        <v>25</v>
      </c>
      <c r="E194" s="129">
        <f>SUM(E185:E193)</f>
        <v>422</v>
      </c>
      <c r="F194" s="68"/>
      <c r="G194" s="129">
        <f>SUM(G185:G193)</f>
        <v>4968</v>
      </c>
      <c r="H194" s="69"/>
      <c r="I194" s="129">
        <f>SUM(I185:I193)</f>
        <v>79968</v>
      </c>
      <c r="J194" s="129">
        <f>SUM(J185:J193)</f>
        <v>0</v>
      </c>
      <c r="K194" s="68"/>
      <c r="L194" s="69"/>
      <c r="M194" s="69"/>
      <c r="N194" s="69"/>
      <c r="O194" s="69"/>
      <c r="P194" s="69"/>
      <c r="Q194" s="179">
        <f t="shared" ref="Q194:U194" si="245">SUM(Q185:Q193)</f>
        <v>19778.640000000003</v>
      </c>
      <c r="R194" s="179">
        <f>SUM(R185:R193)</f>
        <v>21494.54137579503</v>
      </c>
      <c r="S194" s="179">
        <f t="shared" si="245"/>
        <v>1715.9013757950297</v>
      </c>
      <c r="T194" s="179">
        <f t="shared" si="245"/>
        <v>21494.54137579503</v>
      </c>
      <c r="U194" s="179">
        <f t="shared" si="245"/>
        <v>1656.8418539782504</v>
      </c>
      <c r="V194" s="23"/>
    </row>
    <row r="195" spans="1:22" ht="15.75" thickBot="1">
      <c r="A195" s="76"/>
      <c r="B195" s="76"/>
      <c r="C195" s="76"/>
      <c r="D195" s="77" t="s">
        <v>3</v>
      </c>
      <c r="E195" s="109">
        <f>E194+E184+E169+E75</f>
        <v>17174.583333333332</v>
      </c>
      <c r="F195" s="110"/>
      <c r="G195" s="109">
        <f>G194+G184+G169+G75</f>
        <v>599505.10400000005</v>
      </c>
      <c r="H195" s="110"/>
      <c r="I195" s="109">
        <f>I194+I184+I169+I75</f>
        <v>39466576.440000005</v>
      </c>
      <c r="J195" s="109">
        <f>J194+J184+J169+J75</f>
        <v>0</v>
      </c>
      <c r="K195" s="111"/>
      <c r="L195" s="111"/>
      <c r="M195" s="111"/>
      <c r="N195" s="110"/>
      <c r="O195" s="110"/>
      <c r="P195" s="110"/>
      <c r="Q195" s="88">
        <f>Q194+Q184+Q169+Q75+Q141+Q40</f>
        <v>3876182.4877199992</v>
      </c>
      <c r="R195" s="88">
        <f>R194+R184+R169+R75+R141+R40</f>
        <v>4265168.3272388149</v>
      </c>
      <c r="S195" s="88">
        <f>S194+S184+S169+S75+S141+S40</f>
        <v>388985.83951881545</v>
      </c>
      <c r="T195" s="78">
        <f>T194+T184+T169+T75</f>
        <v>6163622.7361749019</v>
      </c>
      <c r="U195" s="88">
        <f>U194+U184+U169+U75</f>
        <v>408368.40375527518</v>
      </c>
      <c r="V195" s="23"/>
    </row>
    <row r="196" spans="1:22" ht="15.75" thickTop="1">
      <c r="E196" s="23"/>
      <c r="F196" s="23"/>
      <c r="G196" s="23"/>
      <c r="H196" s="23"/>
      <c r="I196" s="23"/>
      <c r="J196" s="104"/>
      <c r="K196" s="23"/>
      <c r="L196" s="23"/>
      <c r="M196" s="23"/>
      <c r="N196" s="23"/>
      <c r="O196" s="23"/>
      <c r="P196" s="23"/>
      <c r="Q196" s="23"/>
      <c r="R196" s="23"/>
      <c r="T196" s="56"/>
      <c r="V196" s="23"/>
    </row>
    <row r="197" spans="1:22">
      <c r="D197" s="70" t="s">
        <v>44</v>
      </c>
      <c r="E197" s="23"/>
      <c r="F197" s="23"/>
      <c r="G197" s="23"/>
      <c r="H197" s="102"/>
      <c r="I197" s="103"/>
      <c r="J197" s="104"/>
      <c r="K197" s="23"/>
      <c r="L197" s="23"/>
      <c r="M197" s="23"/>
      <c r="N197" s="23"/>
      <c r="O197" s="23"/>
      <c r="P197" s="23"/>
      <c r="Q197" s="23"/>
      <c r="R197" s="130"/>
      <c r="S197" s="56"/>
      <c r="V197" s="23"/>
    </row>
    <row r="198" spans="1:22">
      <c r="D198" s="70" t="s">
        <v>130</v>
      </c>
      <c r="E198" s="23"/>
      <c r="F198" s="23"/>
      <c r="G198" s="23"/>
      <c r="H198" s="102"/>
      <c r="I198" s="103"/>
      <c r="J198" s="104"/>
      <c r="K198" s="23"/>
      <c r="L198" s="23"/>
      <c r="M198" s="23"/>
      <c r="N198" s="23"/>
      <c r="O198" s="23"/>
      <c r="P198" s="23"/>
      <c r="Q198" s="23"/>
      <c r="R198" s="103"/>
      <c r="V198" s="23"/>
    </row>
    <row r="199" spans="1:22">
      <c r="A199" s="210"/>
      <c r="B199" s="92"/>
      <c r="C199" s="28"/>
      <c r="D199" s="18" t="s">
        <v>13</v>
      </c>
      <c r="E199" s="19">
        <v>0</v>
      </c>
      <c r="F199" s="15">
        <v>1</v>
      </c>
      <c r="G199" s="14">
        <f t="shared" ref="G199:G213" si="246">F199*12</f>
        <v>12</v>
      </c>
      <c r="H199" s="14">
        <v>20</v>
      </c>
      <c r="I199" s="14">
        <f t="shared" ref="I199:I213" si="247">G199*H199/12</f>
        <v>20</v>
      </c>
      <c r="J199" s="20">
        <f t="shared" ref="J199:J214" si="248">$E$298*I199</f>
        <v>0</v>
      </c>
      <c r="K199" s="51">
        <f>References!$C$17*J199</f>
        <v>0</v>
      </c>
      <c r="L199" s="51">
        <f>K199/References!$F$18</f>
        <v>0</v>
      </c>
      <c r="M199" s="57">
        <f t="shared" ref="M199:M233" si="249">L199/G199</f>
        <v>0</v>
      </c>
      <c r="N199" s="51">
        <v>7.62</v>
      </c>
      <c r="O199" s="57">
        <f t="shared" ref="O199:O217" si="250">+N199*$E$7+N199</f>
        <v>8.281075204541775</v>
      </c>
      <c r="P199" s="51">
        <f t="shared" ref="P199:P233" si="251">O199</f>
        <v>8.281075204541775</v>
      </c>
      <c r="Q199" s="21">
        <f t="shared" ref="Q199:Q212" si="252">E199*N199*12</f>
        <v>0</v>
      </c>
      <c r="R199" s="21">
        <f t="shared" ref="R199:R212" si="253">E199*P199*12</f>
        <v>0</v>
      </c>
      <c r="S199" s="21">
        <f t="shared" ref="S199:S212" si="254">R199-Q199</f>
        <v>0</v>
      </c>
      <c r="T199" s="22">
        <f t="shared" ref="T199:T212" si="255">E199*O199*12</f>
        <v>0</v>
      </c>
      <c r="U199" s="23"/>
      <c r="V199" s="23"/>
    </row>
    <row r="200" spans="1:22">
      <c r="A200" s="210"/>
      <c r="B200" s="92"/>
      <c r="C200" s="28"/>
      <c r="D200" s="18" t="s">
        <v>14</v>
      </c>
      <c r="E200" s="19">
        <v>0</v>
      </c>
      <c r="F200" s="15">
        <v>1</v>
      </c>
      <c r="G200" s="14">
        <f t="shared" si="246"/>
        <v>12</v>
      </c>
      <c r="H200" s="14">
        <v>51</v>
      </c>
      <c r="I200" s="14">
        <f t="shared" si="247"/>
        <v>51</v>
      </c>
      <c r="J200" s="20">
        <f t="shared" si="248"/>
        <v>0</v>
      </c>
      <c r="K200" s="51">
        <f>References!$C$17*J200</f>
        <v>0</v>
      </c>
      <c r="L200" s="51">
        <f>K200/References!$F$18</f>
        <v>0</v>
      </c>
      <c r="M200" s="57">
        <f t="shared" si="249"/>
        <v>0</v>
      </c>
      <c r="N200" s="51">
        <v>15.2</v>
      </c>
      <c r="O200" s="57">
        <f t="shared" si="250"/>
        <v>16.518680198036087</v>
      </c>
      <c r="P200" s="51">
        <f t="shared" si="251"/>
        <v>16.518680198036087</v>
      </c>
      <c r="Q200" s="21">
        <f t="shared" si="252"/>
        <v>0</v>
      </c>
      <c r="R200" s="21">
        <f t="shared" si="253"/>
        <v>0</v>
      </c>
      <c r="S200" s="21">
        <f t="shared" si="254"/>
        <v>0</v>
      </c>
      <c r="T200" s="22">
        <f t="shared" si="255"/>
        <v>0</v>
      </c>
      <c r="U200" s="23"/>
      <c r="V200" s="23"/>
    </row>
    <row r="201" spans="1:22">
      <c r="A201" s="210"/>
      <c r="B201" s="92"/>
      <c r="C201" s="28"/>
      <c r="D201" s="18" t="s">
        <v>15</v>
      </c>
      <c r="E201" s="19">
        <v>0</v>
      </c>
      <c r="F201" s="15">
        <v>1</v>
      </c>
      <c r="G201" s="14">
        <f t="shared" si="246"/>
        <v>12</v>
      </c>
      <c r="H201" s="14">
        <v>77</v>
      </c>
      <c r="I201" s="14">
        <f t="shared" si="247"/>
        <v>77</v>
      </c>
      <c r="J201" s="20">
        <f t="shared" si="248"/>
        <v>0</v>
      </c>
      <c r="K201" s="51">
        <f>References!$C$17*J201</f>
        <v>0</v>
      </c>
      <c r="L201" s="51">
        <f>K201/References!$F$18</f>
        <v>0</v>
      </c>
      <c r="M201" s="57">
        <f t="shared" si="249"/>
        <v>0</v>
      </c>
      <c r="N201" s="51">
        <v>18.04</v>
      </c>
      <c r="O201" s="57">
        <f t="shared" si="250"/>
        <v>19.605065182405987</v>
      </c>
      <c r="P201" s="51">
        <f t="shared" si="251"/>
        <v>19.605065182405987</v>
      </c>
      <c r="Q201" s="21">
        <f t="shared" si="252"/>
        <v>0</v>
      </c>
      <c r="R201" s="21">
        <f t="shared" si="253"/>
        <v>0</v>
      </c>
      <c r="S201" s="21">
        <f t="shared" si="254"/>
        <v>0</v>
      </c>
      <c r="T201" s="22">
        <f t="shared" si="255"/>
        <v>0</v>
      </c>
      <c r="U201" s="23"/>
      <c r="V201" s="23"/>
    </row>
    <row r="202" spans="1:22">
      <c r="A202" s="210"/>
      <c r="B202" s="92"/>
      <c r="C202" s="28"/>
      <c r="D202" s="18" t="s">
        <v>16</v>
      </c>
      <c r="E202" s="19">
        <v>0</v>
      </c>
      <c r="F202" s="15">
        <f>52/12/2</f>
        <v>2.1666666666666665</v>
      </c>
      <c r="G202" s="14">
        <f t="shared" si="246"/>
        <v>26</v>
      </c>
      <c r="H202" s="14">
        <v>97</v>
      </c>
      <c r="I202" s="14">
        <f t="shared" si="247"/>
        <v>210.16666666666666</v>
      </c>
      <c r="J202" s="20">
        <f t="shared" si="248"/>
        <v>0</v>
      </c>
      <c r="K202" s="51">
        <f>References!$C$17*J202</f>
        <v>0</v>
      </c>
      <c r="L202" s="51">
        <f>K202/References!$F$18</f>
        <v>0</v>
      </c>
      <c r="M202" s="57">
        <f t="shared" si="249"/>
        <v>0</v>
      </c>
      <c r="N202" s="51">
        <v>31.24</v>
      </c>
      <c r="O202" s="57">
        <f t="shared" si="250"/>
        <v>33.950234828068901</v>
      </c>
      <c r="P202" s="51">
        <f t="shared" si="251"/>
        <v>33.950234828068901</v>
      </c>
      <c r="Q202" s="21">
        <f t="shared" si="252"/>
        <v>0</v>
      </c>
      <c r="R202" s="21">
        <f t="shared" si="253"/>
        <v>0</v>
      </c>
      <c r="S202" s="21">
        <f t="shared" si="254"/>
        <v>0</v>
      </c>
      <c r="T202" s="22">
        <f t="shared" si="255"/>
        <v>0</v>
      </c>
      <c r="U202" s="23"/>
    </row>
    <row r="203" spans="1:22">
      <c r="A203" s="210"/>
      <c r="B203" s="92"/>
      <c r="C203" s="28"/>
      <c r="D203" s="18" t="s">
        <v>17</v>
      </c>
      <c r="E203" s="19">
        <v>0</v>
      </c>
      <c r="F203" s="15">
        <v>1</v>
      </c>
      <c r="G203" s="14">
        <f t="shared" si="246"/>
        <v>12</v>
      </c>
      <c r="H203" s="14">
        <v>97</v>
      </c>
      <c r="I203" s="14">
        <f t="shared" si="247"/>
        <v>97</v>
      </c>
      <c r="J203" s="20">
        <f t="shared" si="248"/>
        <v>0</v>
      </c>
      <c r="K203" s="51">
        <f>References!$C$17*J203</f>
        <v>0</v>
      </c>
      <c r="L203" s="51">
        <f>K203/References!$F$18</f>
        <v>0</v>
      </c>
      <c r="M203" s="57">
        <f t="shared" si="249"/>
        <v>0</v>
      </c>
      <c r="N203" s="51">
        <v>20.82</v>
      </c>
      <c r="O203" s="57">
        <f t="shared" si="250"/>
        <v>22.626244850204692</v>
      </c>
      <c r="P203" s="51">
        <f t="shared" si="251"/>
        <v>22.626244850204692</v>
      </c>
      <c r="Q203" s="21">
        <f t="shared" si="252"/>
        <v>0</v>
      </c>
      <c r="R203" s="21">
        <f t="shared" si="253"/>
        <v>0</v>
      </c>
      <c r="S203" s="21">
        <f t="shared" si="254"/>
        <v>0</v>
      </c>
      <c r="T203" s="22">
        <f t="shared" si="255"/>
        <v>0</v>
      </c>
      <c r="U203" s="23"/>
      <c r="V203" s="17"/>
    </row>
    <row r="204" spans="1:22">
      <c r="A204" s="210"/>
      <c r="B204" s="92"/>
      <c r="C204" s="28"/>
      <c r="D204" s="18" t="s">
        <v>18</v>
      </c>
      <c r="E204" s="19">
        <v>0</v>
      </c>
      <c r="F204" s="15">
        <f>52/12/2</f>
        <v>2.1666666666666665</v>
      </c>
      <c r="G204" s="14">
        <f t="shared" si="246"/>
        <v>26</v>
      </c>
      <c r="H204" s="14">
        <v>47</v>
      </c>
      <c r="I204" s="14">
        <f t="shared" si="247"/>
        <v>101.83333333333333</v>
      </c>
      <c r="J204" s="20">
        <f t="shared" si="248"/>
        <v>0</v>
      </c>
      <c r="K204" s="51">
        <f>References!$C$17*J204</f>
        <v>0</v>
      </c>
      <c r="L204" s="51">
        <f>K204/References!$F$18</f>
        <v>0</v>
      </c>
      <c r="M204" s="57">
        <f t="shared" si="249"/>
        <v>0</v>
      </c>
      <c r="N204" s="51">
        <v>25.08</v>
      </c>
      <c r="O204" s="57">
        <f t="shared" si="250"/>
        <v>27.255822326759542</v>
      </c>
      <c r="P204" s="51">
        <f t="shared" si="251"/>
        <v>27.255822326759542</v>
      </c>
      <c r="Q204" s="21">
        <f t="shared" si="252"/>
        <v>0</v>
      </c>
      <c r="R204" s="21">
        <f t="shared" si="253"/>
        <v>0</v>
      </c>
      <c r="S204" s="21">
        <f t="shared" si="254"/>
        <v>0</v>
      </c>
      <c r="T204" s="22">
        <f t="shared" si="255"/>
        <v>0</v>
      </c>
      <c r="U204" s="23"/>
    </row>
    <row r="205" spans="1:22">
      <c r="A205" s="210"/>
      <c r="B205" s="92"/>
      <c r="C205" s="28"/>
      <c r="D205" s="18" t="s">
        <v>19</v>
      </c>
      <c r="E205" s="19">
        <v>0</v>
      </c>
      <c r="F205" s="15">
        <v>1</v>
      </c>
      <c r="G205" s="14">
        <f t="shared" si="246"/>
        <v>12</v>
      </c>
      <c r="H205" s="14">
        <v>47</v>
      </c>
      <c r="I205" s="14">
        <f t="shared" si="247"/>
        <v>47</v>
      </c>
      <c r="J205" s="20">
        <f t="shared" si="248"/>
        <v>0</v>
      </c>
      <c r="K205" s="51">
        <f>References!$C$17*J205</f>
        <v>0</v>
      </c>
      <c r="L205" s="51">
        <f>K205/References!$F$18</f>
        <v>0</v>
      </c>
      <c r="M205" s="57">
        <f t="shared" si="249"/>
        <v>0</v>
      </c>
      <c r="N205" s="51">
        <v>16.600000000000001</v>
      </c>
      <c r="O205" s="57">
        <f t="shared" si="250"/>
        <v>18.040137584697309</v>
      </c>
      <c r="P205" s="51">
        <f t="shared" si="251"/>
        <v>18.040137584697309</v>
      </c>
      <c r="Q205" s="21">
        <f t="shared" si="252"/>
        <v>0</v>
      </c>
      <c r="R205" s="21">
        <f t="shared" si="253"/>
        <v>0</v>
      </c>
      <c r="S205" s="21">
        <f t="shared" si="254"/>
        <v>0</v>
      </c>
      <c r="T205" s="22">
        <f t="shared" si="255"/>
        <v>0</v>
      </c>
      <c r="U205" s="23"/>
    </row>
    <row r="206" spans="1:22">
      <c r="A206" s="210"/>
      <c r="B206" s="92"/>
      <c r="C206" s="28"/>
      <c r="D206" s="18" t="s">
        <v>20</v>
      </c>
      <c r="E206" s="19">
        <v>0</v>
      </c>
      <c r="F206" s="15">
        <f>52/12/2</f>
        <v>2.1666666666666665</v>
      </c>
      <c r="G206" s="14">
        <f t="shared" si="246"/>
        <v>26</v>
      </c>
      <c r="H206" s="14">
        <v>68</v>
      </c>
      <c r="I206" s="14">
        <f t="shared" si="247"/>
        <v>147.33333333333334</v>
      </c>
      <c r="J206" s="20">
        <f t="shared" si="248"/>
        <v>0</v>
      </c>
      <c r="K206" s="51">
        <f>References!$C$17*J206</f>
        <v>0</v>
      </c>
      <c r="L206" s="51">
        <f>K206/References!$F$18</f>
        <v>0</v>
      </c>
      <c r="M206" s="57">
        <f t="shared" si="249"/>
        <v>0</v>
      </c>
      <c r="N206" s="51">
        <v>28.36</v>
      </c>
      <c r="O206" s="57">
        <f t="shared" si="250"/>
        <v>30.820379632651541</v>
      </c>
      <c r="P206" s="51">
        <f t="shared" si="251"/>
        <v>30.820379632651541</v>
      </c>
      <c r="Q206" s="21">
        <f t="shared" si="252"/>
        <v>0</v>
      </c>
      <c r="R206" s="21">
        <f t="shared" si="253"/>
        <v>0</v>
      </c>
      <c r="S206" s="21">
        <f t="shared" si="254"/>
        <v>0</v>
      </c>
      <c r="T206" s="22">
        <f t="shared" si="255"/>
        <v>0</v>
      </c>
      <c r="U206" s="23"/>
    </row>
    <row r="207" spans="1:22">
      <c r="A207" s="210"/>
      <c r="B207" s="92"/>
      <c r="C207" s="28"/>
      <c r="D207" s="18" t="s">
        <v>21</v>
      </c>
      <c r="E207" s="19">
        <v>0</v>
      </c>
      <c r="F207" s="15">
        <v>1</v>
      </c>
      <c r="G207" s="14">
        <f t="shared" si="246"/>
        <v>12</v>
      </c>
      <c r="H207" s="14">
        <v>68</v>
      </c>
      <c r="I207" s="14">
        <f t="shared" si="247"/>
        <v>68</v>
      </c>
      <c r="J207" s="20">
        <f t="shared" si="248"/>
        <v>0</v>
      </c>
      <c r="K207" s="51">
        <f>References!$C$17*J207</f>
        <v>0</v>
      </c>
      <c r="L207" s="51">
        <f>K207/References!$F$18</f>
        <v>0</v>
      </c>
      <c r="M207" s="57">
        <f t="shared" si="249"/>
        <v>0</v>
      </c>
      <c r="N207" s="51">
        <v>0</v>
      </c>
      <c r="O207" s="57">
        <f t="shared" si="250"/>
        <v>0</v>
      </c>
      <c r="P207" s="51">
        <f t="shared" si="251"/>
        <v>0</v>
      </c>
      <c r="Q207" s="21">
        <f t="shared" si="252"/>
        <v>0</v>
      </c>
      <c r="R207" s="21">
        <f t="shared" si="253"/>
        <v>0</v>
      </c>
      <c r="S207" s="21">
        <f t="shared" si="254"/>
        <v>0</v>
      </c>
      <c r="T207" s="22">
        <f t="shared" si="255"/>
        <v>0</v>
      </c>
      <c r="U207" s="23"/>
    </row>
    <row r="208" spans="1:22">
      <c r="A208" s="210"/>
      <c r="B208" s="92"/>
      <c r="C208" s="28"/>
      <c r="D208" s="18" t="s">
        <v>41</v>
      </c>
      <c r="E208" s="19">
        <v>0</v>
      </c>
      <c r="F208" s="15">
        <v>1</v>
      </c>
      <c r="G208" s="14">
        <f t="shared" si="246"/>
        <v>12</v>
      </c>
      <c r="H208" s="14">
        <v>10</v>
      </c>
      <c r="I208" s="14">
        <f t="shared" si="247"/>
        <v>10</v>
      </c>
      <c r="J208" s="20">
        <f t="shared" si="248"/>
        <v>0</v>
      </c>
      <c r="K208" s="51">
        <f>References!$C$17*J208</f>
        <v>0</v>
      </c>
      <c r="L208" s="51">
        <f>K208/References!$F$18</f>
        <v>0</v>
      </c>
      <c r="M208" s="57">
        <f t="shared" si="249"/>
        <v>0</v>
      </c>
      <c r="N208" s="51">
        <v>9.6</v>
      </c>
      <c r="O208" s="57">
        <f t="shared" si="250"/>
        <v>10.432850651391213</v>
      </c>
      <c r="P208" s="51">
        <f t="shared" si="251"/>
        <v>10.432850651391213</v>
      </c>
      <c r="Q208" s="21">
        <f t="shared" si="252"/>
        <v>0</v>
      </c>
      <c r="R208" s="21">
        <f t="shared" si="253"/>
        <v>0</v>
      </c>
      <c r="S208" s="21">
        <f t="shared" si="254"/>
        <v>0</v>
      </c>
      <c r="T208" s="22">
        <f t="shared" si="255"/>
        <v>0</v>
      </c>
      <c r="U208" s="23"/>
    </row>
    <row r="209" spans="1:21">
      <c r="A209" s="210"/>
      <c r="B209" s="92"/>
      <c r="C209" s="28"/>
      <c r="D209" s="18" t="s">
        <v>22</v>
      </c>
      <c r="E209" s="19">
        <v>0</v>
      </c>
      <c r="F209" s="15">
        <v>1</v>
      </c>
      <c r="G209" s="14">
        <f t="shared" si="246"/>
        <v>12</v>
      </c>
      <c r="H209" s="14">
        <v>20</v>
      </c>
      <c r="I209" s="14">
        <f t="shared" si="247"/>
        <v>20</v>
      </c>
      <c r="J209" s="20">
        <f t="shared" si="248"/>
        <v>0</v>
      </c>
      <c r="K209" s="51">
        <f>References!$C$17*J209</f>
        <v>0</v>
      </c>
      <c r="L209" s="51">
        <f>K209/References!$F$18</f>
        <v>0</v>
      </c>
      <c r="M209" s="57">
        <f t="shared" si="249"/>
        <v>0</v>
      </c>
      <c r="N209" s="51">
        <v>3.62</v>
      </c>
      <c r="O209" s="57">
        <f t="shared" si="250"/>
        <v>3.9340540997954365</v>
      </c>
      <c r="P209" s="51">
        <f t="shared" si="251"/>
        <v>3.9340540997954365</v>
      </c>
      <c r="Q209" s="21">
        <f t="shared" si="252"/>
        <v>0</v>
      </c>
      <c r="R209" s="21">
        <f t="shared" si="253"/>
        <v>0</v>
      </c>
      <c r="S209" s="21">
        <f t="shared" si="254"/>
        <v>0</v>
      </c>
      <c r="T209" s="22">
        <f t="shared" si="255"/>
        <v>0</v>
      </c>
      <c r="U209" s="23"/>
    </row>
    <row r="210" spans="1:21">
      <c r="A210" s="210"/>
      <c r="B210" s="92"/>
      <c r="C210" s="28"/>
      <c r="D210" s="18" t="s">
        <v>23</v>
      </c>
      <c r="E210" s="19">
        <v>0</v>
      </c>
      <c r="F210" s="15">
        <v>1</v>
      </c>
      <c r="G210" s="14">
        <f t="shared" si="246"/>
        <v>12</v>
      </c>
      <c r="H210" s="14">
        <v>10</v>
      </c>
      <c r="I210" s="14">
        <f t="shared" si="247"/>
        <v>10</v>
      </c>
      <c r="J210" s="20">
        <f t="shared" si="248"/>
        <v>0</v>
      </c>
      <c r="K210" s="51">
        <f>References!$C$17*J210</f>
        <v>0</v>
      </c>
      <c r="L210" s="51">
        <f>K210/References!$F$18</f>
        <v>0</v>
      </c>
      <c r="M210" s="57">
        <f t="shared" si="249"/>
        <v>0</v>
      </c>
      <c r="N210" s="51">
        <v>6.94</v>
      </c>
      <c r="O210" s="57">
        <f t="shared" si="250"/>
        <v>7.5420816167348983</v>
      </c>
      <c r="P210" s="51">
        <f t="shared" si="251"/>
        <v>7.5420816167348983</v>
      </c>
      <c r="Q210" s="21">
        <f t="shared" si="252"/>
        <v>0</v>
      </c>
      <c r="R210" s="21">
        <f t="shared" si="253"/>
        <v>0</v>
      </c>
      <c r="S210" s="21">
        <f t="shared" si="254"/>
        <v>0</v>
      </c>
      <c r="T210" s="22">
        <f t="shared" si="255"/>
        <v>0</v>
      </c>
      <c r="U210" s="23"/>
    </row>
    <row r="211" spans="1:21">
      <c r="A211" s="210"/>
      <c r="B211" s="92"/>
      <c r="C211" s="28"/>
      <c r="D211" s="18" t="s">
        <v>122</v>
      </c>
      <c r="E211" s="105">
        <v>0</v>
      </c>
      <c r="F211" s="106">
        <v>1</v>
      </c>
      <c r="G211" s="14">
        <f t="shared" si="246"/>
        <v>12</v>
      </c>
      <c r="H211" s="20">
        <v>47</v>
      </c>
      <c r="I211" s="20">
        <f t="shared" si="247"/>
        <v>47</v>
      </c>
      <c r="J211" s="20">
        <f t="shared" si="248"/>
        <v>0</v>
      </c>
      <c r="K211" s="51">
        <f>References!$C$17*J211</f>
        <v>0</v>
      </c>
      <c r="L211" s="51">
        <f>K211/References!$F$18</f>
        <v>0</v>
      </c>
      <c r="M211" s="57">
        <f t="shared" si="249"/>
        <v>0</v>
      </c>
      <c r="N211" s="72">
        <v>4.83</v>
      </c>
      <c r="O211" s="57">
        <f t="shared" si="250"/>
        <v>5.249027983981204</v>
      </c>
      <c r="P211" s="51">
        <f t="shared" si="251"/>
        <v>5.249027983981204</v>
      </c>
      <c r="Q211" s="21">
        <f t="shared" si="252"/>
        <v>0</v>
      </c>
      <c r="R211" s="21">
        <f t="shared" si="253"/>
        <v>0</v>
      </c>
      <c r="S211" s="21">
        <f t="shared" si="254"/>
        <v>0</v>
      </c>
      <c r="T211" s="22">
        <f t="shared" si="255"/>
        <v>0</v>
      </c>
    </row>
    <row r="212" spans="1:21">
      <c r="A212" s="210"/>
      <c r="B212" s="121"/>
      <c r="C212" s="28"/>
      <c r="D212" s="18" t="s">
        <v>123</v>
      </c>
      <c r="E212" s="105">
        <v>0</v>
      </c>
      <c r="F212" s="106">
        <v>1</v>
      </c>
      <c r="G212" s="14">
        <f t="shared" si="246"/>
        <v>12</v>
      </c>
      <c r="H212" s="20">
        <v>68</v>
      </c>
      <c r="I212" s="20">
        <f t="shared" si="247"/>
        <v>68</v>
      </c>
      <c r="J212" s="20">
        <f t="shared" si="248"/>
        <v>0</v>
      </c>
      <c r="K212" s="51">
        <f>References!$C$17*J212</f>
        <v>0</v>
      </c>
      <c r="L212" s="51">
        <f>K212/References!$F$18</f>
        <v>0</v>
      </c>
      <c r="M212" s="57">
        <f t="shared" si="249"/>
        <v>0</v>
      </c>
      <c r="N212" s="72">
        <v>6.83</v>
      </c>
      <c r="O212" s="57">
        <f t="shared" si="250"/>
        <v>7.4225385363543737</v>
      </c>
      <c r="P212" s="51">
        <f t="shared" si="251"/>
        <v>7.4225385363543737</v>
      </c>
      <c r="Q212" s="21">
        <f t="shared" si="252"/>
        <v>0</v>
      </c>
      <c r="R212" s="21">
        <f t="shared" si="253"/>
        <v>0</v>
      </c>
      <c r="S212" s="21">
        <f t="shared" si="254"/>
        <v>0</v>
      </c>
      <c r="T212" s="21">
        <f t="shared" si="255"/>
        <v>0</v>
      </c>
    </row>
    <row r="213" spans="1:21">
      <c r="A213" s="210"/>
      <c r="B213" s="16">
        <v>150</v>
      </c>
      <c r="D213" s="18" t="s">
        <v>142</v>
      </c>
      <c r="E213" s="105">
        <v>0</v>
      </c>
      <c r="F213" s="106">
        <v>1</v>
      </c>
      <c r="G213" s="14">
        <f t="shared" si="246"/>
        <v>12</v>
      </c>
      <c r="H213" s="22">
        <v>0</v>
      </c>
      <c r="I213" s="20">
        <f t="shared" si="247"/>
        <v>0</v>
      </c>
      <c r="J213" s="104">
        <f t="shared" si="248"/>
        <v>0</v>
      </c>
      <c r="K213" s="51">
        <f>References!$C$17*J213</f>
        <v>0</v>
      </c>
      <c r="L213" s="51">
        <f>K213/References!$F$18</f>
        <v>0</v>
      </c>
      <c r="M213" s="57">
        <f t="shared" si="249"/>
        <v>0</v>
      </c>
      <c r="N213" s="72">
        <v>3.78</v>
      </c>
      <c r="O213" s="57">
        <f t="shared" si="250"/>
        <v>4.1079349439852901</v>
      </c>
      <c r="P213" s="51">
        <f t="shared" si="251"/>
        <v>4.1079349439852901</v>
      </c>
      <c r="Q213" s="21">
        <f t="shared" ref="Q213:Q217" si="256">E213*N213*12</f>
        <v>0</v>
      </c>
      <c r="R213" s="21">
        <f t="shared" ref="R213:R217" si="257">E213*P213*12</f>
        <v>0</v>
      </c>
      <c r="S213" s="21">
        <f t="shared" ref="S213:S217" si="258">R213-Q213</f>
        <v>0</v>
      </c>
      <c r="T213" s="21">
        <f t="shared" ref="T213:T217" si="259">E213*O213*12</f>
        <v>0</v>
      </c>
    </row>
    <row r="214" spans="1:21">
      <c r="A214" s="176"/>
      <c r="B214" s="16">
        <v>51</v>
      </c>
      <c r="C214" s="16">
        <v>19</v>
      </c>
      <c r="D214" s="18" t="s">
        <v>163</v>
      </c>
      <c r="E214" s="22">
        <v>0</v>
      </c>
      <c r="F214" s="106">
        <v>1</v>
      </c>
      <c r="G214" s="14">
        <f t="shared" ref="G214:G217" si="260">F214*12</f>
        <v>12</v>
      </c>
      <c r="H214" s="22">
        <v>0</v>
      </c>
      <c r="I214" s="20">
        <f t="shared" ref="I214:I217" si="261">G214*H214/12</f>
        <v>0</v>
      </c>
      <c r="J214" s="104">
        <f t="shared" si="248"/>
        <v>0</v>
      </c>
      <c r="K214" s="51">
        <f>References!$C$17*J214</f>
        <v>0</v>
      </c>
      <c r="L214" s="51">
        <f>K214/References!$F$18</f>
        <v>0</v>
      </c>
      <c r="M214" s="57">
        <f t="shared" si="249"/>
        <v>0</v>
      </c>
      <c r="N214" s="72">
        <v>9.5</v>
      </c>
      <c r="O214" s="57">
        <f t="shared" si="250"/>
        <v>10.324175123772555</v>
      </c>
      <c r="P214" s="51">
        <f t="shared" si="251"/>
        <v>10.324175123772555</v>
      </c>
      <c r="Q214" s="21">
        <f t="shared" si="256"/>
        <v>0</v>
      </c>
      <c r="R214" s="21">
        <f t="shared" si="257"/>
        <v>0</v>
      </c>
      <c r="S214" s="21">
        <f t="shared" si="258"/>
        <v>0</v>
      </c>
      <c r="T214" s="21">
        <f t="shared" si="259"/>
        <v>0</v>
      </c>
    </row>
    <row r="215" spans="1:21">
      <c r="B215" s="16">
        <v>51</v>
      </c>
      <c r="C215" s="16">
        <v>19</v>
      </c>
      <c r="D215" s="18" t="s">
        <v>269</v>
      </c>
      <c r="E215" s="22">
        <v>0</v>
      </c>
      <c r="F215" s="106"/>
      <c r="G215" s="14"/>
      <c r="H215" s="22"/>
      <c r="I215" s="20"/>
      <c r="J215" s="104"/>
      <c r="K215" s="51"/>
      <c r="L215" s="51"/>
      <c r="M215" s="57"/>
      <c r="N215" s="72">
        <v>17.5</v>
      </c>
      <c r="O215" s="57">
        <f t="shared" si="250"/>
        <v>19.01821733326523</v>
      </c>
      <c r="P215" s="51">
        <f t="shared" si="251"/>
        <v>19.01821733326523</v>
      </c>
      <c r="Q215" s="21">
        <f t="shared" si="256"/>
        <v>0</v>
      </c>
      <c r="R215" s="21">
        <f t="shared" si="257"/>
        <v>0</v>
      </c>
      <c r="S215" s="21">
        <f t="shared" si="258"/>
        <v>0</v>
      </c>
      <c r="T215" s="21">
        <f t="shared" si="259"/>
        <v>0</v>
      </c>
    </row>
    <row r="216" spans="1:21">
      <c r="B216" s="16">
        <v>60</v>
      </c>
      <c r="C216" s="16">
        <v>20</v>
      </c>
      <c r="D216" s="18" t="s">
        <v>165</v>
      </c>
      <c r="E216" s="22"/>
      <c r="F216" s="106">
        <v>1</v>
      </c>
      <c r="G216" s="14">
        <f t="shared" si="260"/>
        <v>12</v>
      </c>
      <c r="H216" s="22">
        <v>0</v>
      </c>
      <c r="I216" s="20">
        <f t="shared" si="261"/>
        <v>0</v>
      </c>
      <c r="J216" s="104">
        <f>$E$298*I216</f>
        <v>0</v>
      </c>
      <c r="K216" s="51">
        <f>References!$C$17*J216</f>
        <v>0</v>
      </c>
      <c r="L216" s="51">
        <f>K216/References!$F$18</f>
        <v>0</v>
      </c>
      <c r="M216" s="57">
        <f t="shared" si="249"/>
        <v>0</v>
      </c>
      <c r="N216" s="72">
        <v>97.73</v>
      </c>
      <c r="O216" s="57">
        <f t="shared" si="250"/>
        <v>106.20859314171493</v>
      </c>
      <c r="P216" s="51">
        <f t="shared" si="251"/>
        <v>106.20859314171493</v>
      </c>
      <c r="Q216" s="21">
        <f t="shared" si="256"/>
        <v>0</v>
      </c>
      <c r="R216" s="21">
        <f t="shared" si="257"/>
        <v>0</v>
      </c>
      <c r="S216" s="21">
        <f t="shared" si="258"/>
        <v>0</v>
      </c>
      <c r="T216" s="21">
        <f t="shared" si="259"/>
        <v>0</v>
      </c>
    </row>
    <row r="217" spans="1:21">
      <c r="B217" s="16">
        <v>160</v>
      </c>
      <c r="C217" s="16">
        <v>36</v>
      </c>
      <c r="D217" s="18" t="s">
        <v>211</v>
      </c>
      <c r="E217" s="22"/>
      <c r="F217" s="106">
        <v>1</v>
      </c>
      <c r="G217" s="14">
        <f t="shared" si="260"/>
        <v>12</v>
      </c>
      <c r="H217" s="22">
        <v>0</v>
      </c>
      <c r="I217" s="20">
        <f t="shared" si="261"/>
        <v>0</v>
      </c>
      <c r="J217" s="104">
        <f>$E$298*I217</f>
        <v>0</v>
      </c>
      <c r="K217" s="51">
        <f>References!$C$17*J217</f>
        <v>0</v>
      </c>
      <c r="L217" s="51">
        <f>K217/References!$F$18</f>
        <v>0</v>
      </c>
      <c r="M217" s="57">
        <f t="shared" si="249"/>
        <v>0</v>
      </c>
      <c r="N217" s="72">
        <v>28.3</v>
      </c>
      <c r="O217" s="57">
        <f t="shared" si="250"/>
        <v>30.755174316080346</v>
      </c>
      <c r="P217" s="51">
        <f t="shared" si="251"/>
        <v>30.755174316080346</v>
      </c>
      <c r="Q217" s="21">
        <f t="shared" si="256"/>
        <v>0</v>
      </c>
      <c r="R217" s="21">
        <f t="shared" si="257"/>
        <v>0</v>
      </c>
      <c r="S217" s="21">
        <f t="shared" si="258"/>
        <v>0</v>
      </c>
      <c r="T217" s="21">
        <f t="shared" si="259"/>
        <v>0</v>
      </c>
    </row>
    <row r="218" spans="1:21">
      <c r="D218" s="18"/>
      <c r="E218" s="22"/>
      <c r="F218" s="106"/>
      <c r="G218" s="14"/>
      <c r="H218" s="22">
        <v>0</v>
      </c>
      <c r="I218" s="15"/>
      <c r="J218" s="15"/>
      <c r="K218" s="14"/>
      <c r="L218" s="23"/>
      <c r="M218" s="57"/>
      <c r="N218" s="72"/>
      <c r="O218" s="57"/>
      <c r="P218" s="51"/>
      <c r="Q218" s="112"/>
      <c r="R218" s="14"/>
      <c r="S218" s="17"/>
    </row>
    <row r="219" spans="1:21">
      <c r="B219" s="16" t="s">
        <v>250</v>
      </c>
      <c r="C219" s="16" t="s">
        <v>251</v>
      </c>
      <c r="D219" s="18" t="s">
        <v>166</v>
      </c>
      <c r="E219" s="22"/>
      <c r="F219" s="106"/>
      <c r="G219" s="14"/>
      <c r="H219" s="18"/>
      <c r="I219" s="15"/>
      <c r="J219" s="15"/>
      <c r="K219" s="14"/>
      <c r="L219" s="23"/>
      <c r="M219" s="57"/>
      <c r="N219" s="72"/>
      <c r="O219" s="57"/>
      <c r="P219" s="51"/>
      <c r="Q219" s="112"/>
      <c r="R219" s="14"/>
      <c r="S219" s="17"/>
    </row>
    <row r="220" spans="1:21">
      <c r="D220" s="18"/>
      <c r="F220" s="106"/>
      <c r="G220" s="14"/>
      <c r="H220" s="22"/>
      <c r="I220" s="20"/>
      <c r="J220" s="104"/>
      <c r="K220" s="51"/>
      <c r="L220" s="51"/>
      <c r="M220" s="57"/>
      <c r="N220" s="72"/>
      <c r="O220" s="57"/>
      <c r="P220" s="51"/>
      <c r="Q220" s="53"/>
      <c r="R220" s="53"/>
      <c r="S220" s="53"/>
      <c r="T220" s="71"/>
      <c r="U220" s="82"/>
    </row>
    <row r="222" spans="1:21">
      <c r="B222" s="16">
        <v>80</v>
      </c>
      <c r="C222" s="16">
        <v>23</v>
      </c>
      <c r="D222" s="18" t="s">
        <v>259</v>
      </c>
      <c r="E222" s="22"/>
      <c r="F222" s="106">
        <v>1</v>
      </c>
      <c r="G222" s="14">
        <f t="shared" ref="G222:G233" si="262">F222*12</f>
        <v>12</v>
      </c>
      <c r="H222" s="22">
        <v>0</v>
      </c>
      <c r="I222" s="20">
        <f t="shared" ref="I222:I233" si="263">G222*H222/12</f>
        <v>0</v>
      </c>
      <c r="J222" s="104">
        <f t="shared" ref="J222:J233" si="264">$E$298*I222</f>
        <v>0</v>
      </c>
      <c r="K222" s="51">
        <f>References!$C$17*J222</f>
        <v>0</v>
      </c>
      <c r="L222" s="51">
        <f>K222/References!$F$18</f>
        <v>0</v>
      </c>
      <c r="M222" s="57">
        <f t="shared" si="249"/>
        <v>0</v>
      </c>
      <c r="N222" s="72">
        <v>0.75</v>
      </c>
      <c r="O222" s="57">
        <f t="shared" ref="O222:O233" si="265">+N222*$E$7+N222</f>
        <v>0.81506645713993853</v>
      </c>
      <c r="P222" s="51">
        <f t="shared" si="251"/>
        <v>0.81506645713993853</v>
      </c>
      <c r="Q222" s="21">
        <f t="shared" ref="Q222:Q233" si="266">E222*N222*12</f>
        <v>0</v>
      </c>
      <c r="R222" s="21">
        <f t="shared" ref="R222:R233" si="267">E222*P222*12</f>
        <v>0</v>
      </c>
      <c r="S222" s="21">
        <f t="shared" ref="S222:S233" si="268">R222-Q222</f>
        <v>0</v>
      </c>
      <c r="T222" s="21">
        <f t="shared" ref="T222:T233" si="269">E222*O222*12</f>
        <v>0</v>
      </c>
    </row>
    <row r="223" spans="1:21">
      <c r="B223" s="16">
        <v>80</v>
      </c>
      <c r="C223" s="16">
        <v>23</v>
      </c>
      <c r="D223" s="18" t="s">
        <v>168</v>
      </c>
      <c r="E223" s="22"/>
      <c r="F223" s="106">
        <v>1</v>
      </c>
      <c r="G223" s="14">
        <f t="shared" si="262"/>
        <v>12</v>
      </c>
      <c r="H223" s="22">
        <v>0</v>
      </c>
      <c r="I223" s="20">
        <f t="shared" si="263"/>
        <v>0</v>
      </c>
      <c r="J223" s="104">
        <f t="shared" si="264"/>
        <v>0</v>
      </c>
      <c r="K223" s="51">
        <f>References!$C$17*J223</f>
        <v>0</v>
      </c>
      <c r="L223" s="51">
        <f>K223/References!$F$18</f>
        <v>0</v>
      </c>
      <c r="M223" s="57">
        <f t="shared" si="249"/>
        <v>0</v>
      </c>
      <c r="N223" s="72">
        <v>0.43</v>
      </c>
      <c r="O223" s="57">
        <f t="shared" si="265"/>
        <v>0.46730476876023141</v>
      </c>
      <c r="P223" s="51">
        <f t="shared" si="251"/>
        <v>0.46730476876023141</v>
      </c>
      <c r="Q223" s="21">
        <f t="shared" si="266"/>
        <v>0</v>
      </c>
      <c r="R223" s="21">
        <f t="shared" si="267"/>
        <v>0</v>
      </c>
      <c r="S223" s="21">
        <f t="shared" si="268"/>
        <v>0</v>
      </c>
      <c r="T223" s="21">
        <f t="shared" si="269"/>
        <v>0</v>
      </c>
    </row>
    <row r="224" spans="1:21">
      <c r="B224" s="16">
        <v>80</v>
      </c>
      <c r="C224" s="16">
        <v>23</v>
      </c>
      <c r="D224" s="18" t="s">
        <v>169</v>
      </c>
      <c r="E224" s="22"/>
      <c r="F224" s="106">
        <v>1</v>
      </c>
      <c r="G224" s="14">
        <f t="shared" si="262"/>
        <v>12</v>
      </c>
      <c r="H224" s="22">
        <v>0</v>
      </c>
      <c r="I224" s="20">
        <f t="shared" si="263"/>
        <v>0</v>
      </c>
      <c r="J224" s="104">
        <f t="shared" si="264"/>
        <v>0</v>
      </c>
      <c r="K224" s="51">
        <f>References!$C$17*J224</f>
        <v>0</v>
      </c>
      <c r="L224" s="51">
        <f>K224/References!$F$18</f>
        <v>0</v>
      </c>
      <c r="M224" s="57">
        <f t="shared" si="249"/>
        <v>0</v>
      </c>
      <c r="N224" s="72">
        <v>0.75</v>
      </c>
      <c r="O224" s="57">
        <f t="shared" si="265"/>
        <v>0.81506645713993853</v>
      </c>
      <c r="P224" s="51">
        <f t="shared" si="251"/>
        <v>0.81506645713993853</v>
      </c>
      <c r="Q224" s="21">
        <f t="shared" si="266"/>
        <v>0</v>
      </c>
      <c r="R224" s="21">
        <f t="shared" si="267"/>
        <v>0</v>
      </c>
      <c r="S224" s="21">
        <f t="shared" si="268"/>
        <v>0</v>
      </c>
      <c r="T224" s="21">
        <f t="shared" si="269"/>
        <v>0</v>
      </c>
    </row>
    <row r="225" spans="2:23">
      <c r="B225" s="16">
        <v>90</v>
      </c>
      <c r="C225" s="16">
        <v>24</v>
      </c>
      <c r="D225" s="18" t="s">
        <v>170</v>
      </c>
      <c r="E225" s="22"/>
      <c r="F225" s="106">
        <v>1</v>
      </c>
      <c r="G225" s="14">
        <f t="shared" si="262"/>
        <v>12</v>
      </c>
      <c r="H225" s="22">
        <v>0</v>
      </c>
      <c r="I225" s="20">
        <f t="shared" si="263"/>
        <v>0</v>
      </c>
      <c r="J225" s="104">
        <f t="shared" si="264"/>
        <v>0</v>
      </c>
      <c r="K225" s="51">
        <f>References!$C$17*J225</f>
        <v>0</v>
      </c>
      <c r="L225" s="51">
        <f>K225/References!$F$18</f>
        <v>0</v>
      </c>
      <c r="M225" s="57">
        <f t="shared" si="249"/>
        <v>0</v>
      </c>
      <c r="N225" s="72">
        <v>0.48</v>
      </c>
      <c r="O225" s="57">
        <f t="shared" si="265"/>
        <v>0.52164253256956061</v>
      </c>
      <c r="P225" s="51">
        <f t="shared" si="251"/>
        <v>0.52164253256956061</v>
      </c>
      <c r="Q225" s="21">
        <f t="shared" si="266"/>
        <v>0</v>
      </c>
      <c r="R225" s="21">
        <f t="shared" si="267"/>
        <v>0</v>
      </c>
      <c r="S225" s="21">
        <f t="shared" si="268"/>
        <v>0</v>
      </c>
      <c r="T225" s="21">
        <f t="shared" si="269"/>
        <v>0</v>
      </c>
    </row>
    <row r="226" spans="2:23">
      <c r="B226" s="16">
        <v>90</v>
      </c>
      <c r="C226" s="16">
        <v>24</v>
      </c>
      <c r="D226" s="18" t="s">
        <v>171</v>
      </c>
      <c r="E226" s="22"/>
      <c r="F226" s="106">
        <v>1</v>
      </c>
      <c r="G226" s="14">
        <f t="shared" si="262"/>
        <v>12</v>
      </c>
      <c r="H226" s="22">
        <v>0</v>
      </c>
      <c r="I226" s="20">
        <f t="shared" si="263"/>
        <v>0</v>
      </c>
      <c r="J226" s="104">
        <f t="shared" si="264"/>
        <v>0</v>
      </c>
      <c r="K226" s="51">
        <f>References!$C$17*J226</f>
        <v>0</v>
      </c>
      <c r="L226" s="51">
        <f>K226/References!$F$18</f>
        <v>0</v>
      </c>
      <c r="M226" s="57">
        <f t="shared" si="249"/>
        <v>0</v>
      </c>
      <c r="N226" s="72">
        <v>0.48</v>
      </c>
      <c r="O226" s="57">
        <f t="shared" si="265"/>
        <v>0.52164253256956061</v>
      </c>
      <c r="P226" s="51">
        <f t="shared" si="251"/>
        <v>0.52164253256956061</v>
      </c>
      <c r="Q226" s="21">
        <f t="shared" si="266"/>
        <v>0</v>
      </c>
      <c r="R226" s="21">
        <f t="shared" si="267"/>
        <v>0</v>
      </c>
      <c r="S226" s="21">
        <f t="shared" si="268"/>
        <v>0</v>
      </c>
      <c r="T226" s="21">
        <f t="shared" si="269"/>
        <v>0</v>
      </c>
    </row>
    <row r="227" spans="2:23">
      <c r="B227" s="16">
        <v>90</v>
      </c>
      <c r="C227" s="16">
        <v>24</v>
      </c>
      <c r="D227" s="18" t="s">
        <v>172</v>
      </c>
      <c r="E227" s="22"/>
      <c r="F227" s="106">
        <v>1</v>
      </c>
      <c r="G227" s="14">
        <f t="shared" si="262"/>
        <v>12</v>
      </c>
      <c r="H227" s="22">
        <v>0</v>
      </c>
      <c r="I227" s="20">
        <f t="shared" si="263"/>
        <v>0</v>
      </c>
      <c r="J227" s="104">
        <f t="shared" si="264"/>
        <v>0</v>
      </c>
      <c r="K227" s="51">
        <f>References!$C$17*J227</f>
        <v>0</v>
      </c>
      <c r="L227" s="51">
        <f>K227/References!$F$18</f>
        <v>0</v>
      </c>
      <c r="M227" s="57">
        <f t="shared" si="249"/>
        <v>0</v>
      </c>
      <c r="N227" s="72">
        <v>0.48</v>
      </c>
      <c r="O227" s="57">
        <f t="shared" si="265"/>
        <v>0.52164253256956061</v>
      </c>
      <c r="P227" s="51">
        <f t="shared" si="251"/>
        <v>0.52164253256956061</v>
      </c>
      <c r="Q227" s="21">
        <f t="shared" si="266"/>
        <v>0</v>
      </c>
      <c r="R227" s="21">
        <f t="shared" si="267"/>
        <v>0</v>
      </c>
      <c r="S227" s="21">
        <f t="shared" si="268"/>
        <v>0</v>
      </c>
      <c r="T227" s="21">
        <f t="shared" si="269"/>
        <v>0</v>
      </c>
    </row>
    <row r="228" spans="2:23">
      <c r="B228" s="16">
        <v>90</v>
      </c>
      <c r="C228" s="16">
        <v>24</v>
      </c>
      <c r="D228" s="18" t="s">
        <v>173</v>
      </c>
      <c r="E228" s="22"/>
      <c r="F228" s="106">
        <v>1</v>
      </c>
      <c r="G228" s="14">
        <f t="shared" si="262"/>
        <v>12</v>
      </c>
      <c r="H228" s="22">
        <v>0</v>
      </c>
      <c r="I228" s="20">
        <f t="shared" si="263"/>
        <v>0</v>
      </c>
      <c r="J228" s="104">
        <f t="shared" si="264"/>
        <v>0</v>
      </c>
      <c r="K228" s="51">
        <f>References!$C$17*J228</f>
        <v>0</v>
      </c>
      <c r="L228" s="51">
        <f>K228/References!$F$18</f>
        <v>0</v>
      </c>
      <c r="M228" s="57">
        <f t="shared" si="249"/>
        <v>0</v>
      </c>
      <c r="N228" s="72">
        <v>0.12</v>
      </c>
      <c r="O228" s="57">
        <f t="shared" si="265"/>
        <v>0.13041063314239015</v>
      </c>
      <c r="P228" s="51">
        <f t="shared" si="251"/>
        <v>0.13041063314239015</v>
      </c>
      <c r="Q228" s="21">
        <f t="shared" si="266"/>
        <v>0</v>
      </c>
      <c r="R228" s="21">
        <f t="shared" si="267"/>
        <v>0</v>
      </c>
      <c r="S228" s="21">
        <f t="shared" si="268"/>
        <v>0</v>
      </c>
      <c r="T228" s="21">
        <f t="shared" si="269"/>
        <v>0</v>
      </c>
    </row>
    <row r="229" spans="2:23">
      <c r="B229" s="16">
        <v>90</v>
      </c>
      <c r="C229" s="16">
        <v>24</v>
      </c>
      <c r="D229" s="18" t="s">
        <v>174</v>
      </c>
      <c r="E229" s="22"/>
      <c r="F229" s="106">
        <v>1</v>
      </c>
      <c r="G229" s="14">
        <f t="shared" si="262"/>
        <v>12</v>
      </c>
      <c r="H229" s="22">
        <v>0</v>
      </c>
      <c r="I229" s="20">
        <f t="shared" si="263"/>
        <v>0</v>
      </c>
      <c r="J229" s="104">
        <f t="shared" si="264"/>
        <v>0</v>
      </c>
      <c r="K229" s="51">
        <f>References!$C$17*J229</f>
        <v>0</v>
      </c>
      <c r="L229" s="51">
        <f>K229/References!$F$18</f>
        <v>0</v>
      </c>
      <c r="M229" s="57">
        <f t="shared" si="249"/>
        <v>0</v>
      </c>
      <c r="N229" s="72">
        <v>0.12</v>
      </c>
      <c r="O229" s="57">
        <f t="shared" si="265"/>
        <v>0.13041063314239015</v>
      </c>
      <c r="P229" s="51">
        <f t="shared" si="251"/>
        <v>0.13041063314239015</v>
      </c>
      <c r="Q229" s="21">
        <f t="shared" si="266"/>
        <v>0</v>
      </c>
      <c r="R229" s="21">
        <f t="shared" si="267"/>
        <v>0</v>
      </c>
      <c r="S229" s="21">
        <f t="shared" si="268"/>
        <v>0</v>
      </c>
      <c r="T229" s="21">
        <f t="shared" si="269"/>
        <v>0</v>
      </c>
    </row>
    <row r="230" spans="2:23">
      <c r="B230" s="16">
        <v>90</v>
      </c>
      <c r="C230" s="16">
        <v>24</v>
      </c>
      <c r="D230" s="18" t="s">
        <v>175</v>
      </c>
      <c r="E230" s="22"/>
      <c r="F230" s="106">
        <v>1</v>
      </c>
      <c r="G230" s="14">
        <f t="shared" si="262"/>
        <v>12</v>
      </c>
      <c r="H230" s="22">
        <v>0</v>
      </c>
      <c r="I230" s="20">
        <f t="shared" si="263"/>
        <v>0</v>
      </c>
      <c r="J230" s="104">
        <f t="shared" si="264"/>
        <v>0</v>
      </c>
      <c r="K230" s="51">
        <f>References!$C$17*J230</f>
        <v>0</v>
      </c>
      <c r="L230" s="51">
        <f>K230/References!$F$18</f>
        <v>0</v>
      </c>
      <c r="M230" s="57">
        <f t="shared" si="249"/>
        <v>0</v>
      </c>
      <c r="N230" s="72">
        <v>0.12</v>
      </c>
      <c r="O230" s="57">
        <f t="shared" si="265"/>
        <v>0.13041063314239015</v>
      </c>
      <c r="P230" s="51">
        <f t="shared" si="251"/>
        <v>0.13041063314239015</v>
      </c>
      <c r="Q230" s="21">
        <f t="shared" si="266"/>
        <v>0</v>
      </c>
      <c r="R230" s="21">
        <f t="shared" si="267"/>
        <v>0</v>
      </c>
      <c r="S230" s="21">
        <f t="shared" si="268"/>
        <v>0</v>
      </c>
      <c r="T230" s="21">
        <f t="shared" si="269"/>
        <v>0</v>
      </c>
    </row>
    <row r="231" spans="2:23">
      <c r="B231" s="16">
        <v>100</v>
      </c>
      <c r="C231" s="16">
        <v>28</v>
      </c>
      <c r="D231" s="18" t="s">
        <v>176</v>
      </c>
      <c r="E231" s="22">
        <v>0</v>
      </c>
      <c r="F231" s="106">
        <v>1</v>
      </c>
      <c r="G231" s="14">
        <f t="shared" si="262"/>
        <v>12</v>
      </c>
      <c r="H231" s="22">
        <v>0</v>
      </c>
      <c r="I231" s="20">
        <f t="shared" si="263"/>
        <v>0</v>
      </c>
      <c r="J231" s="104">
        <f t="shared" si="264"/>
        <v>0</v>
      </c>
      <c r="K231" s="51">
        <f>References!$C$17*J231</f>
        <v>0</v>
      </c>
      <c r="L231" s="51">
        <f>K231/References!$F$18</f>
        <v>0</v>
      </c>
      <c r="M231" s="57">
        <f t="shared" si="249"/>
        <v>0</v>
      </c>
      <c r="N231" s="72">
        <v>2.9</v>
      </c>
      <c r="O231" s="57">
        <f t="shared" si="265"/>
        <v>3.1515903009410957</v>
      </c>
      <c r="P231" s="51">
        <f t="shared" si="251"/>
        <v>3.1515903009410957</v>
      </c>
      <c r="Q231" s="21">
        <f t="shared" si="266"/>
        <v>0</v>
      </c>
      <c r="R231" s="21">
        <f t="shared" si="267"/>
        <v>0</v>
      </c>
      <c r="S231" s="21">
        <f t="shared" si="268"/>
        <v>0</v>
      </c>
      <c r="T231" s="21">
        <f t="shared" si="269"/>
        <v>0</v>
      </c>
    </row>
    <row r="232" spans="2:23">
      <c r="B232" s="16">
        <v>120</v>
      </c>
      <c r="C232" s="16">
        <v>35</v>
      </c>
      <c r="D232" s="18" t="s">
        <v>207</v>
      </c>
      <c r="E232" s="22"/>
      <c r="F232" s="106">
        <v>1</v>
      </c>
      <c r="G232" s="14">
        <f t="shared" si="262"/>
        <v>12</v>
      </c>
      <c r="H232" s="22">
        <v>0</v>
      </c>
      <c r="I232" s="20">
        <f t="shared" si="263"/>
        <v>0</v>
      </c>
      <c r="J232" s="104">
        <f t="shared" si="264"/>
        <v>0</v>
      </c>
      <c r="K232" s="51">
        <f>References!$C$17*J232</f>
        <v>0</v>
      </c>
      <c r="L232" s="51">
        <f>K232/References!$F$18</f>
        <v>0</v>
      </c>
      <c r="M232" s="57">
        <f t="shared" si="249"/>
        <v>0</v>
      </c>
      <c r="N232" s="72">
        <v>16.18</v>
      </c>
      <c r="O232" s="57">
        <f t="shared" si="265"/>
        <v>17.583700368698938</v>
      </c>
      <c r="P232" s="51">
        <f t="shared" si="251"/>
        <v>17.583700368698938</v>
      </c>
      <c r="Q232" s="21">
        <f t="shared" si="266"/>
        <v>0</v>
      </c>
      <c r="R232" s="21">
        <f t="shared" si="267"/>
        <v>0</v>
      </c>
      <c r="S232" s="21">
        <f t="shared" si="268"/>
        <v>0</v>
      </c>
      <c r="T232" s="21">
        <f t="shared" si="269"/>
        <v>0</v>
      </c>
    </row>
    <row r="233" spans="2:23">
      <c r="B233" s="16">
        <v>120</v>
      </c>
      <c r="C233" s="16">
        <v>35</v>
      </c>
      <c r="D233" s="18" t="s">
        <v>208</v>
      </c>
      <c r="E233" s="22"/>
      <c r="F233" s="106">
        <v>1</v>
      </c>
      <c r="G233" s="14">
        <f t="shared" si="262"/>
        <v>12</v>
      </c>
      <c r="H233" s="22">
        <v>0</v>
      </c>
      <c r="I233" s="20">
        <f t="shared" si="263"/>
        <v>0</v>
      </c>
      <c r="J233" s="104">
        <f t="shared" si="264"/>
        <v>0</v>
      </c>
      <c r="K233" s="51">
        <f>References!$C$17*J233</f>
        <v>0</v>
      </c>
      <c r="L233" s="51">
        <f>K233/References!$F$18</f>
        <v>0</v>
      </c>
      <c r="M233" s="57">
        <f t="shared" si="249"/>
        <v>0</v>
      </c>
      <c r="N233" s="72">
        <v>25.9</v>
      </c>
      <c r="O233" s="57">
        <f t="shared" si="265"/>
        <v>28.146961653232541</v>
      </c>
      <c r="P233" s="51">
        <f t="shared" si="251"/>
        <v>28.146961653232541</v>
      </c>
      <c r="Q233" s="21">
        <f t="shared" si="266"/>
        <v>0</v>
      </c>
      <c r="R233" s="21">
        <f t="shared" si="267"/>
        <v>0</v>
      </c>
      <c r="S233" s="21">
        <f t="shared" si="268"/>
        <v>0</v>
      </c>
      <c r="T233" s="21">
        <f t="shared" si="269"/>
        <v>0</v>
      </c>
    </row>
    <row r="234" spans="2:23">
      <c r="B234" s="93">
        <v>260</v>
      </c>
      <c r="C234" s="28">
        <v>48</v>
      </c>
      <c r="D234" s="18" t="s">
        <v>263</v>
      </c>
      <c r="E234" s="19"/>
      <c r="F234" s="15"/>
      <c r="G234" s="60"/>
      <c r="H234" s="14"/>
      <c r="I234" s="14"/>
      <c r="J234" s="20"/>
      <c r="K234" s="51"/>
      <c r="L234" s="57"/>
      <c r="M234" s="57"/>
      <c r="N234" s="51">
        <v>3.3</v>
      </c>
      <c r="O234" s="57">
        <f>+N234*$E$7+N234</f>
        <v>3.5862924114157293</v>
      </c>
      <c r="P234" s="51">
        <f>O234</f>
        <v>3.5862924114157293</v>
      </c>
      <c r="Q234" s="53">
        <f>G234*N234</f>
        <v>0</v>
      </c>
      <c r="R234" s="53">
        <f>G234*P234</f>
        <v>0</v>
      </c>
      <c r="S234" s="53">
        <f>R234-Q234</f>
        <v>0</v>
      </c>
      <c r="T234" s="53">
        <f>G234*O234</f>
        <v>0</v>
      </c>
      <c r="U234" s="82">
        <f>T234-Q234</f>
        <v>0</v>
      </c>
      <c r="W234" s="23"/>
    </row>
    <row r="235" spans="2:23">
      <c r="B235" s="93"/>
      <c r="C235" s="28"/>
      <c r="D235" s="18" t="s">
        <v>264</v>
      </c>
      <c r="E235" s="19"/>
      <c r="F235" s="15"/>
      <c r="G235" s="60"/>
      <c r="H235" s="14"/>
      <c r="I235" s="14"/>
      <c r="J235" s="20"/>
      <c r="K235" s="51"/>
      <c r="L235" s="57"/>
      <c r="M235" s="57"/>
      <c r="N235" s="51"/>
      <c r="O235" s="57"/>
      <c r="P235" s="51"/>
      <c r="Q235" s="53"/>
      <c r="R235" s="53"/>
      <c r="S235" s="53"/>
      <c r="T235" s="53"/>
      <c r="U235" s="82"/>
      <c r="W235" s="23"/>
    </row>
    <row r="236" spans="2:23">
      <c r="B236" s="93">
        <v>255</v>
      </c>
      <c r="C236" s="28" t="s">
        <v>223</v>
      </c>
      <c r="D236" s="18" t="s">
        <v>265</v>
      </c>
      <c r="E236" s="19"/>
      <c r="F236" s="15"/>
      <c r="G236" s="60"/>
      <c r="H236" s="14"/>
      <c r="I236" s="14"/>
      <c r="J236" s="20"/>
      <c r="K236" s="51"/>
      <c r="L236" s="57"/>
      <c r="M236" s="57"/>
      <c r="N236" s="51">
        <v>67.14</v>
      </c>
      <c r="O236" s="57">
        <f>+N236*$E$7+N236</f>
        <v>72.96474924316729</v>
      </c>
      <c r="P236" s="51">
        <f>+O236</f>
        <v>72.96474924316729</v>
      </c>
      <c r="Q236" s="53">
        <f>G236*N236</f>
        <v>0</v>
      </c>
      <c r="R236" s="53">
        <f>G236*P236</f>
        <v>0</v>
      </c>
      <c r="S236" s="53">
        <f>R236-Q236</f>
        <v>0</v>
      </c>
      <c r="T236" s="53"/>
      <c r="U236" s="82"/>
      <c r="W236" s="23"/>
    </row>
    <row r="237" spans="2:23">
      <c r="B237" s="93">
        <v>255</v>
      </c>
      <c r="C237" s="28" t="s">
        <v>223</v>
      </c>
      <c r="D237" s="18" t="s">
        <v>186</v>
      </c>
      <c r="E237" s="19"/>
      <c r="F237" s="15"/>
      <c r="G237" s="60"/>
      <c r="H237" s="14"/>
      <c r="I237" s="14"/>
      <c r="J237" s="20"/>
      <c r="K237" s="51"/>
      <c r="L237" s="57"/>
      <c r="M237" s="57"/>
      <c r="N237" s="51">
        <v>81.36</v>
      </c>
      <c r="O237" s="57">
        <f t="shared" ref="O237:O282" si="270">+N237*$E$7+N237</f>
        <v>88.418409270540536</v>
      </c>
      <c r="P237" s="51">
        <f t="shared" ref="P237:P243" si="271">+O237</f>
        <v>88.418409270540536</v>
      </c>
      <c r="Q237" s="53">
        <f t="shared" ref="Q237:Q282" si="272">G237*N237</f>
        <v>0</v>
      </c>
      <c r="R237" s="53">
        <f t="shared" ref="R237:R282" si="273">G237*P237</f>
        <v>0</v>
      </c>
      <c r="S237" s="53">
        <f t="shared" ref="S237:S282" si="274">R237-Q237</f>
        <v>0</v>
      </c>
      <c r="T237" s="53"/>
      <c r="U237" s="82"/>
      <c r="W237" s="23"/>
    </row>
    <row r="238" spans="2:23">
      <c r="B238" s="93">
        <v>255</v>
      </c>
      <c r="C238" s="28" t="s">
        <v>223</v>
      </c>
      <c r="D238" s="18" t="s">
        <v>268</v>
      </c>
      <c r="E238" s="19"/>
      <c r="F238" s="15"/>
      <c r="G238" s="60"/>
      <c r="H238" s="14"/>
      <c r="I238" s="14"/>
      <c r="J238" s="20"/>
      <c r="K238" s="51"/>
      <c r="L238" s="57"/>
      <c r="M238" s="57"/>
      <c r="N238" s="51">
        <v>97.83</v>
      </c>
      <c r="O238" s="57">
        <f t="shared" si="270"/>
        <v>106.31726866933357</v>
      </c>
      <c r="P238" s="51">
        <f t="shared" si="271"/>
        <v>106.31726866933357</v>
      </c>
      <c r="Q238" s="53">
        <f t="shared" si="272"/>
        <v>0</v>
      </c>
      <c r="R238" s="53">
        <f t="shared" si="273"/>
        <v>0</v>
      </c>
      <c r="S238" s="53">
        <f t="shared" si="274"/>
        <v>0</v>
      </c>
      <c r="T238" s="53"/>
      <c r="U238" s="82"/>
      <c r="W238" s="23"/>
    </row>
    <row r="239" spans="2:23">
      <c r="B239" s="93">
        <v>255</v>
      </c>
      <c r="C239" s="28" t="s">
        <v>223</v>
      </c>
      <c r="D239" s="18" t="s">
        <v>190</v>
      </c>
      <c r="E239" s="19"/>
      <c r="F239" s="15"/>
      <c r="G239" s="60"/>
      <c r="H239" s="14"/>
      <c r="I239" s="14"/>
      <c r="J239" s="20"/>
      <c r="K239" s="51"/>
      <c r="L239" s="57"/>
      <c r="M239" s="57"/>
      <c r="N239" s="51">
        <v>112.2</v>
      </c>
      <c r="O239" s="57">
        <f t="shared" si="270"/>
        <v>121.93394198813481</v>
      </c>
      <c r="P239" s="51">
        <f t="shared" si="271"/>
        <v>121.93394198813481</v>
      </c>
      <c r="Q239" s="53">
        <f t="shared" si="272"/>
        <v>0</v>
      </c>
      <c r="R239" s="53">
        <f t="shared" si="273"/>
        <v>0</v>
      </c>
      <c r="S239" s="53">
        <f t="shared" si="274"/>
        <v>0</v>
      </c>
      <c r="T239" s="53"/>
      <c r="U239" s="82"/>
      <c r="W239" s="23"/>
    </row>
    <row r="240" spans="2:23">
      <c r="B240" s="93">
        <v>255</v>
      </c>
      <c r="C240" s="28" t="s">
        <v>223</v>
      </c>
      <c r="D240" s="18" t="s">
        <v>267</v>
      </c>
      <c r="E240" s="19"/>
      <c r="F240" s="15"/>
      <c r="G240" s="60"/>
      <c r="H240" s="14"/>
      <c r="I240" s="14"/>
      <c r="J240" s="20"/>
      <c r="K240" s="51"/>
      <c r="L240" s="57"/>
      <c r="M240" s="57"/>
      <c r="N240" s="51">
        <v>130.77000000000001</v>
      </c>
      <c r="O240" s="57">
        <f t="shared" si="270"/>
        <v>142.1149874669197</v>
      </c>
      <c r="P240" s="51">
        <f t="shared" si="271"/>
        <v>142.1149874669197</v>
      </c>
      <c r="Q240" s="53">
        <f t="shared" si="272"/>
        <v>0</v>
      </c>
      <c r="R240" s="53">
        <f t="shared" si="273"/>
        <v>0</v>
      </c>
      <c r="S240" s="53">
        <f t="shared" si="274"/>
        <v>0</v>
      </c>
      <c r="T240" s="53"/>
      <c r="U240" s="82"/>
      <c r="W240" s="23"/>
    </row>
    <row r="241" spans="2:23">
      <c r="B241" s="93">
        <v>255</v>
      </c>
      <c r="C241" s="28" t="s">
        <v>223</v>
      </c>
      <c r="D241" s="18" t="s">
        <v>197</v>
      </c>
      <c r="E241" s="19"/>
      <c r="F241" s="15"/>
      <c r="G241" s="60"/>
      <c r="H241" s="14"/>
      <c r="I241" s="14"/>
      <c r="J241" s="20"/>
      <c r="K241" s="51"/>
      <c r="L241" s="57"/>
      <c r="M241" s="57"/>
      <c r="N241" s="51">
        <v>145.22</v>
      </c>
      <c r="O241" s="57">
        <f t="shared" si="270"/>
        <v>157.81860120781582</v>
      </c>
      <c r="P241" s="51">
        <f t="shared" si="271"/>
        <v>157.81860120781582</v>
      </c>
      <c r="Q241" s="53">
        <f t="shared" si="272"/>
        <v>0</v>
      </c>
      <c r="R241" s="53">
        <f t="shared" si="273"/>
        <v>0</v>
      </c>
      <c r="S241" s="53">
        <f t="shared" si="274"/>
        <v>0</v>
      </c>
      <c r="T241" s="53"/>
      <c r="U241" s="82"/>
      <c r="W241" s="23"/>
    </row>
    <row r="242" spans="2:23">
      <c r="B242" s="93">
        <v>255</v>
      </c>
      <c r="C242" s="28" t="s">
        <v>223</v>
      </c>
      <c r="D242" s="18" t="s">
        <v>266</v>
      </c>
      <c r="E242" s="22"/>
      <c r="F242" s="106"/>
      <c r="G242" s="14"/>
      <c r="H242" s="18"/>
      <c r="I242" s="15"/>
      <c r="J242" s="15"/>
      <c r="K242" s="14"/>
      <c r="L242" s="23"/>
      <c r="M242" s="23"/>
      <c r="N242" s="72">
        <v>192.78</v>
      </c>
      <c r="O242" s="57">
        <f t="shared" si="270"/>
        <v>209.50468214324979</v>
      </c>
      <c r="P242" s="51">
        <f t="shared" si="271"/>
        <v>209.50468214324979</v>
      </c>
      <c r="Q242" s="53">
        <f t="shared" si="272"/>
        <v>0</v>
      </c>
      <c r="R242" s="53">
        <f t="shared" si="273"/>
        <v>0</v>
      </c>
      <c r="S242" s="53">
        <f t="shared" si="274"/>
        <v>0</v>
      </c>
    </row>
    <row r="243" spans="2:23" ht="14.25" customHeight="1">
      <c r="B243" s="93">
        <v>255</v>
      </c>
      <c r="C243" s="28" t="s">
        <v>223</v>
      </c>
      <c r="D243" s="18" t="s">
        <v>201</v>
      </c>
      <c r="E243" s="22"/>
      <c r="F243" s="106"/>
      <c r="G243" s="14"/>
      <c r="H243" s="18"/>
      <c r="I243" s="15"/>
      <c r="J243" s="15"/>
      <c r="K243" s="14"/>
      <c r="L243" s="23"/>
      <c r="M243" s="23"/>
      <c r="N243" s="72">
        <v>207.35</v>
      </c>
      <c r="O243" s="57">
        <f t="shared" si="270"/>
        <v>225.33870651728833</v>
      </c>
      <c r="P243" s="51">
        <f t="shared" si="271"/>
        <v>225.33870651728833</v>
      </c>
      <c r="Q243" s="53">
        <f t="shared" si="272"/>
        <v>0</v>
      </c>
      <c r="R243" s="53">
        <f t="shared" si="273"/>
        <v>0</v>
      </c>
      <c r="S243" s="53">
        <f t="shared" si="274"/>
        <v>0</v>
      </c>
    </row>
    <row r="244" spans="2:23" ht="14.25" customHeight="1">
      <c r="B244" s="93"/>
      <c r="C244" s="28"/>
      <c r="D244" s="48" t="s">
        <v>302</v>
      </c>
      <c r="E244" s="22"/>
      <c r="F244" s="106"/>
      <c r="G244" s="14"/>
      <c r="H244" s="18"/>
      <c r="I244" s="15"/>
      <c r="J244" s="15"/>
      <c r="K244" s="14"/>
      <c r="L244" s="23"/>
      <c r="M244" s="23"/>
      <c r="N244" s="72"/>
      <c r="O244" s="57"/>
      <c r="P244" s="51"/>
      <c r="Q244" s="53"/>
      <c r="R244" s="53"/>
      <c r="S244" s="53"/>
    </row>
    <row r="245" spans="2:23" ht="14.25" customHeight="1">
      <c r="B245" s="93">
        <v>241</v>
      </c>
      <c r="C245" s="28">
        <v>44</v>
      </c>
      <c r="D245" s="18" t="s">
        <v>281</v>
      </c>
      <c r="E245" s="22"/>
      <c r="F245" s="106"/>
      <c r="G245" s="14"/>
      <c r="H245" s="18"/>
      <c r="I245" s="15"/>
      <c r="J245" s="15"/>
      <c r="K245" s="14"/>
      <c r="L245" s="23"/>
      <c r="M245" s="23"/>
      <c r="N245" s="72">
        <v>4.16</v>
      </c>
      <c r="O245" s="57">
        <f t="shared" si="270"/>
        <v>4.5209019489361921</v>
      </c>
      <c r="P245" s="51">
        <f>+P77</f>
        <v>4.5209019489361921</v>
      </c>
      <c r="Q245" s="53">
        <f t="shared" si="272"/>
        <v>0</v>
      </c>
      <c r="R245" s="53">
        <f t="shared" si="273"/>
        <v>0</v>
      </c>
      <c r="S245" s="53">
        <f t="shared" si="274"/>
        <v>0</v>
      </c>
    </row>
    <row r="246" spans="2:23" ht="14.25" customHeight="1">
      <c r="B246" s="93">
        <v>241</v>
      </c>
      <c r="C246" s="28">
        <v>44</v>
      </c>
      <c r="D246" s="18" t="s">
        <v>282</v>
      </c>
      <c r="E246" s="22"/>
      <c r="F246" s="106"/>
      <c r="G246" s="14"/>
      <c r="H246" s="18"/>
      <c r="I246" s="15"/>
      <c r="J246" s="15"/>
      <c r="K246" s="14"/>
      <c r="L246" s="23"/>
      <c r="M246" s="23"/>
      <c r="N246" s="72">
        <v>3.65</v>
      </c>
      <c r="O246" s="57">
        <f t="shared" si="270"/>
        <v>3.9666567580810339</v>
      </c>
      <c r="P246" s="51">
        <f>+P78*1.2</f>
        <v>15.688399167029536</v>
      </c>
      <c r="Q246" s="53">
        <f t="shared" si="272"/>
        <v>0</v>
      </c>
      <c r="R246" s="53">
        <f t="shared" si="273"/>
        <v>0</v>
      </c>
      <c r="S246" s="53">
        <f t="shared" si="274"/>
        <v>0</v>
      </c>
    </row>
    <row r="247" spans="2:23" ht="14.25" customHeight="1">
      <c r="B247" s="93">
        <v>241</v>
      </c>
      <c r="C247" s="28">
        <v>44</v>
      </c>
      <c r="D247" s="18" t="s">
        <v>283</v>
      </c>
      <c r="E247" s="22"/>
      <c r="F247" s="106"/>
      <c r="G247" s="14"/>
      <c r="H247" s="18"/>
      <c r="I247" s="15"/>
      <c r="J247" s="15"/>
      <c r="K247" s="14"/>
      <c r="L247" s="23"/>
      <c r="M247" s="23"/>
      <c r="N247" s="72">
        <v>7.79</v>
      </c>
      <c r="O247" s="57">
        <f t="shared" si="270"/>
        <v>8.4658236014934953</v>
      </c>
      <c r="P247" s="51">
        <f>+P79*1.2</f>
        <v>20.56575684655493</v>
      </c>
      <c r="Q247" s="53">
        <f t="shared" si="272"/>
        <v>0</v>
      </c>
      <c r="R247" s="53">
        <f t="shared" si="273"/>
        <v>0</v>
      </c>
      <c r="S247" s="53">
        <f t="shared" si="274"/>
        <v>0</v>
      </c>
    </row>
    <row r="248" spans="2:23" ht="14.25" customHeight="1">
      <c r="B248" s="93">
        <v>241</v>
      </c>
      <c r="C248" s="28">
        <v>44</v>
      </c>
      <c r="D248" s="18" t="s">
        <v>284</v>
      </c>
      <c r="E248" s="22"/>
      <c r="F248" s="106"/>
      <c r="G248" s="14"/>
      <c r="H248" s="18"/>
      <c r="I248" s="15"/>
      <c r="J248" s="15"/>
      <c r="K248" s="14"/>
      <c r="L248" s="23"/>
      <c r="M248" s="23"/>
      <c r="N248" s="72">
        <v>4.74</v>
      </c>
      <c r="O248" s="57">
        <f t="shared" si="270"/>
        <v>5.1512200091244118</v>
      </c>
      <c r="P248" s="51">
        <f t="shared" ref="P248:P263" si="275">+P80</f>
        <v>5.1512200091244118</v>
      </c>
      <c r="Q248" s="53">
        <f t="shared" si="272"/>
        <v>0</v>
      </c>
      <c r="R248" s="53">
        <f t="shared" si="273"/>
        <v>0</v>
      </c>
      <c r="S248" s="53">
        <f t="shared" si="274"/>
        <v>0</v>
      </c>
    </row>
    <row r="249" spans="2:23" ht="14.25" customHeight="1">
      <c r="B249" s="93">
        <v>241</v>
      </c>
      <c r="C249" s="28">
        <v>44</v>
      </c>
      <c r="D249" s="18" t="s">
        <v>285</v>
      </c>
      <c r="E249" s="22"/>
      <c r="F249" s="106"/>
      <c r="G249" s="14"/>
      <c r="H249" s="18"/>
      <c r="I249" s="15"/>
      <c r="J249" s="15"/>
      <c r="K249" s="14"/>
      <c r="L249" s="23"/>
      <c r="M249" s="23"/>
      <c r="N249" s="72">
        <v>5.46</v>
      </c>
      <c r="O249" s="57">
        <f t="shared" si="270"/>
        <v>5.9336838079787526</v>
      </c>
      <c r="P249" s="51">
        <f>+P81*1.2</f>
        <v>21.752493608150676</v>
      </c>
      <c r="Q249" s="53">
        <f t="shared" si="272"/>
        <v>0</v>
      </c>
      <c r="R249" s="53">
        <f t="shared" si="273"/>
        <v>0</v>
      </c>
      <c r="S249" s="53">
        <f t="shared" si="274"/>
        <v>0</v>
      </c>
    </row>
    <row r="250" spans="2:23" ht="14.25" customHeight="1">
      <c r="B250" s="93">
        <v>241</v>
      </c>
      <c r="C250" s="28">
        <v>44</v>
      </c>
      <c r="D250" s="18" t="s">
        <v>286</v>
      </c>
      <c r="E250" s="22"/>
      <c r="F250" s="106"/>
      <c r="G250" s="14"/>
      <c r="H250" s="18"/>
      <c r="I250" s="15"/>
      <c r="J250" s="15"/>
      <c r="K250" s="14"/>
      <c r="L250" s="23"/>
      <c r="M250" s="23"/>
      <c r="N250" s="72">
        <v>9.68</v>
      </c>
      <c r="O250" s="57">
        <f t="shared" si="270"/>
        <v>10.51979107348614</v>
      </c>
      <c r="P250" s="51">
        <f>+P82*1.2</f>
        <v>26.916754680589328</v>
      </c>
      <c r="Q250" s="53">
        <f t="shared" si="272"/>
        <v>0</v>
      </c>
      <c r="R250" s="53">
        <f t="shared" si="273"/>
        <v>0</v>
      </c>
      <c r="S250" s="53">
        <f t="shared" si="274"/>
        <v>0</v>
      </c>
    </row>
    <row r="251" spans="2:23" ht="14.25" customHeight="1">
      <c r="B251" s="93">
        <v>241</v>
      </c>
      <c r="C251" s="28">
        <v>44</v>
      </c>
      <c r="D251" s="18" t="s">
        <v>287</v>
      </c>
      <c r="E251" s="22"/>
      <c r="F251" s="106"/>
      <c r="G251" s="14"/>
      <c r="H251" s="18"/>
      <c r="I251" s="15"/>
      <c r="J251" s="15"/>
      <c r="K251" s="14"/>
      <c r="L251" s="23"/>
      <c r="M251" s="23"/>
      <c r="N251" s="72">
        <v>5.67</v>
      </c>
      <c r="O251" s="57">
        <f t="shared" si="270"/>
        <v>6.1619024159779352</v>
      </c>
      <c r="P251" s="51">
        <f t="shared" si="275"/>
        <v>6.1619024159779352</v>
      </c>
      <c r="Q251" s="53">
        <f t="shared" si="272"/>
        <v>0</v>
      </c>
      <c r="R251" s="53">
        <f t="shared" si="273"/>
        <v>0</v>
      </c>
      <c r="S251" s="53">
        <f t="shared" si="274"/>
        <v>0</v>
      </c>
    </row>
    <row r="252" spans="2:23" ht="14.25" customHeight="1">
      <c r="B252" s="93">
        <v>241</v>
      </c>
      <c r="C252" s="28">
        <v>44</v>
      </c>
      <c r="D252" s="18" t="s">
        <v>288</v>
      </c>
      <c r="E252" s="22"/>
      <c r="F252" s="106"/>
      <c r="G252" s="14"/>
      <c r="H252" s="18"/>
      <c r="I252" s="15"/>
      <c r="J252" s="15"/>
      <c r="K252" s="14"/>
      <c r="L252" s="23"/>
      <c r="M252" s="23"/>
      <c r="N252" s="72">
        <v>6.91</v>
      </c>
      <c r="O252" s="57">
        <f t="shared" si="270"/>
        <v>7.5094789584493</v>
      </c>
      <c r="P252" s="51">
        <f>+P84*1.2</f>
        <v>28.220861012013234</v>
      </c>
      <c r="Q252" s="53">
        <f t="shared" si="272"/>
        <v>0</v>
      </c>
      <c r="R252" s="53">
        <f t="shared" si="273"/>
        <v>0</v>
      </c>
      <c r="S252" s="53">
        <f t="shared" si="274"/>
        <v>0</v>
      </c>
    </row>
    <row r="253" spans="2:23" ht="14.25" customHeight="1">
      <c r="B253" s="93">
        <v>241</v>
      </c>
      <c r="C253" s="28">
        <v>44</v>
      </c>
      <c r="D253" s="18" t="s">
        <v>289</v>
      </c>
      <c r="E253" s="22"/>
      <c r="F253" s="106"/>
      <c r="G253" s="14"/>
      <c r="H253" s="18"/>
      <c r="I253" s="15"/>
      <c r="J253" s="15"/>
      <c r="K253" s="14"/>
      <c r="L253" s="23"/>
      <c r="M253" s="23"/>
      <c r="N253" s="72">
        <v>11.2</v>
      </c>
      <c r="O253" s="57">
        <f t="shared" si="270"/>
        <v>12.171659093289747</v>
      </c>
      <c r="P253" s="51">
        <f>+P85*1.2</f>
        <v>32.602658285597535</v>
      </c>
      <c r="Q253" s="53">
        <f t="shared" si="272"/>
        <v>0</v>
      </c>
      <c r="R253" s="53">
        <f t="shared" si="273"/>
        <v>0</v>
      </c>
      <c r="S253" s="53">
        <f t="shared" si="274"/>
        <v>0</v>
      </c>
    </row>
    <row r="254" spans="2:23" ht="14.25" customHeight="1">
      <c r="B254" s="93">
        <v>241</v>
      </c>
      <c r="C254" s="28">
        <v>44</v>
      </c>
      <c r="D254" s="18" t="s">
        <v>290</v>
      </c>
      <c r="E254" s="22"/>
      <c r="F254" s="106"/>
      <c r="G254" s="14"/>
      <c r="H254" s="18"/>
      <c r="I254" s="15"/>
      <c r="J254" s="15"/>
      <c r="K254" s="14"/>
      <c r="L254" s="23"/>
      <c r="M254" s="23"/>
      <c r="N254" s="72">
        <v>6.69</v>
      </c>
      <c r="O254" s="57">
        <f t="shared" si="270"/>
        <v>7.2703927976882516</v>
      </c>
      <c r="P254" s="51">
        <f t="shared" si="275"/>
        <v>7.2703927976882516</v>
      </c>
      <c r="Q254" s="53">
        <f t="shared" si="272"/>
        <v>0</v>
      </c>
      <c r="R254" s="53">
        <f t="shared" si="273"/>
        <v>0</v>
      </c>
      <c r="S254" s="53">
        <f t="shared" si="274"/>
        <v>0</v>
      </c>
    </row>
    <row r="255" spans="2:23" ht="14.25" customHeight="1">
      <c r="B255" s="93">
        <v>241</v>
      </c>
      <c r="C255" s="28">
        <v>44</v>
      </c>
      <c r="D255" s="18" t="s">
        <v>291</v>
      </c>
      <c r="E255" s="22"/>
      <c r="F255" s="106"/>
      <c r="G255" s="14"/>
      <c r="H255" s="18"/>
      <c r="I255" s="15"/>
      <c r="J255" s="15"/>
      <c r="K255" s="14"/>
      <c r="L255" s="23"/>
      <c r="M255" s="23"/>
      <c r="N255" s="72">
        <v>9.44</v>
      </c>
      <c r="O255" s="57">
        <f t="shared" si="270"/>
        <v>10.258969807201359</v>
      </c>
      <c r="P255" s="51">
        <f>+P87*1.2</f>
        <v>39.683955665229327</v>
      </c>
      <c r="Q255" s="53">
        <f t="shared" si="272"/>
        <v>0</v>
      </c>
      <c r="R255" s="53">
        <f t="shared" si="273"/>
        <v>0</v>
      </c>
      <c r="S255" s="53">
        <f t="shared" si="274"/>
        <v>0</v>
      </c>
    </row>
    <row r="256" spans="2:23" ht="14.25" customHeight="1">
      <c r="B256" s="93">
        <v>241</v>
      </c>
      <c r="C256" s="28">
        <v>44</v>
      </c>
      <c r="D256" s="18" t="s">
        <v>292</v>
      </c>
      <c r="E256" s="22"/>
      <c r="F256" s="106"/>
      <c r="G256" s="14"/>
      <c r="H256" s="18"/>
      <c r="I256" s="15"/>
      <c r="J256" s="15"/>
      <c r="K256" s="14"/>
      <c r="L256" s="23"/>
      <c r="M256" s="23"/>
      <c r="N256" s="72">
        <v>13.78</v>
      </c>
      <c r="O256" s="57">
        <f t="shared" si="270"/>
        <v>14.975487705851137</v>
      </c>
      <c r="P256" s="51">
        <f>+P88*1.2</f>
        <v>43.67452103938647</v>
      </c>
      <c r="Q256" s="53">
        <f t="shared" si="272"/>
        <v>0</v>
      </c>
      <c r="R256" s="53">
        <f t="shared" si="273"/>
        <v>0</v>
      </c>
      <c r="S256" s="53">
        <f t="shared" si="274"/>
        <v>0</v>
      </c>
    </row>
    <row r="257" spans="2:19" ht="14.25" customHeight="1">
      <c r="B257" s="93">
        <v>241</v>
      </c>
      <c r="C257" s="28">
        <v>44</v>
      </c>
      <c r="D257" s="18" t="s">
        <v>293</v>
      </c>
      <c r="E257" s="22"/>
      <c r="F257" s="106"/>
      <c r="G257" s="14"/>
      <c r="H257" s="18"/>
      <c r="I257" s="15"/>
      <c r="J257" s="15"/>
      <c r="K257" s="14"/>
      <c r="L257" s="23"/>
      <c r="M257" s="23"/>
      <c r="N257" s="72">
        <v>7.31</v>
      </c>
      <c r="O257" s="57">
        <f t="shared" si="270"/>
        <v>7.9441810689239336</v>
      </c>
      <c r="P257" s="51">
        <f t="shared" si="275"/>
        <v>7.9441810689239336</v>
      </c>
      <c r="Q257" s="53">
        <f t="shared" si="272"/>
        <v>0</v>
      </c>
      <c r="R257" s="53">
        <f t="shared" si="273"/>
        <v>0</v>
      </c>
      <c r="S257" s="53">
        <f t="shared" si="274"/>
        <v>0</v>
      </c>
    </row>
    <row r="258" spans="2:19" ht="14.25" customHeight="1">
      <c r="B258" s="93">
        <v>241</v>
      </c>
      <c r="C258" s="28">
        <v>44</v>
      </c>
      <c r="D258" s="18" t="s">
        <v>294</v>
      </c>
      <c r="E258" s="22"/>
      <c r="F258" s="106"/>
      <c r="G258" s="14"/>
      <c r="H258" s="18"/>
      <c r="I258" s="15"/>
      <c r="J258" s="15"/>
      <c r="K258" s="14"/>
      <c r="L258" s="23"/>
      <c r="M258" s="23"/>
      <c r="N258" s="72">
        <v>12.37</v>
      </c>
      <c r="O258" s="57">
        <f t="shared" si="270"/>
        <v>13.443162766428053</v>
      </c>
      <c r="P258" s="51">
        <f>+P90*1.2</f>
        <v>51.32962520484476</v>
      </c>
      <c r="Q258" s="53">
        <f t="shared" si="272"/>
        <v>0</v>
      </c>
      <c r="R258" s="53">
        <f t="shared" si="273"/>
        <v>0</v>
      </c>
      <c r="S258" s="53">
        <f t="shared" si="274"/>
        <v>0</v>
      </c>
    </row>
    <row r="259" spans="2:19" ht="14.25" customHeight="1">
      <c r="B259" s="93">
        <v>241</v>
      </c>
      <c r="C259" s="28">
        <v>44</v>
      </c>
      <c r="D259" s="18" t="s">
        <v>295</v>
      </c>
      <c r="E259" s="22"/>
      <c r="F259" s="106"/>
      <c r="G259" s="14"/>
      <c r="H259" s="18"/>
      <c r="I259" s="15"/>
      <c r="J259" s="15"/>
      <c r="K259" s="14"/>
      <c r="L259" s="23"/>
      <c r="M259" s="23"/>
      <c r="N259" s="72">
        <v>16.84</v>
      </c>
      <c r="O259" s="57">
        <f t="shared" si="270"/>
        <v>18.300958850982084</v>
      </c>
      <c r="P259" s="51">
        <f>+P91*1.2</f>
        <v>54.811589109746585</v>
      </c>
      <c r="Q259" s="53">
        <f t="shared" si="272"/>
        <v>0</v>
      </c>
      <c r="R259" s="53">
        <f t="shared" si="273"/>
        <v>0</v>
      </c>
      <c r="S259" s="53">
        <f t="shared" si="274"/>
        <v>0</v>
      </c>
    </row>
    <row r="260" spans="2:19" ht="14.25" customHeight="1">
      <c r="B260" s="93">
        <v>241</v>
      </c>
      <c r="C260" s="28">
        <v>44</v>
      </c>
      <c r="D260" s="18" t="s">
        <v>296</v>
      </c>
      <c r="E260" s="22"/>
      <c r="F260" s="106"/>
      <c r="G260" s="14"/>
      <c r="H260" s="18"/>
      <c r="I260" s="15"/>
      <c r="J260" s="15"/>
      <c r="K260" s="14"/>
      <c r="L260" s="23"/>
      <c r="M260" s="23"/>
      <c r="N260" s="72">
        <v>11.26</v>
      </c>
      <c r="O260" s="57">
        <f t="shared" si="270"/>
        <v>12.236864409860944</v>
      </c>
      <c r="P260" s="51">
        <f t="shared" si="275"/>
        <v>12.236864409860944</v>
      </c>
      <c r="Q260" s="53">
        <f t="shared" si="272"/>
        <v>0</v>
      </c>
      <c r="R260" s="53">
        <f t="shared" si="273"/>
        <v>0</v>
      </c>
      <c r="S260" s="53">
        <f t="shared" si="274"/>
        <v>0</v>
      </c>
    </row>
    <row r="261" spans="2:19" ht="14.25" customHeight="1">
      <c r="B261" s="93">
        <v>241</v>
      </c>
      <c r="C261" s="28">
        <v>44</v>
      </c>
      <c r="D261" s="18" t="s">
        <v>297</v>
      </c>
      <c r="E261" s="22"/>
      <c r="F261" s="106"/>
      <c r="G261" s="14"/>
      <c r="H261" s="18"/>
      <c r="I261" s="15"/>
      <c r="J261" s="15"/>
      <c r="K261" s="14"/>
      <c r="L261" s="23"/>
      <c r="M261" s="23"/>
      <c r="N261" s="72">
        <v>19.02</v>
      </c>
      <c r="O261" s="57">
        <f t="shared" si="270"/>
        <v>20.670085353068842</v>
      </c>
      <c r="P261" s="51">
        <f>+P93*1.2</f>
        <v>72.834338610024901</v>
      </c>
      <c r="Q261" s="53">
        <f t="shared" si="272"/>
        <v>0</v>
      </c>
      <c r="R261" s="53">
        <f t="shared" si="273"/>
        <v>0</v>
      </c>
      <c r="S261" s="53">
        <f t="shared" si="274"/>
        <v>0</v>
      </c>
    </row>
    <row r="262" spans="2:19" ht="14.25" customHeight="1">
      <c r="B262" s="93">
        <v>241</v>
      </c>
      <c r="C262" s="28">
        <v>44</v>
      </c>
      <c r="D262" s="18" t="s">
        <v>298</v>
      </c>
      <c r="E262" s="22"/>
      <c r="F262" s="106"/>
      <c r="G262" s="14"/>
      <c r="H262" s="18"/>
      <c r="I262" s="15"/>
      <c r="J262" s="15"/>
      <c r="K262" s="14"/>
      <c r="L262" s="23"/>
      <c r="M262" s="23"/>
      <c r="N262" s="72">
        <v>28.99</v>
      </c>
      <c r="O262" s="57">
        <f t="shared" si="270"/>
        <v>31.50503545664909</v>
      </c>
      <c r="P262" s="51">
        <f>+P94*1.2</f>
        <v>75.572961906015095</v>
      </c>
      <c r="Q262" s="53">
        <f t="shared" si="272"/>
        <v>0</v>
      </c>
      <c r="R262" s="53">
        <f t="shared" si="273"/>
        <v>0</v>
      </c>
      <c r="S262" s="53">
        <f t="shared" si="274"/>
        <v>0</v>
      </c>
    </row>
    <row r="263" spans="2:19" ht="14.25" customHeight="1">
      <c r="B263" s="93">
        <v>241</v>
      </c>
      <c r="C263" s="28">
        <v>45</v>
      </c>
      <c r="D263" s="18" t="s">
        <v>299</v>
      </c>
      <c r="E263" s="22"/>
      <c r="F263" s="106"/>
      <c r="G263" s="14"/>
      <c r="H263" s="18"/>
      <c r="I263" s="15"/>
      <c r="J263" s="15"/>
      <c r="K263" s="14"/>
      <c r="L263" s="23"/>
      <c r="M263" s="23"/>
      <c r="N263" s="72">
        <v>13.34</v>
      </c>
      <c r="O263" s="57">
        <f t="shared" si="270"/>
        <v>14.49731538432904</v>
      </c>
      <c r="P263" s="51">
        <f t="shared" si="275"/>
        <v>14.49731538432904</v>
      </c>
      <c r="Q263" s="53">
        <f t="shared" si="272"/>
        <v>0</v>
      </c>
      <c r="R263" s="53">
        <f t="shared" si="273"/>
        <v>0</v>
      </c>
      <c r="S263" s="53">
        <f t="shared" si="274"/>
        <v>0</v>
      </c>
    </row>
    <row r="264" spans="2:19" ht="14.25" customHeight="1">
      <c r="B264" s="93">
        <v>241</v>
      </c>
      <c r="C264" s="28">
        <v>45</v>
      </c>
      <c r="D264" s="18" t="s">
        <v>300</v>
      </c>
      <c r="E264" s="22"/>
      <c r="F264" s="106"/>
      <c r="G264" s="14"/>
      <c r="H264" s="18"/>
      <c r="I264" s="15"/>
      <c r="J264" s="15"/>
      <c r="K264" s="14"/>
      <c r="L264" s="23"/>
      <c r="M264" s="23"/>
      <c r="N264" s="72">
        <v>30.42</v>
      </c>
      <c r="O264" s="57">
        <f t="shared" si="270"/>
        <v>33.059095501595905</v>
      </c>
      <c r="P264" s="51">
        <f>+P96*1.2</f>
        <v>95.421460270286886</v>
      </c>
      <c r="Q264" s="53">
        <f t="shared" si="272"/>
        <v>0</v>
      </c>
      <c r="R264" s="53">
        <f t="shared" si="273"/>
        <v>0</v>
      </c>
      <c r="S264" s="53">
        <f t="shared" si="274"/>
        <v>0</v>
      </c>
    </row>
    <row r="265" spans="2:19" ht="14.25" customHeight="1">
      <c r="B265" s="93">
        <v>241</v>
      </c>
      <c r="C265" s="28">
        <v>45</v>
      </c>
      <c r="D265" s="18" t="s">
        <v>301</v>
      </c>
      <c r="E265" s="22"/>
      <c r="F265" s="106"/>
      <c r="G265" s="14"/>
      <c r="H265" s="18"/>
      <c r="I265" s="15"/>
      <c r="J265" s="15"/>
      <c r="K265" s="14"/>
      <c r="L265" s="23"/>
      <c r="M265" s="23"/>
      <c r="N265" s="72">
        <v>35.74</v>
      </c>
      <c r="O265" s="57">
        <f t="shared" si="270"/>
        <v>38.840633570908537</v>
      </c>
      <c r="P265" s="51">
        <f>+P97*1.2</f>
        <v>97.599317843764794</v>
      </c>
      <c r="Q265" s="53">
        <f t="shared" si="272"/>
        <v>0</v>
      </c>
      <c r="R265" s="53">
        <f t="shared" si="273"/>
        <v>0</v>
      </c>
      <c r="S265" s="53">
        <f t="shared" si="274"/>
        <v>0</v>
      </c>
    </row>
    <row r="266" spans="2:19" ht="14.25" customHeight="1">
      <c r="B266" s="93"/>
      <c r="C266" s="28"/>
      <c r="D266" s="48" t="s">
        <v>303</v>
      </c>
      <c r="E266" s="22"/>
      <c r="F266" s="106"/>
      <c r="G266" s="14"/>
      <c r="H266" s="18"/>
      <c r="I266" s="15"/>
      <c r="J266" s="15"/>
      <c r="K266" s="14"/>
      <c r="L266" s="23"/>
      <c r="M266" s="23"/>
      <c r="N266" s="72"/>
      <c r="O266" s="57"/>
      <c r="P266" s="23"/>
      <c r="Q266" s="53"/>
      <c r="R266" s="53"/>
      <c r="S266" s="53"/>
    </row>
    <row r="267" spans="2:19" ht="14.25" customHeight="1">
      <c r="B267" s="93">
        <v>241</v>
      </c>
      <c r="C267" s="28">
        <v>44</v>
      </c>
      <c r="D267" s="18" t="s">
        <v>304</v>
      </c>
      <c r="E267" s="22"/>
      <c r="F267" s="106"/>
      <c r="G267" s="14"/>
      <c r="H267" s="18"/>
      <c r="I267" s="15"/>
      <c r="J267" s="15"/>
      <c r="K267" s="14"/>
      <c r="L267" s="23"/>
      <c r="M267" s="23"/>
      <c r="N267" s="72">
        <v>13.57</v>
      </c>
      <c r="O267" s="57">
        <f t="shared" si="270"/>
        <v>14.747269097851955</v>
      </c>
      <c r="P267" s="205">
        <f>+O267</f>
        <v>14.747269097851955</v>
      </c>
      <c r="Q267" s="53">
        <f t="shared" si="272"/>
        <v>0</v>
      </c>
      <c r="R267" s="53">
        <f t="shared" si="273"/>
        <v>0</v>
      </c>
      <c r="S267" s="53">
        <f t="shared" si="274"/>
        <v>0</v>
      </c>
    </row>
    <row r="268" spans="2:19" ht="14.25" customHeight="1">
      <c r="B268" s="93">
        <v>241</v>
      </c>
      <c r="C268" s="28">
        <v>44</v>
      </c>
      <c r="D268" s="18" t="s">
        <v>305</v>
      </c>
      <c r="E268" s="22"/>
      <c r="F268" s="106"/>
      <c r="G268" s="14"/>
      <c r="H268" s="18"/>
      <c r="I268" s="15"/>
      <c r="J268" s="15"/>
      <c r="K268" s="14"/>
      <c r="L268" s="23"/>
      <c r="M268" s="23"/>
      <c r="N268" s="72">
        <v>1.1299999999999999</v>
      </c>
      <c r="O268" s="57">
        <f t="shared" si="270"/>
        <v>1.2280334620908406</v>
      </c>
      <c r="P268" s="205">
        <f>+O268</f>
        <v>1.2280334620908406</v>
      </c>
      <c r="Q268" s="53">
        <f t="shared" si="272"/>
        <v>0</v>
      </c>
      <c r="R268" s="53">
        <f t="shared" si="273"/>
        <v>0</v>
      </c>
      <c r="S268" s="53">
        <f t="shared" si="274"/>
        <v>0</v>
      </c>
    </row>
    <row r="269" spans="2:19" ht="14.25" customHeight="1">
      <c r="B269" s="93">
        <v>241</v>
      </c>
      <c r="C269" s="28">
        <v>44</v>
      </c>
      <c r="D269" s="18" t="s">
        <v>282</v>
      </c>
      <c r="E269" s="22"/>
      <c r="F269" s="106"/>
      <c r="G269" s="14"/>
      <c r="H269" s="18"/>
      <c r="I269" s="15"/>
      <c r="J269" s="15"/>
      <c r="K269" s="14"/>
      <c r="L269" s="23"/>
      <c r="M269" s="23"/>
      <c r="N269" s="72">
        <v>7.79</v>
      </c>
      <c r="O269" s="57">
        <f t="shared" si="270"/>
        <v>8.4658236014934953</v>
      </c>
      <c r="P269" s="205">
        <f>+P101*1.2</f>
        <v>20.56575684655493</v>
      </c>
      <c r="Q269" s="53">
        <f t="shared" si="272"/>
        <v>0</v>
      </c>
      <c r="R269" s="53">
        <f t="shared" si="273"/>
        <v>0</v>
      </c>
      <c r="S269" s="53">
        <f t="shared" si="274"/>
        <v>0</v>
      </c>
    </row>
    <row r="270" spans="2:19" ht="14.25" customHeight="1">
      <c r="B270" s="93">
        <v>241</v>
      </c>
      <c r="C270" s="28">
        <v>44</v>
      </c>
      <c r="D270" s="18" t="s">
        <v>281</v>
      </c>
      <c r="E270" s="22"/>
      <c r="F270" s="106"/>
      <c r="G270" s="14"/>
      <c r="H270" s="18"/>
      <c r="I270" s="15"/>
      <c r="J270" s="15"/>
      <c r="K270" s="14"/>
      <c r="L270" s="23"/>
      <c r="M270" s="23"/>
      <c r="N270" s="72">
        <v>4.22</v>
      </c>
      <c r="O270" s="57">
        <f t="shared" si="270"/>
        <v>4.5861072655073869</v>
      </c>
      <c r="P270" s="205">
        <f>+P100</f>
        <v>4.5861072655073869</v>
      </c>
      <c r="Q270" s="53">
        <f t="shared" si="272"/>
        <v>0</v>
      </c>
      <c r="R270" s="53">
        <f t="shared" si="273"/>
        <v>0</v>
      </c>
      <c r="S270" s="53">
        <f t="shared" si="274"/>
        <v>0</v>
      </c>
    </row>
    <row r="271" spans="2:19" ht="14.25" customHeight="1">
      <c r="B271" s="93">
        <v>241</v>
      </c>
      <c r="C271" s="28">
        <v>44</v>
      </c>
      <c r="D271" s="18" t="s">
        <v>285</v>
      </c>
      <c r="E271" s="22"/>
      <c r="F271" s="106"/>
      <c r="G271" s="14"/>
      <c r="H271" s="18"/>
      <c r="I271" s="15"/>
      <c r="J271" s="15"/>
      <c r="K271" s="14"/>
      <c r="L271" s="23"/>
      <c r="M271" s="23"/>
      <c r="N271" s="72">
        <v>9.68</v>
      </c>
      <c r="O271" s="57">
        <f t="shared" si="270"/>
        <v>10.51979107348614</v>
      </c>
      <c r="P271" s="205">
        <f>+P103*1.2</f>
        <v>26.916754680589328</v>
      </c>
      <c r="Q271" s="53">
        <f t="shared" si="272"/>
        <v>0</v>
      </c>
      <c r="R271" s="53">
        <f t="shared" si="273"/>
        <v>0</v>
      </c>
      <c r="S271" s="53">
        <f t="shared" si="274"/>
        <v>0</v>
      </c>
    </row>
    <row r="272" spans="2:19" ht="14.25" customHeight="1">
      <c r="B272" s="93">
        <v>241</v>
      </c>
      <c r="C272" s="28">
        <v>44</v>
      </c>
      <c r="D272" s="18" t="s">
        <v>284</v>
      </c>
      <c r="E272" s="22"/>
      <c r="F272" s="106"/>
      <c r="G272" s="14"/>
      <c r="H272" s="18"/>
      <c r="I272" s="15"/>
      <c r="J272" s="15"/>
      <c r="K272" s="14"/>
      <c r="L272" s="23"/>
      <c r="M272" s="23"/>
      <c r="N272" s="72">
        <v>4.8099999999999996</v>
      </c>
      <c r="O272" s="57">
        <f t="shared" si="270"/>
        <v>5.2272928784574724</v>
      </c>
      <c r="P272" s="205">
        <f>+P102</f>
        <v>5.2272928784574724</v>
      </c>
      <c r="Q272" s="53">
        <f t="shared" si="272"/>
        <v>0</v>
      </c>
      <c r="R272" s="53">
        <f t="shared" si="273"/>
        <v>0</v>
      </c>
      <c r="S272" s="53">
        <f t="shared" si="274"/>
        <v>0</v>
      </c>
    </row>
    <row r="273" spans="2:19" ht="14.25" customHeight="1">
      <c r="B273" s="93">
        <v>241</v>
      </c>
      <c r="C273" s="28">
        <v>44</v>
      </c>
      <c r="D273" s="18" t="s">
        <v>288</v>
      </c>
      <c r="E273" s="22"/>
      <c r="F273" s="106"/>
      <c r="G273" s="14"/>
      <c r="H273" s="18"/>
      <c r="I273" s="15"/>
      <c r="J273" s="15"/>
      <c r="K273" s="14"/>
      <c r="L273" s="23"/>
      <c r="M273" s="23"/>
      <c r="N273" s="72">
        <v>11.2</v>
      </c>
      <c r="O273" s="57">
        <f t="shared" si="270"/>
        <v>12.171659093289747</v>
      </c>
      <c r="P273" s="205">
        <f>+P105*1.2</f>
        <v>32.602658285597535</v>
      </c>
      <c r="Q273" s="53">
        <f t="shared" si="272"/>
        <v>0</v>
      </c>
      <c r="R273" s="53">
        <f t="shared" si="273"/>
        <v>0</v>
      </c>
      <c r="S273" s="53">
        <f t="shared" si="274"/>
        <v>0</v>
      </c>
    </row>
    <row r="274" spans="2:19" ht="14.25" customHeight="1">
      <c r="B274" s="93">
        <v>241</v>
      </c>
      <c r="C274" s="28">
        <v>44</v>
      </c>
      <c r="D274" s="18" t="s">
        <v>287</v>
      </c>
      <c r="E274" s="22"/>
      <c r="F274" s="106"/>
      <c r="G274" s="14"/>
      <c r="H274" s="18"/>
      <c r="I274" s="15"/>
      <c r="J274" s="15"/>
      <c r="K274" s="14"/>
      <c r="L274" s="23"/>
      <c r="M274" s="23"/>
      <c r="N274" s="72">
        <v>5.76</v>
      </c>
      <c r="O274" s="57">
        <f t="shared" si="270"/>
        <v>6.2597103908347274</v>
      </c>
      <c r="P274" s="205">
        <f>+P104</f>
        <v>6.2597103908347274</v>
      </c>
      <c r="Q274" s="53">
        <f t="shared" si="272"/>
        <v>0</v>
      </c>
      <c r="R274" s="53">
        <f t="shared" si="273"/>
        <v>0</v>
      </c>
      <c r="S274" s="53">
        <f t="shared" si="274"/>
        <v>0</v>
      </c>
    </row>
    <row r="275" spans="2:19" ht="14.25" customHeight="1">
      <c r="B275" s="93">
        <v>241</v>
      </c>
      <c r="C275" s="28">
        <v>44</v>
      </c>
      <c r="D275" s="18" t="s">
        <v>291</v>
      </c>
      <c r="E275" s="22"/>
      <c r="F275" s="106"/>
      <c r="G275" s="14"/>
      <c r="H275" s="18"/>
      <c r="I275" s="15"/>
      <c r="J275" s="15"/>
      <c r="K275" s="14"/>
      <c r="L275" s="23"/>
      <c r="M275" s="23"/>
      <c r="N275" s="72">
        <v>13.78</v>
      </c>
      <c r="O275" s="57">
        <f t="shared" si="270"/>
        <v>14.975487705851137</v>
      </c>
      <c r="P275" s="205">
        <f>+P107*1.2</f>
        <v>43.67452103938647</v>
      </c>
      <c r="Q275" s="53">
        <f t="shared" si="272"/>
        <v>0</v>
      </c>
      <c r="R275" s="53">
        <f t="shared" si="273"/>
        <v>0</v>
      </c>
      <c r="S275" s="53">
        <f t="shared" si="274"/>
        <v>0</v>
      </c>
    </row>
    <row r="276" spans="2:19" ht="14.25" customHeight="1">
      <c r="B276" s="93">
        <v>241</v>
      </c>
      <c r="C276" s="28">
        <v>44</v>
      </c>
      <c r="D276" s="18" t="s">
        <v>290</v>
      </c>
      <c r="E276" s="22"/>
      <c r="F276" s="106"/>
      <c r="G276" s="14"/>
      <c r="H276" s="18"/>
      <c r="I276" s="15"/>
      <c r="J276" s="15"/>
      <c r="K276" s="14"/>
      <c r="L276" s="23"/>
      <c r="M276" s="23"/>
      <c r="N276" s="72">
        <v>6.79</v>
      </c>
      <c r="O276" s="57">
        <f t="shared" si="270"/>
        <v>7.3790683253069105</v>
      </c>
      <c r="P276" s="205">
        <f>+P106</f>
        <v>7.3790683253069105</v>
      </c>
      <c r="Q276" s="53">
        <f t="shared" si="272"/>
        <v>0</v>
      </c>
      <c r="R276" s="53">
        <f t="shared" si="273"/>
        <v>0</v>
      </c>
      <c r="S276" s="53">
        <f t="shared" si="274"/>
        <v>0</v>
      </c>
    </row>
    <row r="277" spans="2:19" ht="14.25" customHeight="1">
      <c r="B277" s="93">
        <v>241</v>
      </c>
      <c r="C277" s="28">
        <v>44</v>
      </c>
      <c r="D277" s="18" t="s">
        <v>294</v>
      </c>
      <c r="E277" s="22"/>
      <c r="F277" s="106"/>
      <c r="G277" s="14"/>
      <c r="H277" s="18"/>
      <c r="I277" s="15"/>
      <c r="J277" s="15"/>
      <c r="K277" s="14"/>
      <c r="L277" s="23"/>
      <c r="M277" s="23"/>
      <c r="N277" s="72">
        <v>16.84</v>
      </c>
      <c r="O277" s="57">
        <f t="shared" si="270"/>
        <v>18.300958850982084</v>
      </c>
      <c r="P277" s="205">
        <f>+P110*1.2</f>
        <v>54.811589109746585</v>
      </c>
      <c r="Q277" s="53">
        <f t="shared" si="272"/>
        <v>0</v>
      </c>
      <c r="R277" s="53">
        <f t="shared" si="273"/>
        <v>0</v>
      </c>
      <c r="S277" s="53">
        <f t="shared" si="274"/>
        <v>0</v>
      </c>
    </row>
    <row r="278" spans="2:19" ht="14.25" customHeight="1">
      <c r="B278" s="93">
        <v>241</v>
      </c>
      <c r="C278" s="28">
        <v>44</v>
      </c>
      <c r="D278" s="18" t="s">
        <v>293</v>
      </c>
      <c r="E278" s="22"/>
      <c r="F278" s="106"/>
      <c r="G278" s="14"/>
      <c r="H278" s="18"/>
      <c r="I278" s="15"/>
      <c r="J278" s="15"/>
      <c r="K278" s="14"/>
      <c r="L278" s="23"/>
      <c r="M278" s="23"/>
      <c r="N278" s="72">
        <v>7.42</v>
      </c>
      <c r="O278" s="57">
        <f t="shared" si="270"/>
        <v>8.0637241493044591</v>
      </c>
      <c r="P278" s="205">
        <f>+P109</f>
        <v>8.0637241493044591</v>
      </c>
      <c r="Q278" s="53">
        <f t="shared" si="272"/>
        <v>0</v>
      </c>
      <c r="R278" s="53">
        <f t="shared" si="273"/>
        <v>0</v>
      </c>
      <c r="S278" s="53">
        <f t="shared" si="274"/>
        <v>0</v>
      </c>
    </row>
    <row r="279" spans="2:19" ht="14.25" customHeight="1">
      <c r="B279" s="93">
        <v>241</v>
      </c>
      <c r="C279" s="28">
        <v>44</v>
      </c>
      <c r="D279" s="18" t="s">
        <v>297</v>
      </c>
      <c r="E279" s="22"/>
      <c r="F279" s="106"/>
      <c r="G279" s="14"/>
      <c r="H279" s="18"/>
      <c r="I279" s="15"/>
      <c r="J279" s="15"/>
      <c r="K279" s="14"/>
      <c r="L279" s="23"/>
      <c r="M279" s="23"/>
      <c r="N279" s="72">
        <v>28.99</v>
      </c>
      <c r="O279" s="57">
        <f t="shared" si="270"/>
        <v>31.50503545664909</v>
      </c>
      <c r="P279" s="205">
        <f>+P112*1.2</f>
        <v>75.572961906015095</v>
      </c>
      <c r="Q279" s="53">
        <f t="shared" si="272"/>
        <v>0</v>
      </c>
      <c r="R279" s="53">
        <f t="shared" si="273"/>
        <v>0</v>
      </c>
      <c r="S279" s="53">
        <f t="shared" si="274"/>
        <v>0</v>
      </c>
    </row>
    <row r="280" spans="2:19" ht="14.25" customHeight="1">
      <c r="B280" s="93">
        <v>241</v>
      </c>
      <c r="C280" s="28">
        <v>44</v>
      </c>
      <c r="D280" s="18" t="s">
        <v>296</v>
      </c>
      <c r="E280" s="22"/>
      <c r="F280" s="106"/>
      <c r="G280" s="14"/>
      <c r="H280" s="18"/>
      <c r="I280" s="15"/>
      <c r="J280" s="15"/>
      <c r="K280" s="14"/>
      <c r="L280" s="23"/>
      <c r="M280" s="23"/>
      <c r="N280" s="72">
        <v>11.43</v>
      </c>
      <c r="O280" s="57">
        <f t="shared" si="270"/>
        <v>12.421612806812663</v>
      </c>
      <c r="P280" s="205">
        <f>+P111</f>
        <v>12.421612806812663</v>
      </c>
      <c r="Q280" s="53">
        <f t="shared" si="272"/>
        <v>0</v>
      </c>
      <c r="R280" s="53">
        <f t="shared" si="273"/>
        <v>0</v>
      </c>
      <c r="S280" s="53">
        <f t="shared" si="274"/>
        <v>0</v>
      </c>
    </row>
    <row r="281" spans="2:19" ht="14.25" customHeight="1">
      <c r="B281" s="93">
        <v>241</v>
      </c>
      <c r="C281" s="28">
        <v>45</v>
      </c>
      <c r="D281" s="18" t="s">
        <v>300</v>
      </c>
      <c r="E281" s="22"/>
      <c r="F281" s="106"/>
      <c r="G281" s="14"/>
      <c r="H281" s="18"/>
      <c r="I281" s="15"/>
      <c r="J281" s="15"/>
      <c r="K281" s="14"/>
      <c r="L281" s="23"/>
      <c r="M281" s="23"/>
      <c r="N281" s="72">
        <v>35.74</v>
      </c>
      <c r="O281" s="57">
        <f t="shared" si="270"/>
        <v>38.840633570908537</v>
      </c>
      <c r="P281" s="205">
        <f>+P114*1.2</f>
        <v>97.599317843764794</v>
      </c>
      <c r="Q281" s="53">
        <f t="shared" si="272"/>
        <v>0</v>
      </c>
      <c r="R281" s="53">
        <f t="shared" si="273"/>
        <v>0</v>
      </c>
      <c r="S281" s="53">
        <f t="shared" si="274"/>
        <v>0</v>
      </c>
    </row>
    <row r="282" spans="2:19" ht="14.25" customHeight="1">
      <c r="B282" s="93">
        <v>241</v>
      </c>
      <c r="C282" s="28">
        <v>45</v>
      </c>
      <c r="D282" s="18" t="s">
        <v>299</v>
      </c>
      <c r="E282" s="22"/>
      <c r="F282" s="106"/>
      <c r="G282" s="14"/>
      <c r="H282" s="18"/>
      <c r="I282" s="15"/>
      <c r="J282" s="15"/>
      <c r="K282" s="14"/>
      <c r="L282" s="23"/>
      <c r="M282" s="23"/>
      <c r="N282" s="72">
        <v>13.54</v>
      </c>
      <c r="O282" s="57">
        <f t="shared" si="270"/>
        <v>14.714666439566356</v>
      </c>
      <c r="P282" s="205">
        <f>+P113</f>
        <v>14.714666439566356</v>
      </c>
      <c r="Q282" s="53">
        <f t="shared" si="272"/>
        <v>0</v>
      </c>
      <c r="R282" s="53">
        <f t="shared" si="273"/>
        <v>0</v>
      </c>
      <c r="S282" s="53">
        <f t="shared" si="274"/>
        <v>0</v>
      </c>
    </row>
    <row r="283" spans="2:19" ht="14.25" customHeight="1">
      <c r="B283" s="93"/>
      <c r="C283" s="28"/>
      <c r="D283" s="48"/>
      <c r="E283" s="22"/>
      <c r="F283" s="106"/>
      <c r="G283" s="14"/>
      <c r="H283" s="18"/>
      <c r="I283" s="15"/>
      <c r="J283" s="15"/>
      <c r="K283" s="14"/>
      <c r="L283" s="23"/>
      <c r="M283" s="23"/>
      <c r="N283" s="72"/>
      <c r="O283" s="23"/>
      <c r="P283" s="23"/>
      <c r="Q283" s="112"/>
      <c r="R283" s="14"/>
      <c r="S283" s="17"/>
    </row>
    <row r="284" spans="2:19" ht="14.25" customHeight="1">
      <c r="B284" s="93"/>
      <c r="C284" s="28"/>
      <c r="D284" s="48"/>
      <c r="E284" s="22"/>
      <c r="F284" s="106"/>
      <c r="G284" s="14"/>
      <c r="H284" s="18"/>
      <c r="I284" s="15"/>
      <c r="J284" s="15"/>
      <c r="K284" s="14"/>
      <c r="L284" s="23"/>
      <c r="M284" s="23"/>
      <c r="N284" s="72"/>
      <c r="O284" s="23"/>
      <c r="P284" s="23"/>
      <c r="Q284" s="112"/>
      <c r="R284" s="14"/>
      <c r="S284" s="17"/>
    </row>
    <row r="285" spans="2:19" ht="14.25" customHeight="1">
      <c r="B285" s="93"/>
      <c r="C285" s="28"/>
      <c r="D285" s="48"/>
      <c r="E285" s="22"/>
      <c r="F285" s="106"/>
      <c r="G285" s="14"/>
      <c r="H285" s="18"/>
      <c r="I285" s="15"/>
      <c r="J285" s="15"/>
      <c r="K285" s="14"/>
      <c r="L285" s="23"/>
      <c r="M285" s="23"/>
      <c r="N285" s="72"/>
      <c r="O285" s="23"/>
      <c r="P285" s="23"/>
      <c r="Q285" s="112"/>
      <c r="R285" s="14"/>
      <c r="S285" s="17"/>
    </row>
    <row r="286" spans="2:19" ht="14.25" customHeight="1">
      <c r="B286" s="93"/>
      <c r="C286" s="28"/>
      <c r="D286" s="48"/>
      <c r="E286" s="22"/>
      <c r="F286" s="106"/>
      <c r="G286" s="14"/>
      <c r="H286" s="18"/>
      <c r="I286" s="15"/>
      <c r="J286" s="15"/>
      <c r="K286" s="14"/>
      <c r="L286" s="23"/>
      <c r="M286" s="23"/>
      <c r="N286" s="72"/>
      <c r="O286" s="23"/>
      <c r="P286" s="23"/>
      <c r="Q286" s="112"/>
      <c r="R286" s="14"/>
      <c r="S286" s="17"/>
    </row>
    <row r="287" spans="2:19" ht="14.25" customHeight="1">
      <c r="B287" s="93"/>
      <c r="C287" s="28"/>
      <c r="D287" s="18"/>
      <c r="E287" s="22"/>
      <c r="F287" s="106"/>
      <c r="G287" s="14"/>
      <c r="H287" s="18"/>
      <c r="I287" s="15"/>
      <c r="J287" s="15"/>
      <c r="K287" s="14"/>
      <c r="L287" s="23"/>
      <c r="M287" s="23"/>
      <c r="N287" s="72"/>
      <c r="O287" s="23"/>
      <c r="P287" s="23"/>
      <c r="Q287" s="112"/>
      <c r="R287" s="14"/>
      <c r="S287" s="17"/>
    </row>
    <row r="288" spans="2:19" ht="14.25" customHeight="1">
      <c r="B288" s="93"/>
      <c r="C288" s="28"/>
      <c r="D288" s="18"/>
      <c r="E288" s="22"/>
      <c r="F288" s="106"/>
      <c r="G288" s="14"/>
      <c r="H288" s="18"/>
      <c r="I288" s="15"/>
      <c r="J288" s="15"/>
      <c r="K288" s="14"/>
      <c r="L288" s="23"/>
      <c r="M288" s="23"/>
      <c r="N288" s="72"/>
      <c r="O288" s="23"/>
      <c r="P288" s="23"/>
      <c r="Q288" s="112"/>
      <c r="R288" s="14"/>
      <c r="S288" s="17"/>
    </row>
    <row r="289" spans="2:19" ht="14.25" customHeight="1">
      <c r="B289" s="93"/>
      <c r="C289" s="28"/>
      <c r="D289" s="18"/>
      <c r="E289" s="22"/>
      <c r="F289" s="106"/>
      <c r="G289" s="14"/>
      <c r="H289" s="18"/>
      <c r="I289" s="15"/>
      <c r="J289" s="15"/>
      <c r="K289" s="14"/>
      <c r="L289" s="23"/>
      <c r="M289" s="23"/>
      <c r="N289" s="72"/>
      <c r="O289" s="23"/>
      <c r="P289" s="23"/>
      <c r="Q289" s="112"/>
      <c r="R289" s="14"/>
      <c r="S289" s="17"/>
    </row>
    <row r="290" spans="2:19" ht="14.25" customHeight="1">
      <c r="B290" s="93"/>
      <c r="C290" s="28"/>
      <c r="D290" s="18"/>
      <c r="E290" s="22"/>
      <c r="F290" s="106"/>
      <c r="G290" s="14"/>
      <c r="H290" s="18"/>
      <c r="I290" s="15"/>
      <c r="J290" s="15"/>
      <c r="K290" s="14"/>
      <c r="L290" s="23"/>
      <c r="M290" s="23"/>
      <c r="N290" s="72"/>
      <c r="O290" s="23"/>
      <c r="P290" s="23"/>
      <c r="Q290" s="112"/>
      <c r="R290" s="14"/>
      <c r="S290" s="17"/>
    </row>
    <row r="291" spans="2:19" ht="14.25" customHeight="1">
      <c r="B291" s="93"/>
      <c r="C291" s="28"/>
      <c r="D291" s="18"/>
      <c r="E291" s="22"/>
      <c r="F291" s="106"/>
      <c r="G291" s="14"/>
      <c r="H291" s="18"/>
      <c r="I291" s="15"/>
      <c r="J291" s="15"/>
      <c r="K291" s="14"/>
      <c r="L291" s="23"/>
      <c r="M291" s="23"/>
      <c r="N291" s="72"/>
      <c r="O291" s="23"/>
      <c r="P291" s="23"/>
      <c r="Q291" s="112"/>
      <c r="R291" s="14"/>
      <c r="S291" s="17"/>
    </row>
    <row r="292" spans="2:19" ht="14.25" customHeight="1">
      <c r="B292" s="93"/>
      <c r="C292" s="28"/>
      <c r="D292" s="18"/>
      <c r="E292" s="22"/>
      <c r="F292" s="106"/>
      <c r="G292" s="14"/>
      <c r="H292" s="18"/>
      <c r="I292" s="15"/>
      <c r="J292" s="15"/>
      <c r="K292" s="14"/>
      <c r="L292" s="23"/>
      <c r="M292" s="23"/>
      <c r="N292" s="72"/>
      <c r="O292" s="23"/>
      <c r="P292" s="23"/>
      <c r="Q292" s="112"/>
      <c r="R292" s="14"/>
      <c r="S292" s="17"/>
    </row>
    <row r="293" spans="2:19" ht="14.25" customHeight="1">
      <c r="B293" s="93"/>
      <c r="C293" s="28"/>
      <c r="D293" s="18"/>
      <c r="E293" s="22"/>
      <c r="F293" s="106"/>
      <c r="G293" s="14"/>
      <c r="H293" s="18"/>
      <c r="I293" s="15"/>
      <c r="J293" s="15"/>
      <c r="K293" s="14"/>
      <c r="L293" s="23"/>
      <c r="M293" s="23"/>
      <c r="N293" s="72"/>
      <c r="O293" s="23"/>
      <c r="P293" s="23"/>
      <c r="Q293" s="112"/>
      <c r="R293" s="14"/>
      <c r="S293" s="17"/>
    </row>
    <row r="294" spans="2:19" ht="14.25" customHeight="1">
      <c r="B294" s="93"/>
      <c r="C294" s="28"/>
      <c r="D294" s="18"/>
      <c r="E294" s="22"/>
      <c r="F294" s="106"/>
      <c r="G294" s="14"/>
      <c r="H294" s="18"/>
      <c r="I294" s="15"/>
      <c r="J294" s="15"/>
      <c r="K294" s="14"/>
      <c r="L294" s="23"/>
      <c r="M294" s="23"/>
      <c r="N294" s="72"/>
      <c r="O294" s="23"/>
      <c r="P294" s="23"/>
      <c r="Q294" s="112"/>
      <c r="R294" s="14"/>
      <c r="S294" s="17"/>
    </row>
    <row r="295" spans="2:19">
      <c r="E295" s="22"/>
      <c r="F295" s="23"/>
      <c r="G295" s="23"/>
      <c r="H295" s="18"/>
      <c r="I295" s="15"/>
      <c r="J295" s="15"/>
      <c r="K295" s="14"/>
      <c r="L295" s="23"/>
      <c r="M295" s="23"/>
      <c r="N295" s="23"/>
      <c r="O295" s="23"/>
      <c r="P295" s="23"/>
      <c r="Q295" s="112"/>
      <c r="R295" s="113"/>
      <c r="S295" s="17"/>
    </row>
    <row r="296" spans="2:19">
      <c r="E296" s="114"/>
      <c r="F296" s="23"/>
      <c r="G296" s="23"/>
      <c r="H296" s="18"/>
      <c r="I296" s="15"/>
      <c r="J296" s="15"/>
      <c r="K296" s="14"/>
      <c r="L296" s="23"/>
      <c r="M296" s="23"/>
      <c r="N296" s="23"/>
      <c r="O296" s="23"/>
      <c r="P296" s="23"/>
      <c r="Q296" s="115"/>
      <c r="R296" s="113"/>
      <c r="S296" s="17"/>
    </row>
    <row r="297" spans="2:19">
      <c r="E297" s="104"/>
      <c r="F297" s="23"/>
      <c r="G297" s="23"/>
      <c r="H297" s="18"/>
      <c r="I297" s="15"/>
      <c r="J297" s="15"/>
      <c r="K297" s="14"/>
      <c r="L297" s="23"/>
      <c r="M297" s="23"/>
      <c r="N297" s="23"/>
      <c r="O297" s="23"/>
      <c r="P297" s="23"/>
      <c r="Q297" s="112"/>
      <c r="R297" s="113"/>
      <c r="S297" s="17"/>
    </row>
    <row r="298" spans="2:19">
      <c r="D298" s="44"/>
      <c r="E298" s="116"/>
      <c r="F298" s="23"/>
      <c r="G298" s="23"/>
      <c r="H298" s="18"/>
      <c r="I298" s="15"/>
      <c r="J298" s="15"/>
      <c r="K298" s="14"/>
      <c r="L298" s="115"/>
      <c r="M298" s="115"/>
      <c r="N298" s="117"/>
      <c r="O298" s="117"/>
      <c r="P298" s="117"/>
      <c r="Q298" s="118"/>
      <c r="R298" s="118"/>
      <c r="S298" s="17"/>
    </row>
    <row r="299" spans="2:19">
      <c r="D299" s="17"/>
      <c r="E299" s="115"/>
      <c r="F299" s="115"/>
      <c r="G299" s="23"/>
      <c r="H299" s="18"/>
      <c r="I299" s="15"/>
      <c r="J299" s="15"/>
      <c r="K299" s="14"/>
      <c r="L299" s="115"/>
      <c r="M299" s="115"/>
      <c r="N299" s="119"/>
      <c r="O299" s="81"/>
      <c r="P299" s="81"/>
      <c r="Q299" s="82"/>
      <c r="R299" s="116"/>
    </row>
    <row r="300" spans="2:19">
      <c r="D300" s="17"/>
      <c r="E300" s="113"/>
      <c r="F300" s="120"/>
      <c r="G300" s="115"/>
      <c r="H300" s="18"/>
      <c r="I300" s="15"/>
      <c r="J300" s="15"/>
      <c r="K300" s="14"/>
      <c r="L300" s="115"/>
      <c r="M300" s="115"/>
      <c r="N300" s="119"/>
      <c r="O300" s="81"/>
      <c r="P300" s="81"/>
      <c r="Q300" s="82"/>
      <c r="R300" s="116"/>
    </row>
    <row r="301" spans="2:19">
      <c r="D301" s="17"/>
      <c r="E301" s="45"/>
      <c r="F301" s="46"/>
      <c r="H301" s="18"/>
      <c r="I301" s="37"/>
      <c r="J301" s="37"/>
      <c r="K301" s="38"/>
      <c r="L301" s="17"/>
      <c r="M301" s="17"/>
      <c r="N301" s="9"/>
      <c r="O301" s="10"/>
      <c r="P301" s="10"/>
      <c r="Q301" s="11"/>
      <c r="R301" s="12"/>
    </row>
    <row r="302" spans="2:19">
      <c r="D302" s="17"/>
      <c r="E302" s="45"/>
      <c r="F302" s="46"/>
      <c r="H302" s="36"/>
      <c r="I302" s="17"/>
      <c r="J302" s="8"/>
      <c r="K302" s="38"/>
      <c r="L302" s="17"/>
      <c r="M302" s="17"/>
      <c r="N302" s="9"/>
      <c r="O302" s="10"/>
      <c r="P302" s="10"/>
      <c r="Q302" s="12"/>
      <c r="R302" s="12"/>
    </row>
    <row r="303" spans="2:19">
      <c r="D303" s="17"/>
      <c r="E303" s="47"/>
      <c r="F303" s="17"/>
      <c r="H303" s="17"/>
      <c r="I303" s="17"/>
      <c r="J303" s="8"/>
      <c r="K303" s="17"/>
      <c r="L303" s="17"/>
      <c r="M303" s="17"/>
      <c r="N303" s="17"/>
      <c r="O303" s="11"/>
      <c r="P303" s="11"/>
      <c r="Q303" s="11"/>
      <c r="R303" s="12"/>
    </row>
    <row r="304" spans="2:19">
      <c r="D304" s="17"/>
      <c r="E304" s="17"/>
      <c r="F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4:6">
      <c r="D305" s="17"/>
      <c r="E305" s="17"/>
      <c r="F305" s="17"/>
    </row>
    <row r="306" spans="4:6">
      <c r="D306" s="17"/>
      <c r="E306" s="17"/>
      <c r="F306" s="17"/>
    </row>
    <row r="307" spans="4:6">
      <c r="D307" s="17"/>
      <c r="E307" s="17"/>
      <c r="F307" s="17"/>
    </row>
    <row r="308" spans="4:6">
      <c r="D308" s="17"/>
      <c r="E308" s="17"/>
      <c r="F308" s="17"/>
    </row>
    <row r="309" spans="4:6">
      <c r="D309" s="17"/>
      <c r="E309" s="17"/>
      <c r="F309" s="17"/>
    </row>
  </sheetData>
  <mergeCells count="9">
    <mergeCell ref="O9:O11"/>
    <mergeCell ref="A199:A213"/>
    <mergeCell ref="A77:A96"/>
    <mergeCell ref="A148:A170"/>
    <mergeCell ref="A100:A114"/>
    <mergeCell ref="A13:A40"/>
    <mergeCell ref="A41:A73"/>
    <mergeCell ref="A171:A183"/>
    <mergeCell ref="A185:A193"/>
  </mergeCells>
  <phoneticPr fontId="35" type="noConversion"/>
  <pageMargins left="0.2" right="0.22" top="0.38" bottom="0.34" header="0.19" footer="0.17"/>
  <pageSetup scale="72" fitToHeight="0" orientation="landscape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D66FAF22B4D87429DE23FF236900689" ma:contentTypeVersion="48" ma:contentTypeDescription="" ma:contentTypeScope="" ma:versionID="b46c4b29c0c0e94415964df3e050e1f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2019-10-18T07:00:00+00:00</OpenedDate>
    <SignificantOrder xmlns="dc463f71-b30c-4ab2-9473-d307f9d35888">false</SignificantOrder>
    <Date1 xmlns="dc463f71-b30c-4ab2-9473-d307f9d35888">2019-10-15T07:00:00+00:00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190869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58A5F1-AF4E-4189-94FE-0D24A718DAAB}"/>
</file>

<file path=customXml/itemProps2.xml><?xml version="1.0" encoding="utf-8"?>
<ds:datastoreItem xmlns:ds="http://schemas.openxmlformats.org/officeDocument/2006/customXml" ds:itemID="{FB791024-8CD4-4679-9911-5EECF793E937}"/>
</file>

<file path=customXml/itemProps3.xml><?xml version="1.0" encoding="utf-8"?>
<ds:datastoreItem xmlns:ds="http://schemas.openxmlformats.org/officeDocument/2006/customXml" ds:itemID="{929A6D8B-9477-4648-9A6B-87356D6AD398}"/>
</file>

<file path=customXml/itemProps4.xml><?xml version="1.0" encoding="utf-8"?>
<ds:datastoreItem xmlns:ds="http://schemas.openxmlformats.org/officeDocument/2006/customXml" ds:itemID="{57A0243C-E6D2-4DF6-B4C7-62181DD36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References</vt:lpstr>
      <vt:lpstr>Staff Calcs 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Jackie Davis</cp:lastModifiedBy>
  <cp:lastPrinted>2019-10-15T20:14:55Z</cp:lastPrinted>
  <dcterms:created xsi:type="dcterms:W3CDTF">2013-10-29T22:33:54Z</dcterms:created>
  <dcterms:modified xsi:type="dcterms:W3CDTF">2019-10-15T20:15:19Z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0x0101006E56B4D1795A2E4DB2F0B01679ED314A006D66FAF22B4D87429DE23FF236900689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