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IAL\State USF Petition Filing - 2019\Hat Island\Sent Items\"/>
    </mc:Choice>
  </mc:AlternateContent>
  <bookViews>
    <workbookView xWindow="0" yWindow="0" windowWidth="25200" windowHeight="12570" tabRatio="886" activeTab="1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21" i="13" l="1"/>
  <c r="E15" i="3" l="1"/>
  <c r="C41" i="13"/>
  <c r="C12" i="13"/>
  <c r="C9" i="13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20" i="3" l="1"/>
  <c r="D20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22" i="1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G49" i="2"/>
  <c r="B49" i="2"/>
  <c r="B47" i="5"/>
  <c r="G49" i="5"/>
  <c r="B25" i="5"/>
  <c r="C49" i="5"/>
  <c r="D11" i="19" l="1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<sst xmlns="http://schemas.openxmlformats.org/spreadsheetml/2006/main" count="685" uniqueCount="310">
  <si>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</si>
  <si>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</si>
  <si>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</si>
  <si>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</si>
  <si>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</si>
  <si>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</si>
  <si>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</si>
  <si>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</si>
  <si>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</si>
  <si>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</si>
  <si>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</si>
  <si>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</si>
  <si>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</si>
  <si>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</si>
  <si>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</si>
  <si>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</si>
  <si>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</si>
  <si>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</si>
  <si>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</si>
  <si>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</si>
  <si>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</si>
  <si>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</si>
  <si>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</si>
  <si>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</si>
  <si>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</si>
  <si>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</si>
  <si>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</si>
  <si>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</si>
  <si>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</si>
  <si>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</si>
  <si>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</si>
  <si>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</si>
  <si>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</si>
  <si>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</si>
  <si>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</si>
  <si>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</si>
  <si>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</si>
  <si>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</si>
  <si>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</si>
  <si>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</si>
  <si>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</si>
  <si>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</si>
  <si>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</si>
  <si>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</si>
  <si>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</si>
  <si>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</si>
  <si>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</si>
  <si>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</si>
  <si>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</si>
  <si>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</si>
  <si>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</si>
  <si>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</si>
  <si>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</si>
  <si>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</si>
  <si>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</si>
  <si>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</si>
  <si>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</si>
  <si>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</si>
  <si>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</si>
  <si>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</si>
  <si>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</si>
  <si>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</si>
  <si>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</si>
  <si>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</si>
  <si>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</si>
  <si>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</si>
  <si>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</si>
  <si>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</si>
  <si>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</si>
  <si>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</si>
  <si>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</si>
  <si>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</si>
  <si>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</si>
  <si>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</si>
  <si>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</si>
  <si>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</si>
  <si>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</si>
  <si>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</si>
  <si>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</si>
  <si>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</si>
  <si>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</si>
  <si>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</si>
  <si>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</si>
  <si>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</si>
  <si>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</si>
  <si>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</si>
  <si>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</si>
  <si>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</si>
  <si>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</si>
  <si>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</si>
  <si>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</si>
  <si>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</si>
  <si>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</si>
  <si>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</si>
  <si>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</si>
  <si>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</si>
  <si>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</si>
  <si>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</si>
  <si>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</si>
  <si>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</si>
  <si>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</si>
  <si>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</si>
  <si>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</si>
  <si>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</si>
  <si>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</si>
  <si>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</si>
  <si>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</si>
  <si>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</si>
  <si>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</si>
  <si>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</si>
  <si>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</si>
  <si>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</si>
  <si>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</si>
  <si>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</si>
  <si>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</si>
  <si>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</si>
  <si>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</si>
  <si>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</si>
  <si>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</si>
  <si>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</si>
  <si>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</si>
  <si>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</si>
  <si>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</si>
  <si>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</si>
  <si>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</si>
  <si>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</si>
  <si>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</si>
  <si>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</si>
  <si>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</si>
  <si>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</si>
  <si>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</si>
  <si>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</si>
  <si>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</si>
  <si>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</si>
  <si>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</si>
  <si>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</si>
  <si>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</si>
  <si>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</si>
  <si>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</si>
  <si>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</si>
  <si>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</si>
  <si>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</si>
  <si>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</si>
  <si>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</si>
  <si>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</si>
  <si>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</si>
  <si>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</si>
  <si>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</si>
  <si>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</si>
  <si>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</si>
  <si>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</si>
  <si>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</si>
  <si>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</si>
  <si>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</si>
  <si>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</si>
  <si>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</si>
  <si>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</si>
  <si>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</si>
  <si>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</si>
  <si>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</si>
  <si>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</si>
  <si>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</si>
  <si>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</si>
  <si>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</si>
  <si>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</si>
  <si>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</si>
  <si>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</si>
  <si>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</si>
  <si>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</si>
  <si>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</si>
  <si>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</si>
  <si>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</si>
  <si>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</si>
  <si>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</si>
  <si>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</si>
  <si>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</si>
  <si>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</si>
  <si>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</si>
  <si>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</si>
  <si>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</si>
  <si>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</si>
  <si>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</si>
  <si>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</si>
  <si>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</si>
  <si>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</si>
  <si>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</si>
  <si>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</si>
  <si>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</si>
  <si>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</si>
  <si>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</si>
  <si>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</si>
  <si>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</si>
  <si>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</si>
  <si>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</si>
  <si>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</si>
  <si>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</si>
  <si>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</si>
  <si>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</si>
  <si>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</si>
  <si>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</si>
  <si>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</si>
  <si>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</si>
  <si>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</si>
  <si>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</si>
  <si>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</si>
  <si>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</si>
  <si>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</si>
  <si>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</si>
  <si>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</si>
  <si>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</si>
  <si>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</si>
  <si>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</si>
  <si>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</si>
  <si>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</si>
  <si>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</si>
  <si>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</si>
  <si>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</si>
  <si>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</si>
  <si>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</si>
  <si>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</si>
  <si>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</si>
  <si>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</si>
  <si>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</si>
  <si>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</si>
  <si>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</si>
  <si>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</si>
  <si>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</si>
  <si>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</si>
  <si>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</si>
  <si>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</si>
  <si>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</si>
  <si>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</si>
  <si>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</si>
  <si>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</si>
  <si>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</si>
  <si>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</si>
  <si>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</si>
  <si>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</si>
  <si>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</si>
  <si>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</si>
  <si>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</si>
  <si>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</si>
  <si>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</si>
  <si>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</si>
  <si>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</si>
  <si>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</si>
  <si>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</si>
  <si>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</si>
  <si>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</si>
  <si>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</si>
  <si>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</si>
  <si>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</si>
  <si>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</si>
  <si>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</si>
  <si>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</si>
  <si>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</si>
  <si>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</si>
  <si>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59. Total Equity (52 thru 58)</t>
  </si>
  <si>
    <t xml:space="preserve">49. Other Deferred Credits </t>
  </si>
  <si>
    <t>58. Retained Earnings or Margins</t>
  </si>
  <si>
    <t>59. Total Equity (51 thru 57)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</si>
  <si>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</si>
  <si>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</si>
  <si>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</si>
  <si>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</si>
  <si>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</si>
  <si>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</si>
  <si>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</si>
  <si>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</si>
  <si>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</si>
  <si>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</si>
  <si>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</si>
  <si>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</si>
  <si>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</si>
  <si>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</si>
  <si>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</si>
  <si>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</si>
  <si>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2017</t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</si>
  <si>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</si>
  <si>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</si>
  <si>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</si>
  <si>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</si>
  <si>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</si>
  <si>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</si>
  <si>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</si>
  <si>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</si>
  <si>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</si>
  <si>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</si>
  <si>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</si>
  <si>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</si>
  <si>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</si>
  <si>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</si>
  <si>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</si>
  <si>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</si>
  <si>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</si>
  <si>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</si>
  <si>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</si>
  <si>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</si>
  <si>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</si>
  <si>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</si>
  <si>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</si>
  <si>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</si>
  <si>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</si>
  <si>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</si>
  <si>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</si>
  <si>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</si>
  <si>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</si>
  <si>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- 2018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</si>
  <si>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2018</t>
  </si>
  <si>
    <t>Hat Island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</si>
</sst>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zoomScaleNormal="100" workbookViewId="0">
      <selection activeCell="A8" sqref="A8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7" t="s">
        <v>227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7" t="s">
        <v>228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7" t="s">
        <v>229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zoomScale="85" zoomScaleNormal="85" workbookViewId="0">
      <selection activeCell="B14" sqref="B14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">
        <v>309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267</v>
      </c>
      <c r="C8" s="12" t="s">
        <v>268</v>
      </c>
      <c r="D8" s="12" t="s">
        <v>269</v>
      </c>
      <c r="E8" s="12"/>
      <c r="F8" s="9"/>
      <c r="G8" s="12" t="s">
        <v>267</v>
      </c>
      <c r="H8" s="12" t="s">
        <v>268</v>
      </c>
      <c r="I8" s="6" t="s">
        <v>269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19792</v>
      </c>
      <c r="C10" s="120"/>
      <c r="D10" s="60">
        <f>SUM(B10:C10)</f>
        <v>19792</v>
      </c>
      <c r="E10" s="18"/>
      <c r="F10" s="18" t="s">
        <v>77</v>
      </c>
      <c r="G10" s="53">
        <v>656</v>
      </c>
      <c r="H10" s="55"/>
      <c r="I10" s="60">
        <f>SUM(G10:H10)</f>
        <v>656</v>
      </c>
    </row>
    <row r="11" spans="1:9" x14ac:dyDescent="0.2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1556</v>
      </c>
      <c r="H13" s="55"/>
      <c r="I13" s="60">
        <f t="shared" si="0"/>
        <v>1556</v>
      </c>
    </row>
    <row r="14" spans="1:9" x14ac:dyDescent="0.25">
      <c r="A14" s="18" t="s">
        <v>46</v>
      </c>
      <c r="B14" s="53">
        <v>163450</v>
      </c>
      <c r="C14" s="55"/>
      <c r="D14" s="60">
        <f t="shared" ref="D14:D15" si="1">SUM(B14:C14)</f>
        <v>163450</v>
      </c>
      <c r="E14" s="18"/>
      <c r="F14" s="18" t="s">
        <v>82</v>
      </c>
      <c r="G14" s="53"/>
      <c r="H14" s="55"/>
      <c r="I14" s="60">
        <f t="shared" si="0"/>
        <v>0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887</v>
      </c>
      <c r="C17" s="55"/>
      <c r="D17" s="60">
        <f>SUM(B17:C17)</f>
        <v>887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3069</v>
      </c>
      <c r="H18" s="55"/>
      <c r="I18" s="60">
        <f t="shared" si="0"/>
        <v>3069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/>
      <c r="H19" s="121"/>
      <c r="I19" s="61">
        <f t="shared" si="0"/>
        <v>0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5281</v>
      </c>
      <c r="H20" s="60">
        <f>SUM(H10:H19)</f>
        <v>0</v>
      </c>
      <c r="I20" s="60">
        <f t="shared" ref="I20" si="3">SUM(I10:I19)</f>
        <v>5281</v>
      </c>
    </row>
    <row r="21" spans="1:9" x14ac:dyDescent="0.2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/>
      <c r="C23" s="55"/>
      <c r="D23" s="60">
        <f t="shared" si="2"/>
        <v>0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184129</v>
      </c>
      <c r="C25" s="60">
        <f>C10+C11+C13+C14+C15+C17+C18+C19+C20+C21+C22+C23+C24</f>
        <v>0</v>
      </c>
      <c r="D25" s="60">
        <f t="shared" ref="D25" si="5">D10+D11+D13+D14+D15+D17+D18+D19+D20+D21+D22+D23+D24</f>
        <v>184129</v>
      </c>
      <c r="E25" s="18"/>
      <c r="F25" s="18" t="s">
        <v>93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0</v>
      </c>
      <c r="H32" s="127">
        <f>SUM(H22:H31)</f>
        <v>0</v>
      </c>
      <c r="I32" s="127">
        <f>SUM(I22:I31)</f>
        <v>0</v>
      </c>
    </row>
    <row r="33" spans="1:9" x14ac:dyDescent="0.25">
      <c r="A33" s="18" t="s">
        <v>56</v>
      </c>
      <c r="B33" s="53"/>
      <c r="C33" s="55"/>
      <c r="D33" s="60">
        <f>SUM(B33:C33)</f>
        <v>0</v>
      </c>
      <c r="E33" s="18"/>
      <c r="F33" s="22" t="s">
        <v>100</v>
      </c>
      <c r="G33" s="18"/>
      <c r="H33" s="18"/>
      <c r="I33" s="18"/>
    </row>
    <row r="34" spans="1:9" x14ac:dyDescent="0.25">
      <c r="A34" s="18" t="s">
        <v>57</v>
      </c>
      <c r="B34" s="53"/>
      <c r="C34" s="55"/>
      <c r="D34" s="60">
        <f t="shared" ref="D34:D38" si="7">SUM(B34:C34)</f>
        <v>0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25">
      <c r="A35" s="18" t="s">
        <v>151</v>
      </c>
      <c r="B35" s="53"/>
      <c r="C35" s="71">
        <f>-1*(C25+C30+C31+C33+C34+C36+C37+C38+C47)</f>
        <v>0</v>
      </c>
      <c r="D35" s="60">
        <f t="shared" si="7"/>
        <v>0</v>
      </c>
      <c r="E35" s="18"/>
      <c r="F35" s="19" t="s">
        <v>247</v>
      </c>
      <c r="G35" s="53"/>
      <c r="H35" s="53">
        <v>-5429</v>
      </c>
      <c r="I35" s="60">
        <f>SUM(G35:H35)</f>
        <v>-5429</v>
      </c>
    </row>
    <row r="36" spans="1:9" x14ac:dyDescent="0.25">
      <c r="A36" s="18" t="s">
        <v>61</v>
      </c>
      <c r="B36" s="53"/>
      <c r="C36" s="55"/>
      <c r="D36" s="60">
        <f t="shared" si="7"/>
        <v>0</v>
      </c>
      <c r="E36" s="18"/>
      <c r="F36" s="18" t="s">
        <v>264</v>
      </c>
      <c r="G36" s="53">
        <v>1545</v>
      </c>
      <c r="H36" s="120">
        <v>-1545</v>
      </c>
      <c r="I36" s="60">
        <f t="shared" ref="I36:I37" si="8">SUM(G36:H36)</f>
        <v>0</v>
      </c>
    </row>
    <row r="37" spans="1:9" x14ac:dyDescent="0.25">
      <c r="A37" s="18" t="s">
        <v>62</v>
      </c>
      <c r="B37" s="53"/>
      <c r="C37" s="55"/>
      <c r="D37" s="60">
        <f t="shared" si="7"/>
        <v>0</v>
      </c>
      <c r="E37" s="18"/>
      <c r="F37" s="18" t="s">
        <v>285</v>
      </c>
      <c r="G37" s="54"/>
      <c r="H37" s="121"/>
      <c r="I37" s="61">
        <f t="shared" si="8"/>
        <v>0</v>
      </c>
    </row>
    <row r="38" spans="1:9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1545</v>
      </c>
      <c r="H38" s="60">
        <f>SUM(H34:H37)</f>
        <v>-6974</v>
      </c>
      <c r="I38" s="60">
        <f>SUM(I34:I37)</f>
        <v>-5429</v>
      </c>
    </row>
    <row r="39" spans="1:9" x14ac:dyDescent="0.25">
      <c r="A39" s="18" t="s">
        <v>64</v>
      </c>
      <c r="B39" s="60">
        <f>B30+B31+B33+B34+B35+B36+B37+B38</f>
        <v>0</v>
      </c>
      <c r="C39" s="60">
        <f>C30+C31+C33+C34+C35+C36+C37+C38</f>
        <v>0</v>
      </c>
      <c r="D39" s="60">
        <f t="shared" ref="D39" si="9">D30+D31+D33+D34+D35+D36+D37+D38</f>
        <v>0</v>
      </c>
      <c r="E39" s="18"/>
      <c r="F39" s="22" t="s">
        <v>102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248</v>
      </c>
      <c r="G40" s="53">
        <v>4000</v>
      </c>
      <c r="H40" s="23"/>
      <c r="I40" s="60">
        <f>SUM(G40:H40)</f>
        <v>4000</v>
      </c>
    </row>
    <row r="41" spans="1:9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159</v>
      </c>
      <c r="B42" s="53">
        <v>428516</v>
      </c>
      <c r="C42" s="53"/>
      <c r="D42" s="60">
        <f>SUM(B42:C42)</f>
        <v>428516</v>
      </c>
      <c r="E42" s="18"/>
      <c r="F42" s="18" t="s">
        <v>250</v>
      </c>
      <c r="G42" s="53"/>
      <c r="H42" s="23"/>
      <c r="I42" s="60">
        <f t="shared" si="10"/>
        <v>0</v>
      </c>
    </row>
    <row r="43" spans="1:9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9" x14ac:dyDescent="0.25">
      <c r="A44" s="18" t="s">
        <v>68</v>
      </c>
      <c r="B44" s="53"/>
      <c r="C44" s="53"/>
      <c r="D44" s="60">
        <f t="shared" si="11"/>
        <v>0</v>
      </c>
      <c r="E44" s="18"/>
      <c r="F44" s="18" t="s">
        <v>252</v>
      </c>
      <c r="G44" s="53"/>
      <c r="H44" s="23"/>
      <c r="I44" s="60">
        <f t="shared" si="10"/>
        <v>0</v>
      </c>
    </row>
    <row r="45" spans="1:9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-337871</v>
      </c>
      <c r="C46" s="54"/>
      <c r="D46" s="61">
        <f t="shared" si="11"/>
        <v>-337871</v>
      </c>
      <c r="E46" s="18"/>
      <c r="F46" s="18" t="s">
        <v>254</v>
      </c>
      <c r="G46" s="54">
        <v>263948</v>
      </c>
      <c r="H46" s="80">
        <f>-1*(H20+H32+H38)</f>
        <v>6974</v>
      </c>
      <c r="I46" s="61">
        <f t="shared" si="10"/>
        <v>270922</v>
      </c>
    </row>
    <row r="47" spans="1:9" x14ac:dyDescent="0.25">
      <c r="A47" s="18" t="s">
        <v>70</v>
      </c>
      <c r="B47" s="60">
        <f>B42+B43+B44+B45+B46</f>
        <v>90645</v>
      </c>
      <c r="C47" s="60">
        <f t="shared" ref="C47:D47" si="12">C42+C43+C44+C45+C46</f>
        <v>0</v>
      </c>
      <c r="D47" s="60">
        <f t="shared" si="12"/>
        <v>90645</v>
      </c>
      <c r="E47" s="18"/>
      <c r="F47" s="18" t="s">
        <v>257</v>
      </c>
      <c r="G47" s="60">
        <f>SUM(G40:G46)</f>
        <v>267948</v>
      </c>
      <c r="H47" s="63">
        <f t="shared" ref="H47:I47" si="13">SUM(H40:H46)</f>
        <v>6974</v>
      </c>
      <c r="I47" s="60">
        <f t="shared" si="13"/>
        <v>274922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274774</v>
      </c>
      <c r="C49" s="62">
        <f t="shared" ref="C49:D49" si="14">C25+C39+C47</f>
        <v>0</v>
      </c>
      <c r="D49" s="62">
        <f t="shared" si="14"/>
        <v>274774</v>
      </c>
      <c r="E49" s="20"/>
      <c r="F49" s="75" t="s">
        <v>256</v>
      </c>
      <c r="G49" s="62">
        <f>G20+G32+G38+G47</f>
        <v>274774</v>
      </c>
      <c r="H49" s="62">
        <f>H20+H32+H38+H47</f>
        <v>0</v>
      </c>
      <c r="I49" s="62">
        <f>I20+I32+I38+I47</f>
        <v>274774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265</v>
      </c>
      <c r="G53" s="67"/>
      <c r="H53" s="67"/>
      <c r="I53" s="67"/>
    </row>
    <row r="54" spans="1:9" x14ac:dyDescent="0.25">
      <c r="A54" s="67" t="s">
        <v>266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s0FqB+5MMcvbdvj9TqduA/toKvVPGIRks5oyINeOUeeNqnblnH1A6jz+3iWsuXA6LDd58WIVTYPT5CYh1EZCkA==" saltValue="/h5asIRVT7AyGITFJH6LJ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22" zoomScaleNormal="100" workbookViewId="0">
      <selection activeCell="G41" sqref="G4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tr">
        <f>PriorYearBalanceSheet!A3</f>
        <v>Hat Island Telephone Company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300</v>
      </c>
      <c r="C8" s="12" t="s">
        <v>301</v>
      </c>
      <c r="D8" s="12" t="s">
        <v>302</v>
      </c>
      <c r="E8" s="12"/>
      <c r="F8" s="9"/>
      <c r="G8" s="12" t="s">
        <v>300</v>
      </c>
      <c r="H8" s="12" t="s">
        <v>301</v>
      </c>
      <c r="I8" s="6" t="s">
        <v>302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43392</v>
      </c>
      <c r="C10" s="55"/>
      <c r="D10" s="60">
        <f>SUM(B10:C10)</f>
        <v>43392</v>
      </c>
      <c r="E10" s="18"/>
      <c r="F10" s="18" t="s">
        <v>77</v>
      </c>
      <c r="G10" s="53">
        <v>4168</v>
      </c>
      <c r="H10" s="55"/>
      <c r="I10" s="60">
        <f>SUM(G10:H10)</f>
        <v>4168</v>
      </c>
    </row>
    <row r="11" spans="1:9" x14ac:dyDescent="0.2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1458</v>
      </c>
      <c r="H13" s="55"/>
      <c r="I13" s="60">
        <f t="shared" si="0"/>
        <v>1458</v>
      </c>
    </row>
    <row r="14" spans="1:9" x14ac:dyDescent="0.25">
      <c r="A14" s="18" t="s">
        <v>46</v>
      </c>
      <c r="B14" s="53">
        <v>108574</v>
      </c>
      <c r="C14" s="55"/>
      <c r="D14" s="60">
        <f t="shared" ref="D14:D15" si="1">SUM(B14:C14)</f>
        <v>108574</v>
      </c>
      <c r="E14" s="18"/>
      <c r="F14" s="18" t="s">
        <v>82</v>
      </c>
      <c r="G14" s="53"/>
      <c r="H14" s="55"/>
      <c r="I14" s="60">
        <f t="shared" si="0"/>
        <v>0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3510</v>
      </c>
      <c r="C17" s="55"/>
      <c r="D17" s="60">
        <f>SUM(B17:C17)</f>
        <v>3510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3136</v>
      </c>
      <c r="H18" s="55"/>
      <c r="I18" s="60">
        <f t="shared" si="0"/>
        <v>3136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/>
      <c r="H19" s="121"/>
      <c r="I19" s="61">
        <f t="shared" si="0"/>
        <v>0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8762</v>
      </c>
      <c r="H20" s="60">
        <f>SUM(H10:H19)</f>
        <v>0</v>
      </c>
      <c r="I20" s="60">
        <f t="shared" ref="I20" si="3">SUM(I10:I19)</f>
        <v>8762</v>
      </c>
    </row>
    <row r="21" spans="1:9" x14ac:dyDescent="0.2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/>
      <c r="C23" s="55"/>
      <c r="D23" s="60">
        <f t="shared" si="2"/>
        <v>0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155476</v>
      </c>
      <c r="C25" s="60">
        <f>C10+C11+C13+C14+C15+C17+C18+C19+C20+C21+C22+C23+C24</f>
        <v>0</v>
      </c>
      <c r="D25" s="60">
        <f t="shared" ref="D25" si="5">D10+D11+D13+D14+D15+D17+D18+D19+D20+D21+D22+D23+D24</f>
        <v>155476</v>
      </c>
      <c r="E25" s="18"/>
      <c r="F25" s="18" t="s">
        <v>93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0</v>
      </c>
      <c r="H32" s="127">
        <f>SUM(H22:H31)</f>
        <v>0</v>
      </c>
      <c r="I32" s="127">
        <f>SUM(I22:I31)</f>
        <v>0</v>
      </c>
    </row>
    <row r="33" spans="1:11" x14ac:dyDescent="0.25">
      <c r="A33" s="18" t="s">
        <v>56</v>
      </c>
      <c r="B33" s="53"/>
      <c r="C33" s="55"/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25">
      <c r="A34" s="18" t="s">
        <v>57</v>
      </c>
      <c r="B34" s="53"/>
      <c r="C34" s="55"/>
      <c r="D34" s="60">
        <f t="shared" ref="D34:D38" si="7">SUM(B34:C34)</f>
        <v>0</v>
      </c>
      <c r="E34" s="18"/>
      <c r="F34" s="14" t="s">
        <v>101</v>
      </c>
      <c r="G34" s="53"/>
      <c r="H34" s="55"/>
      <c r="I34" s="60">
        <f>SUM(G34:H34)</f>
        <v>0</v>
      </c>
    </row>
    <row r="35" spans="1:11" x14ac:dyDescent="0.25">
      <c r="A35" s="18" t="s">
        <v>151</v>
      </c>
      <c r="B35" s="53"/>
      <c r="C35" s="71">
        <f>-1*(C25+C30+C31+C33+C34+C36+C37+C38+C47)</f>
        <v>0</v>
      </c>
      <c r="D35" s="60">
        <f t="shared" si="7"/>
        <v>0</v>
      </c>
      <c r="E35" s="18"/>
      <c r="F35" s="129" t="s">
        <v>247</v>
      </c>
      <c r="G35" s="53"/>
      <c r="H35" s="53"/>
      <c r="I35" s="60">
        <f>SUM(G35:H35)</f>
        <v>0</v>
      </c>
    </row>
    <row r="36" spans="1:11" x14ac:dyDescent="0.25">
      <c r="A36" s="18" t="s">
        <v>61</v>
      </c>
      <c r="B36" s="53"/>
      <c r="C36" s="55"/>
      <c r="D36" s="60">
        <f t="shared" si="7"/>
        <v>0</v>
      </c>
      <c r="E36" s="18"/>
      <c r="F36" s="14" t="s">
        <v>264</v>
      </c>
      <c r="G36" s="53">
        <v>1618</v>
      </c>
      <c r="H36" s="120"/>
      <c r="I36" s="60">
        <f t="shared" ref="I36:I37" si="8">SUM(G36:H36)</f>
        <v>1618</v>
      </c>
    </row>
    <row r="37" spans="1:11" x14ac:dyDescent="0.25">
      <c r="A37" s="18" t="s">
        <v>62</v>
      </c>
      <c r="B37" s="53"/>
      <c r="C37" s="55"/>
      <c r="D37" s="60">
        <f t="shared" si="7"/>
        <v>0</v>
      </c>
      <c r="E37" s="18"/>
      <c r="F37" s="14" t="s">
        <v>285</v>
      </c>
      <c r="G37" s="54"/>
      <c r="H37" s="121"/>
      <c r="I37" s="61">
        <f t="shared" si="8"/>
        <v>0</v>
      </c>
    </row>
    <row r="38" spans="1:11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1618</v>
      </c>
      <c r="H38" s="60">
        <f>SUM(H34:H37)</f>
        <v>0</v>
      </c>
      <c r="I38" s="60">
        <f>SUM(I34:I37)</f>
        <v>1618</v>
      </c>
    </row>
    <row r="39" spans="1:11" x14ac:dyDescent="0.25">
      <c r="A39" s="18" t="s">
        <v>64</v>
      </c>
      <c r="B39" s="60">
        <f>B30+B31+B33+B34+B35+B36+B37+B38</f>
        <v>0</v>
      </c>
      <c r="C39" s="60">
        <f>C30+C31+C33+C34+C35+C36+C37+C38</f>
        <v>0</v>
      </c>
      <c r="D39" s="60">
        <f t="shared" ref="D39" si="9">D30+D31+D33+D34+D35+D36+D37+D38</f>
        <v>0</v>
      </c>
      <c r="E39" s="18"/>
      <c r="F39" s="22" t="s">
        <v>102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248</v>
      </c>
      <c r="G40" s="53">
        <v>4000</v>
      </c>
      <c r="H40" s="23"/>
      <c r="I40" s="60">
        <f>SUM(G40:H40)</f>
        <v>4000</v>
      </c>
    </row>
    <row r="41" spans="1:11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159</v>
      </c>
      <c r="B42" s="53">
        <v>431387</v>
      </c>
      <c r="C42" s="53"/>
      <c r="D42" s="60">
        <f>SUM(B42:C42)</f>
        <v>431387</v>
      </c>
      <c r="E42" s="18"/>
      <c r="F42" s="18" t="s">
        <v>250</v>
      </c>
      <c r="G42" s="53"/>
      <c r="H42" s="23"/>
      <c r="I42" s="60">
        <f t="shared" si="10"/>
        <v>0</v>
      </c>
    </row>
    <row r="43" spans="1:11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11" x14ac:dyDescent="0.25">
      <c r="A44" s="18" t="s">
        <v>68</v>
      </c>
      <c r="B44" s="53"/>
      <c r="C44" s="53"/>
      <c r="D44" s="60">
        <f t="shared" si="11"/>
        <v>0</v>
      </c>
      <c r="E44" s="18"/>
      <c r="F44" s="18" t="s">
        <v>252</v>
      </c>
      <c r="G44" s="53"/>
      <c r="H44" s="23"/>
      <c r="I44" s="60">
        <f t="shared" si="10"/>
        <v>0</v>
      </c>
      <c r="K44" s="67"/>
    </row>
    <row r="45" spans="1:11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-351066</v>
      </c>
      <c r="C46" s="54"/>
      <c r="D46" s="61">
        <f t="shared" si="11"/>
        <v>-351066</v>
      </c>
      <c r="E46" s="18"/>
      <c r="F46" s="18" t="s">
        <v>254</v>
      </c>
      <c r="G46" s="54">
        <v>221417</v>
      </c>
      <c r="H46" s="80">
        <f>-1*(H20+H32+H38)</f>
        <v>0</v>
      </c>
      <c r="I46" s="61">
        <f t="shared" si="10"/>
        <v>221417</v>
      </c>
    </row>
    <row r="47" spans="1:11" x14ac:dyDescent="0.25">
      <c r="A47" s="18" t="s">
        <v>70</v>
      </c>
      <c r="B47" s="60">
        <f>B42+B43+B44+B45+B46</f>
        <v>80321</v>
      </c>
      <c r="C47" s="60">
        <f t="shared" ref="C47:D47" si="12">C42+C43+C44+C45+C46</f>
        <v>0</v>
      </c>
      <c r="D47" s="60">
        <f t="shared" si="12"/>
        <v>80321</v>
      </c>
      <c r="E47" s="18"/>
      <c r="F47" s="18" t="s">
        <v>257</v>
      </c>
      <c r="G47" s="60">
        <f>SUM(G40:G46)</f>
        <v>225417</v>
      </c>
      <c r="H47" s="63">
        <f t="shared" ref="H47:I47" si="13">SUM(H40:H46)</f>
        <v>0</v>
      </c>
      <c r="I47" s="60">
        <f t="shared" si="13"/>
        <v>225417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235797</v>
      </c>
      <c r="C49" s="62">
        <f t="shared" ref="C49:D49" si="14">C25+C39+C47</f>
        <v>0</v>
      </c>
      <c r="D49" s="62">
        <f t="shared" si="14"/>
        <v>235797</v>
      </c>
      <c r="E49" s="20"/>
      <c r="F49" s="75" t="s">
        <v>256</v>
      </c>
      <c r="G49" s="62">
        <f>G20+G32+G38+G47</f>
        <v>235797</v>
      </c>
      <c r="H49" s="62">
        <f>H20+H32+H38+H47</f>
        <v>0</v>
      </c>
      <c r="I49" s="62">
        <f>I20+I32+I38+I47</f>
        <v>235797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265</v>
      </c>
      <c r="G53" s="67"/>
      <c r="H53" s="67"/>
      <c r="I53" s="67"/>
    </row>
    <row r="54" spans="1:9" x14ac:dyDescent="0.25">
      <c r="A54" s="67" t="s">
        <v>266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QpoLT2l/6L2H3hK3StAfj+0JhC45ZOJOnWT2jRR9NjSFPDIYrjV93JC+Bz9I3JaaOjSCLGCTGPKTCuDi2ZOsog==" saltValue="Z+/k/3TAmxPT7T/f2uVQp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22" zoomScaleNormal="100" workbookViewId="0">
      <selection activeCell="H11" sqref="H1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9" t="str">
        <f>PriorYearBalanceSheet!A3</f>
        <v>Hat Island Telephone Company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2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25">
      <c r="A8" s="9"/>
      <c r="B8" s="12" t="s">
        <v>270</v>
      </c>
      <c r="C8" s="12" t="s">
        <v>303</v>
      </c>
      <c r="D8" s="12"/>
      <c r="E8" s="9"/>
      <c r="F8" s="12" t="s">
        <v>270</v>
      </c>
      <c r="G8" s="6" t="s">
        <v>303</v>
      </c>
    </row>
    <row r="9" spans="1:7" x14ac:dyDescent="0.2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25">
      <c r="A10" s="18" t="s">
        <v>41</v>
      </c>
      <c r="B10" s="33">
        <f>PriorYearBalanceSheet!D10</f>
        <v>19792</v>
      </c>
      <c r="C10" s="33">
        <f>'CurrentYearBalanceSheet '!D10</f>
        <v>43392</v>
      </c>
      <c r="D10" s="18"/>
      <c r="E10" s="18" t="s">
        <v>77</v>
      </c>
      <c r="F10" s="33">
        <f>PriorYearBalanceSheet!I10</f>
        <v>656</v>
      </c>
      <c r="G10" s="33">
        <f>'CurrentYearBalanceSheet '!I10</f>
        <v>4168</v>
      </c>
    </row>
    <row r="11" spans="1:7" x14ac:dyDescent="0.2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42</v>
      </c>
      <c r="B12" s="23"/>
      <c r="C12" s="23"/>
      <c r="D12" s="19"/>
      <c r="E12" s="18" t="s">
        <v>80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43</v>
      </c>
      <c r="B13" s="33">
        <f>PriorYearBalanceSheet!D13</f>
        <v>0</v>
      </c>
      <c r="C13" s="33">
        <f>'CurrentYearBalanceSheet '!D13</f>
        <v>0</v>
      </c>
      <c r="D13" s="18"/>
      <c r="E13" s="18" t="s">
        <v>81</v>
      </c>
      <c r="F13" s="33">
        <f>PriorYearBalanceSheet!I13</f>
        <v>1556</v>
      </c>
      <c r="G13" s="33">
        <f>'CurrentYearBalanceSheet '!I13</f>
        <v>1458</v>
      </c>
    </row>
    <row r="14" spans="1:7" x14ac:dyDescent="0.25">
      <c r="A14" s="18" t="s">
        <v>46</v>
      </c>
      <c r="B14" s="33">
        <f>PriorYearBalanceSheet!D14</f>
        <v>163450</v>
      </c>
      <c r="C14" s="33">
        <f>'CurrentYearBalanceSheet '!D14</f>
        <v>108574</v>
      </c>
      <c r="D14" s="18"/>
      <c r="E14" s="18" t="s">
        <v>82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44</v>
      </c>
      <c r="B15" s="33">
        <f>PriorYearBalanceSheet!D15</f>
        <v>0</v>
      </c>
      <c r="C15" s="33">
        <f>'CurrentYearBalanceSheet '!D15</f>
        <v>0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43</v>
      </c>
      <c r="B17" s="33">
        <f>PriorYearBalanceSheet!D17</f>
        <v>887</v>
      </c>
      <c r="C17" s="33">
        <f>'CurrentYearBalanceSheet '!D17</f>
        <v>3510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46</v>
      </c>
      <c r="B18" s="33">
        <f>PriorYearBalanceSheet!D18</f>
        <v>0</v>
      </c>
      <c r="C18" s="33">
        <f>'CurrentYearBalanceSheet '!D18</f>
        <v>0</v>
      </c>
      <c r="D18" s="18"/>
      <c r="E18" s="18" t="s">
        <v>86</v>
      </c>
      <c r="F18" s="33">
        <f>PriorYearBalanceSheet!I18</f>
        <v>3069</v>
      </c>
      <c r="G18" s="33">
        <f>'CurrentYearBalanceSheet '!I18</f>
        <v>3136</v>
      </c>
    </row>
    <row r="19" spans="1:7" x14ac:dyDescent="0.25">
      <c r="A19" s="18" t="s">
        <v>44</v>
      </c>
      <c r="B19" s="33">
        <f>PriorYearBalanceSheet!D19</f>
        <v>0</v>
      </c>
      <c r="C19" s="33">
        <f>'CurrentYearBalanceSheet '!D19</f>
        <v>0</v>
      </c>
      <c r="D19" s="18"/>
      <c r="E19" s="18" t="s">
        <v>87</v>
      </c>
      <c r="F19" s="34">
        <f>PriorYearBalanceSheet!I19</f>
        <v>0</v>
      </c>
      <c r="G19" s="33">
        <f>'CurrentYearBalanceSheet '!I19</f>
        <v>0</v>
      </c>
    </row>
    <row r="20" spans="1:7" x14ac:dyDescent="0.25">
      <c r="A20" s="18" t="s">
        <v>47</v>
      </c>
      <c r="B20" s="33">
        <f>PriorYearBalanceSheet!D20</f>
        <v>0</v>
      </c>
      <c r="C20" s="33">
        <f>'CurrentYearBalanceSheet '!D20</f>
        <v>0</v>
      </c>
      <c r="D20" s="18"/>
      <c r="E20" s="18" t="s">
        <v>88</v>
      </c>
      <c r="F20" s="37">
        <f>SUM(F10:F19)</f>
        <v>5281</v>
      </c>
      <c r="G20" s="36">
        <f>SUM(G10:G19)</f>
        <v>8762</v>
      </c>
    </row>
    <row r="21" spans="1:7" x14ac:dyDescent="0.25">
      <c r="A21" s="18" t="s">
        <v>48</v>
      </c>
      <c r="B21" s="33">
        <f>PriorYearBalanceSheet!D21</f>
        <v>0</v>
      </c>
      <c r="C21" s="33">
        <f>'CurrentYearBalanceSheet '!D21</f>
        <v>0</v>
      </c>
      <c r="D21" s="18"/>
      <c r="E21" s="22" t="s">
        <v>89</v>
      </c>
      <c r="F21" s="18"/>
      <c r="G21" s="15"/>
    </row>
    <row r="22" spans="1:7" x14ac:dyDescent="0.25">
      <c r="A22" s="18" t="s">
        <v>49</v>
      </c>
      <c r="B22" s="33">
        <f>PriorYearBalanceSheet!D22</f>
        <v>0</v>
      </c>
      <c r="C22" s="33">
        <f>'CurrentYearBalanceSheet '!D22</f>
        <v>0</v>
      </c>
      <c r="D22" s="18"/>
      <c r="E22" s="18" t="s">
        <v>90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50</v>
      </c>
      <c r="B23" s="33">
        <f>PriorYearBalanceSheet!D23</f>
        <v>0</v>
      </c>
      <c r="C23" s="33">
        <f>'CurrentYearBalanceSheet '!D23</f>
        <v>0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51</v>
      </c>
      <c r="B24" s="34">
        <f>PriorYearBalanceSheet!D24</f>
        <v>0</v>
      </c>
      <c r="C24" s="34">
        <f>'CurrentYearBalanceSheet '!D24</f>
        <v>0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40</v>
      </c>
      <c r="B25" s="33">
        <f>B10+B11+B13+B14+B15+B17+B18+B19+B20+B21+B22+B23+B24</f>
        <v>184129</v>
      </c>
      <c r="C25" s="33">
        <f>C10+C11+C13+C14+C15+C17+C18+C19+C20+C21+C22+C23+C24</f>
        <v>155476</v>
      </c>
      <c r="D25" s="18"/>
      <c r="E25" s="18" t="s">
        <v>93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33"/>
      <c r="C26" s="33"/>
      <c r="D26" s="18"/>
      <c r="E26" s="18" t="s">
        <v>94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54</v>
      </c>
      <c r="B30" s="33">
        <f>PriorYearBalanceSheet!D30</f>
        <v>0</v>
      </c>
      <c r="C30" s="33">
        <f>'CurrentYearBalanceSheet '!D30</f>
        <v>0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55</v>
      </c>
      <c r="B31" s="33">
        <f>PriorYearBalanceSheet!D31</f>
        <v>0</v>
      </c>
      <c r="C31" s="33">
        <f>'CurrentYearBalanceSheet '!D31</f>
        <v>0</v>
      </c>
      <c r="D31" s="18"/>
      <c r="E31" s="18" t="s">
        <v>98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59</v>
      </c>
      <c r="B32" s="23"/>
      <c r="C32" s="23"/>
      <c r="D32" s="19"/>
      <c r="E32" s="14" t="s">
        <v>99</v>
      </c>
      <c r="F32" s="37">
        <f>SUM(F22:F31)</f>
        <v>0</v>
      </c>
      <c r="G32" s="37">
        <f>SUM(G22:G31)</f>
        <v>0</v>
      </c>
    </row>
    <row r="33" spans="1:7" x14ac:dyDescent="0.25">
      <c r="A33" s="18" t="s">
        <v>56</v>
      </c>
      <c r="B33" s="33">
        <f>PriorYearBalanceSheet!D33</f>
        <v>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25">
      <c r="A34" s="18" t="s">
        <v>57</v>
      </c>
      <c r="B34" s="33">
        <f>PriorYearBalanceSheet!D34</f>
        <v>0</v>
      </c>
      <c r="C34" s="33">
        <f>'CurrentYearBalanceSheet '!D34</f>
        <v>0</v>
      </c>
      <c r="D34" s="18"/>
      <c r="E34" s="14" t="s">
        <v>101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60</v>
      </c>
      <c r="B35" s="33">
        <f>PriorYearBalanceSheet!D35</f>
        <v>0</v>
      </c>
      <c r="C35" s="33">
        <f>'CurrentYearBalanceSheet '!D35</f>
        <v>0</v>
      </c>
      <c r="D35" s="18"/>
      <c r="E35" t="s">
        <v>247</v>
      </c>
      <c r="F35" s="33">
        <f>PriorYearBalanceSheet!I35</f>
        <v>-5429</v>
      </c>
      <c r="G35" s="33">
        <f>'CurrentYearBalanceSheet '!I35</f>
        <v>0</v>
      </c>
    </row>
    <row r="36" spans="1:7" x14ac:dyDescent="0.25">
      <c r="A36" s="18" t="s">
        <v>61</v>
      </c>
      <c r="B36" s="33">
        <f>PriorYearBalanceSheet!D36</f>
        <v>0</v>
      </c>
      <c r="C36" s="33">
        <f>'CurrentYearBalanceSheet '!D36</f>
        <v>0</v>
      </c>
      <c r="D36" s="18"/>
      <c r="E36" s="14" t="s">
        <v>258</v>
      </c>
      <c r="F36" s="33">
        <f>PriorYearBalanceSheet!I36</f>
        <v>0</v>
      </c>
      <c r="G36" s="33">
        <f>'CurrentYearBalanceSheet '!I36</f>
        <v>1618</v>
      </c>
    </row>
    <row r="37" spans="1:7" x14ac:dyDescent="0.2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285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255</v>
      </c>
      <c r="F38" s="33">
        <f>SUM(F34:F37)</f>
        <v>-5429</v>
      </c>
      <c r="G38" s="33">
        <f>SUM(G34:G37)</f>
        <v>1618</v>
      </c>
    </row>
    <row r="39" spans="1:7" x14ac:dyDescent="0.25">
      <c r="A39" s="18" t="s">
        <v>64</v>
      </c>
      <c r="B39" s="33">
        <f>B30+B31+B33+B34+B35+B36+B37+B38</f>
        <v>0</v>
      </c>
      <c r="C39" s="33">
        <f>C30+C31+C33+C34+C35+C36+C37+C38</f>
        <v>0</v>
      </c>
      <c r="D39" s="18"/>
      <c r="E39" s="22" t="s">
        <v>102</v>
      </c>
      <c r="F39" s="18"/>
      <c r="G39" s="15"/>
    </row>
    <row r="40" spans="1:7" x14ac:dyDescent="0.25">
      <c r="A40" s="18"/>
      <c r="B40" s="18"/>
      <c r="C40" s="18"/>
      <c r="D40" s="18"/>
      <c r="E40" s="18" t="s">
        <v>248</v>
      </c>
      <c r="F40" s="33">
        <f>PriorYearBalanceSheet!I40</f>
        <v>4000</v>
      </c>
      <c r="G40" s="33">
        <f>'CurrentYearBalanceSheet '!I40</f>
        <v>4000</v>
      </c>
    </row>
    <row r="41" spans="1:7" x14ac:dyDescent="0.25">
      <c r="A41" s="22" t="s">
        <v>65</v>
      </c>
      <c r="B41" s="18"/>
      <c r="C41" s="18"/>
      <c r="D41" s="18"/>
      <c r="E41" s="18" t="s">
        <v>249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66</v>
      </c>
      <c r="B42" s="33">
        <f>PriorYearBalanceSheet!D42</f>
        <v>428516</v>
      </c>
      <c r="C42" s="33">
        <f>'CurrentYearBalanceSheet '!D42</f>
        <v>431387</v>
      </c>
      <c r="D42" s="18"/>
      <c r="E42" s="18" t="s">
        <v>250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251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68</v>
      </c>
      <c r="B44" s="33">
        <f>PriorYearBalanceSheet!D44</f>
        <v>0</v>
      </c>
      <c r="C44" s="33">
        <f>'CurrentYearBalanceSheet '!D44</f>
        <v>0</v>
      </c>
      <c r="D44" s="18"/>
      <c r="E44" s="18" t="s">
        <v>252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253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110</v>
      </c>
      <c r="B46" s="34">
        <f>PriorYearBalanceSheet!D46</f>
        <v>-337871</v>
      </c>
      <c r="C46" s="34">
        <f>'CurrentYearBalanceSheet '!D46</f>
        <v>-351066</v>
      </c>
      <c r="D46" s="18"/>
      <c r="E46" s="18" t="s">
        <v>259</v>
      </c>
      <c r="F46" s="34">
        <f>PriorYearBalanceSheet!I46</f>
        <v>270922</v>
      </c>
      <c r="G46" s="34">
        <f>'CurrentYearBalanceSheet '!I46</f>
        <v>221417</v>
      </c>
    </row>
    <row r="47" spans="1:7" x14ac:dyDescent="0.25">
      <c r="A47" s="18" t="s">
        <v>70</v>
      </c>
      <c r="B47" s="33">
        <f>SUM(B42:B46)</f>
        <v>90645</v>
      </c>
      <c r="C47" s="33">
        <f>SUM(C42:C46)</f>
        <v>80321</v>
      </c>
      <c r="D47" s="18"/>
      <c r="E47" s="18" t="s">
        <v>260</v>
      </c>
      <c r="F47" s="33">
        <f>SUM(F40:F46)</f>
        <v>274922</v>
      </c>
      <c r="G47" s="33">
        <f>SUM(G40:G46)</f>
        <v>225417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191</v>
      </c>
      <c r="B49" s="35">
        <f>B25+B39+B47</f>
        <v>274774</v>
      </c>
      <c r="C49" s="35">
        <f>C25+C39+C47</f>
        <v>235797</v>
      </c>
      <c r="D49" s="18"/>
      <c r="E49" s="22" t="s">
        <v>256</v>
      </c>
      <c r="F49" s="35">
        <f>F20+F32+F38+F47</f>
        <v>274774</v>
      </c>
      <c r="G49" s="35">
        <f>G20+G32+G38+G47</f>
        <v>235797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174</v>
      </c>
    </row>
    <row r="52" spans="1:7" x14ac:dyDescent="0.25">
      <c r="A52" t="s">
        <v>109</v>
      </c>
      <c r="B52" s="67"/>
      <c r="C52" s="67"/>
      <c r="D52" s="67"/>
      <c r="E52" s="67"/>
      <c r="F52" s="67"/>
      <c r="G52" s="67"/>
    </row>
    <row r="53" spans="1:7" x14ac:dyDescent="0.25">
      <c r="A53" t="s">
        <v>181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PkwBZFa1cAFz/BwOyQ10lmdUM9JddervkjARkQ50nm+tVi3HJ5cHijW3Rs1UUJNCDTZK3s3Lt6dZLVhKNdXcsQ==" saltValue="CunP51r+Nb5cKV1mIHbWq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E14" sqref="E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2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25">
      <c r="A8" s="12"/>
      <c r="B8" s="20"/>
      <c r="C8" s="12" t="s">
        <v>119</v>
      </c>
      <c r="D8" s="12">
        <v>2017</v>
      </c>
      <c r="E8" s="12">
        <v>2018</v>
      </c>
      <c r="F8" s="6" t="s">
        <v>71</v>
      </c>
    </row>
    <row r="9" spans="1:6" x14ac:dyDescent="0.25">
      <c r="A9" s="10"/>
      <c r="B9" s="21" t="s">
        <v>112</v>
      </c>
      <c r="C9" s="7"/>
      <c r="D9" s="7"/>
      <c r="E9" s="7"/>
      <c r="F9" s="15"/>
    </row>
    <row r="10" spans="1:6" x14ac:dyDescent="0.25">
      <c r="A10" s="11">
        <v>1</v>
      </c>
      <c r="B10" s="18" t="s">
        <v>287</v>
      </c>
      <c r="C10" s="11">
        <v>18</v>
      </c>
      <c r="D10" s="60">
        <f>'BalanceSheet(Summary)'!B42</f>
        <v>428516</v>
      </c>
      <c r="E10" s="60">
        <f>'BalanceSheet(Summary)'!C42</f>
        <v>431387</v>
      </c>
      <c r="F10" s="60">
        <f>(D10+E10)/2</f>
        <v>429951.5</v>
      </c>
    </row>
    <row r="11" spans="1:6" x14ac:dyDescent="0.2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114</v>
      </c>
      <c r="C12" s="11">
        <v>22</v>
      </c>
      <c r="D12" s="60">
        <f>'BalanceSheet(Summary)'!B46</f>
        <v>-337871</v>
      </c>
      <c r="E12" s="60">
        <f>'BalanceSheet(Summary)'!C46</f>
        <v>-351066</v>
      </c>
      <c r="F12" s="60">
        <f t="shared" ref="F12:F15" si="0">(D12+E12)/2</f>
        <v>-344468.5</v>
      </c>
    </row>
    <row r="13" spans="1:6" x14ac:dyDescent="0.25">
      <c r="A13" s="11">
        <v>4</v>
      </c>
      <c r="B13" s="18" t="s">
        <v>113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25">
      <c r="A14" s="11">
        <v>5</v>
      </c>
      <c r="B14" s="18" t="s">
        <v>273</v>
      </c>
      <c r="C14" s="12"/>
      <c r="D14" s="53">
        <v>-5429</v>
      </c>
      <c r="E14" s="53">
        <v>-3372</v>
      </c>
      <c r="F14" s="60">
        <f t="shared" si="0"/>
        <v>-4400.5</v>
      </c>
    </row>
    <row r="15" spans="1:6" ht="15.75" thickBot="1" x14ac:dyDescent="0.3">
      <c r="A15" s="12">
        <v>6</v>
      </c>
      <c r="B15" s="75" t="s">
        <v>155</v>
      </c>
      <c r="C15" s="77"/>
      <c r="D15" s="78">
        <f>SUM(D10:D14)</f>
        <v>85216</v>
      </c>
      <c r="E15" s="64">
        <f>SUM(E10:E14)</f>
        <v>76949</v>
      </c>
      <c r="F15" s="65">
        <f t="shared" si="0"/>
        <v>81082.5</v>
      </c>
    </row>
    <row r="16" spans="1:6" ht="15.75" thickTop="1" x14ac:dyDescent="0.25">
      <c r="A16" s="13"/>
      <c r="B16" t="s">
        <v>169</v>
      </c>
      <c r="C16" s="68"/>
      <c r="D16" s="68"/>
      <c r="E16" s="68"/>
      <c r="F16" s="68"/>
    </row>
    <row r="17" spans="1:6" x14ac:dyDescent="0.25">
      <c r="B17" t="s">
        <v>271</v>
      </c>
      <c r="C17" s="67"/>
      <c r="D17" s="67"/>
      <c r="E17" s="67"/>
      <c r="F17" s="67"/>
    </row>
    <row r="18" spans="1:6" x14ac:dyDescent="0.25">
      <c r="B18" t="s">
        <v>115</v>
      </c>
      <c r="C18" s="67"/>
      <c r="D18" s="67"/>
      <c r="E18" s="67"/>
      <c r="F18" s="67"/>
    </row>
    <row r="19" spans="1:6" x14ac:dyDescent="0.25">
      <c r="A19" s="48" t="s">
        <v>272</v>
      </c>
      <c r="B19" t="s">
        <v>274</v>
      </c>
      <c r="C19" s="67"/>
      <c r="D19" s="67"/>
      <c r="E19" s="67"/>
      <c r="F19" s="67"/>
    </row>
    <row r="20" spans="1:6" x14ac:dyDescent="0.25">
      <c r="B20" t="s">
        <v>286</v>
      </c>
      <c r="C20" s="67"/>
      <c r="D20" s="67"/>
      <c r="E20" s="67"/>
      <c r="F20" s="67"/>
    </row>
    <row r="21" spans="1:6" x14ac:dyDescent="0.25">
      <c r="A21" s="67"/>
      <c r="B21" t="s">
        <v>275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</sheetData>
  <sheetProtection algorithmName="SHA-512" hashValue="cPU/ZdKW4rAMB+76QxDSNM08oT4gLfa8XYUp4LHyfawp5uBo3UPuJr2ZA2OGUb1l0IXLf8iQhkMpgByKg5YF5w==" saltValue="8sEvz3Xzp5PvGYl/nFJrQ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D12" sqref="D12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72</v>
      </c>
      <c r="D7" s="10" t="s">
        <v>111</v>
      </c>
      <c r="E7" s="7"/>
      <c r="F7" s="4"/>
    </row>
    <row r="8" spans="1:6" x14ac:dyDescent="0.2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25">
      <c r="A9" s="20"/>
      <c r="B9" s="20"/>
      <c r="C9" s="12" t="s">
        <v>276</v>
      </c>
      <c r="D9" s="12" t="s">
        <v>304</v>
      </c>
      <c r="E9" s="12"/>
      <c r="F9" s="6" t="s">
        <v>127</v>
      </c>
    </row>
    <row r="10" spans="1:6" x14ac:dyDescent="0.25">
      <c r="A10" s="7"/>
      <c r="B10" s="21" t="s">
        <v>120</v>
      </c>
      <c r="C10" s="7"/>
      <c r="D10" s="33"/>
      <c r="E10" s="7"/>
      <c r="F10" s="15"/>
    </row>
    <row r="11" spans="1:6" x14ac:dyDescent="0.25">
      <c r="A11" s="11">
        <v>1</v>
      </c>
      <c r="B11" s="18" t="s">
        <v>121</v>
      </c>
      <c r="C11" s="53">
        <v>31</v>
      </c>
      <c r="D11" s="53">
        <v>25</v>
      </c>
      <c r="E11" s="33">
        <f>D11-C11</f>
        <v>-6</v>
      </c>
      <c r="F11" s="39">
        <f>E11/C11</f>
        <v>-0.19354838709677419</v>
      </c>
    </row>
    <row r="12" spans="1:6" x14ac:dyDescent="0.25">
      <c r="A12" s="11">
        <v>2</v>
      </c>
      <c r="B12" s="18" t="s">
        <v>122</v>
      </c>
      <c r="C12" s="53">
        <v>11</v>
      </c>
      <c r="D12" s="53">
        <v>11</v>
      </c>
      <c r="E12" s="33">
        <f>D12-C12</f>
        <v>0</v>
      </c>
      <c r="F12" s="39">
        <f t="shared" ref="F12:F13" si="0">E12/C12</f>
        <v>0</v>
      </c>
    </row>
    <row r="13" spans="1:6" ht="15.75" thickBot="1" x14ac:dyDescent="0.3">
      <c r="A13" s="12">
        <v>3</v>
      </c>
      <c r="B13" s="20" t="s">
        <v>123</v>
      </c>
      <c r="C13" s="35">
        <f>SUM(C11:C12)</f>
        <v>42</v>
      </c>
      <c r="D13" s="35">
        <f t="shared" ref="D13:E13" si="1">SUM(D11:D12)</f>
        <v>36</v>
      </c>
      <c r="E13" s="35">
        <f t="shared" si="1"/>
        <v>-6</v>
      </c>
      <c r="F13" s="40">
        <f t="shared" si="0"/>
        <v>-0.14285714285714285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178</v>
      </c>
      <c r="B15" s="67" t="s">
        <v>305</v>
      </c>
      <c r="C15" s="67"/>
      <c r="D15" s="67"/>
      <c r="E15" s="67"/>
      <c r="F15" s="67"/>
    </row>
    <row r="16" spans="1:6" x14ac:dyDescent="0.25">
      <c r="A16" s="67"/>
      <c r="B16" s="67" t="s">
        <v>237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bJgRapJceWfc/p+LJaeca5oV0z00k4oh4b7YD6AiH4FMfaVh7tFzOP8dJIGAeLPdvVUmTe4vXvgy3YGctxMXNQ==" saltValue="1eK8lvvGk8xf4QjRJ+njd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opLeftCell="A7" zoomScale="70" zoomScaleNormal="70" workbookViewId="0">
      <selection activeCell="C38" sqref="C3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2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269</v>
      </c>
    </row>
    <row r="9" spans="1:6" x14ac:dyDescent="0.25">
      <c r="A9" s="10">
        <v>1</v>
      </c>
      <c r="B9" s="4" t="s">
        <v>1</v>
      </c>
      <c r="C9" s="56">
        <v>15876</v>
      </c>
      <c r="D9" s="53"/>
      <c r="E9" s="60">
        <f>SUM(C9:D9)</f>
        <v>15876</v>
      </c>
    </row>
    <row r="10" spans="1:6" x14ac:dyDescent="0.25">
      <c r="A10" s="11">
        <v>2</v>
      </c>
      <c r="B10" s="15" t="s">
        <v>2</v>
      </c>
      <c r="C10" s="53">
        <v>37449</v>
      </c>
      <c r="D10" s="53"/>
      <c r="E10" s="60">
        <f t="shared" ref="E10:E14" si="0">SUM(C10:D10)</f>
        <v>37449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916</v>
      </c>
      <c r="D12" s="53"/>
      <c r="E12" s="60">
        <f t="shared" si="0"/>
        <v>916</v>
      </c>
    </row>
    <row r="13" spans="1:6" x14ac:dyDescent="0.25">
      <c r="A13" s="11">
        <v>5</v>
      </c>
      <c r="B13" s="15" t="s">
        <v>5</v>
      </c>
      <c r="C13" s="53">
        <v>1259</v>
      </c>
      <c r="D13" s="53"/>
      <c r="E13" s="60">
        <f t="shared" si="0"/>
        <v>1259</v>
      </c>
    </row>
    <row r="14" spans="1:6" x14ac:dyDescent="0.25">
      <c r="A14" s="11">
        <v>6</v>
      </c>
      <c r="B14" s="15" t="s">
        <v>133</v>
      </c>
      <c r="C14" s="53">
        <v>0</v>
      </c>
      <c r="D14" s="53"/>
      <c r="E14" s="60">
        <f t="shared" si="0"/>
        <v>0</v>
      </c>
    </row>
    <row r="15" spans="1:6" x14ac:dyDescent="0.25">
      <c r="A15" s="11">
        <v>7</v>
      </c>
      <c r="B15" s="79" t="s">
        <v>132</v>
      </c>
      <c r="C15" s="82">
        <f>SUM(C9:C14)</f>
        <v>55500</v>
      </c>
      <c r="D15" s="82">
        <f t="shared" ref="D15:E15" si="1">SUM(D9:D14)</f>
        <v>0</v>
      </c>
      <c r="E15" s="82">
        <f t="shared" si="1"/>
        <v>55500</v>
      </c>
      <c r="F15" s="1"/>
    </row>
    <row r="16" spans="1:6" x14ac:dyDescent="0.25">
      <c r="A16" s="11">
        <v>8</v>
      </c>
      <c r="B16" s="15" t="s">
        <v>6</v>
      </c>
      <c r="C16" s="53">
        <v>16768</v>
      </c>
      <c r="D16" s="53"/>
      <c r="E16" s="42">
        <f>SUM(C16:D16)</f>
        <v>16768</v>
      </c>
    </row>
    <row r="17" spans="1:6" x14ac:dyDescent="0.25">
      <c r="A17" s="11">
        <v>9</v>
      </c>
      <c r="B17" s="15" t="s">
        <v>39</v>
      </c>
      <c r="C17" s="53">
        <v>0</v>
      </c>
      <c r="D17" s="53"/>
      <c r="E17" s="42">
        <f t="shared" ref="E17:E21" si="2">SUM(C17:D17)</f>
        <v>0</v>
      </c>
    </row>
    <row r="18" spans="1:6" x14ac:dyDescent="0.25">
      <c r="A18" s="11">
        <v>10</v>
      </c>
      <c r="B18" s="15" t="s">
        <v>7</v>
      </c>
      <c r="C18" s="53">
        <v>13196</v>
      </c>
      <c r="D18" s="53"/>
      <c r="E18" s="42">
        <f t="shared" si="2"/>
        <v>13196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7005</v>
      </c>
      <c r="D20" s="53">
        <v>2138</v>
      </c>
      <c r="E20" s="42">
        <f t="shared" si="2"/>
        <v>9143</v>
      </c>
    </row>
    <row r="21" spans="1:6" x14ac:dyDescent="0.25">
      <c r="A21" s="11">
        <v>13</v>
      </c>
      <c r="B21" s="15" t="s">
        <v>10</v>
      </c>
      <c r="C21" s="53">
        <v>79487</v>
      </c>
      <c r="D21" s="53">
        <v>-2298</v>
      </c>
      <c r="E21" s="42">
        <f t="shared" si="2"/>
        <v>77189</v>
      </c>
    </row>
    <row r="22" spans="1:6" x14ac:dyDescent="0.25">
      <c r="A22" s="11">
        <v>14</v>
      </c>
      <c r="B22" s="76" t="s">
        <v>261</v>
      </c>
      <c r="C22" s="82">
        <f>C16+C17+C18+C19+C20+C21</f>
        <v>116456</v>
      </c>
      <c r="D22" s="82">
        <f>D16+D17+D18+D19+D20+D21</f>
        <v>-160</v>
      </c>
      <c r="E22" s="83">
        <f>E16+E17+E18+E19+E20+E21</f>
        <v>116296</v>
      </c>
      <c r="F22" s="1"/>
    </row>
    <row r="23" spans="1:6" x14ac:dyDescent="0.25">
      <c r="A23" s="11">
        <v>15</v>
      </c>
      <c r="B23" s="15" t="s">
        <v>14</v>
      </c>
      <c r="C23" s="60">
        <f>C15-C22</f>
        <v>-60956</v>
      </c>
      <c r="D23" s="60">
        <f>D15-D22</f>
        <v>160</v>
      </c>
      <c r="E23" s="60">
        <f>E15-E22</f>
        <v>-60796</v>
      </c>
    </row>
    <row r="24" spans="1:6" x14ac:dyDescent="0.25">
      <c r="A24" s="11">
        <v>16</v>
      </c>
      <c r="B24" s="15" t="s">
        <v>134</v>
      </c>
      <c r="C24" s="53"/>
      <c r="D24" s="57"/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/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187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3277</v>
      </c>
      <c r="D27" s="53"/>
      <c r="E27" s="60">
        <f t="shared" si="3"/>
        <v>3277</v>
      </c>
    </row>
    <row r="28" spans="1:6" x14ac:dyDescent="0.25">
      <c r="A28" s="11">
        <v>20</v>
      </c>
      <c r="B28" s="79" t="s">
        <v>12</v>
      </c>
      <c r="C28" s="74">
        <f>SUM(C25:C27)</f>
        <v>3277</v>
      </c>
      <c r="D28" s="74">
        <f t="shared" ref="D28:E28" si="4">SUM(D25:D27)</f>
        <v>0</v>
      </c>
      <c r="E28" s="84">
        <f t="shared" si="4"/>
        <v>3277</v>
      </c>
    </row>
    <row r="29" spans="1:6" x14ac:dyDescent="0.25">
      <c r="A29" s="11">
        <v>21</v>
      </c>
      <c r="B29" s="79" t="s">
        <v>22</v>
      </c>
      <c r="C29" s="74">
        <f>C23+C24-C28</f>
        <v>-64233</v>
      </c>
      <c r="D29" s="74">
        <f>D23+D24-D28</f>
        <v>160</v>
      </c>
      <c r="E29" s="84">
        <f>E23+E24-E28</f>
        <v>-64073</v>
      </c>
    </row>
    <row r="30" spans="1:6" x14ac:dyDescent="0.25">
      <c r="A30" s="11">
        <v>22</v>
      </c>
      <c r="B30" s="15" t="s">
        <v>15</v>
      </c>
      <c r="C30" s="53"/>
      <c r="D30" s="55"/>
      <c r="E30" s="60">
        <f>SUM(C30:D30)</f>
        <v>0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/>
      <c r="D32" s="55"/>
      <c r="E32" s="60">
        <f t="shared" si="5"/>
        <v>0</v>
      </c>
    </row>
    <row r="33" spans="1:10" x14ac:dyDescent="0.25">
      <c r="A33" s="11">
        <v>25</v>
      </c>
      <c r="B33" s="15" t="s">
        <v>290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289</v>
      </c>
      <c r="C34" s="74">
        <f>SUM(C30:C33)</f>
        <v>0</v>
      </c>
      <c r="D34" s="85">
        <f t="shared" ref="D34" si="6">SUM(D30:D33)</f>
        <v>0</v>
      </c>
      <c r="E34" s="74">
        <f>SUM(E30:E33)</f>
        <v>0</v>
      </c>
    </row>
    <row r="35" spans="1:10" x14ac:dyDescent="0.25">
      <c r="A35" s="11">
        <v>27</v>
      </c>
      <c r="B35" s="15" t="s">
        <v>18</v>
      </c>
      <c r="C35" s="53">
        <v>7</v>
      </c>
      <c r="D35" s="55"/>
      <c r="E35" s="33">
        <f>SUM(C35:D35)</f>
        <v>7</v>
      </c>
    </row>
    <row r="36" spans="1:10" x14ac:dyDescent="0.25">
      <c r="A36" s="11">
        <v>28</v>
      </c>
      <c r="B36" s="15" t="s">
        <v>19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175</v>
      </c>
      <c r="C38" s="53">
        <v>11834</v>
      </c>
      <c r="D38" s="71">
        <f>-1*(D29-D34)</f>
        <v>-160</v>
      </c>
      <c r="E38" s="33">
        <f t="shared" si="7"/>
        <v>11674</v>
      </c>
    </row>
    <row r="39" spans="1:10" x14ac:dyDescent="0.25">
      <c r="A39" s="11">
        <v>31</v>
      </c>
      <c r="B39" s="79" t="s">
        <v>21</v>
      </c>
      <c r="C39" s="74">
        <f>C29-C34+C35+C36+C37+C38</f>
        <v>-52392</v>
      </c>
      <c r="D39" s="74">
        <f t="shared" ref="D39:E39" si="8">D29-D34+D35+D36+D37+D38</f>
        <v>0</v>
      </c>
      <c r="E39" s="74">
        <f t="shared" si="8"/>
        <v>-52392</v>
      </c>
    </row>
    <row r="40" spans="1:10" x14ac:dyDescent="0.25">
      <c r="A40" s="11">
        <v>32</v>
      </c>
      <c r="B40" s="15" t="s">
        <v>23</v>
      </c>
      <c r="C40" s="86"/>
      <c r="D40" s="86"/>
      <c r="E40" s="86"/>
    </row>
    <row r="41" spans="1:10" x14ac:dyDescent="0.25">
      <c r="A41" s="11">
        <v>33</v>
      </c>
      <c r="B41" s="15" t="s">
        <v>24</v>
      </c>
      <c r="C41" s="53">
        <v>316340</v>
      </c>
      <c r="D41" s="55"/>
      <c r="E41" s="60">
        <f t="shared" ref="E41:E46" si="9">SUM(C41:D41)</f>
        <v>316340</v>
      </c>
    </row>
    <row r="42" spans="1:10" x14ac:dyDescent="0.25">
      <c r="A42" s="11">
        <v>34</v>
      </c>
      <c r="B42" s="15" t="s">
        <v>25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26</v>
      </c>
      <c r="C43" s="53"/>
      <c r="D43" s="55"/>
      <c r="E43" s="60">
        <f t="shared" si="9"/>
        <v>0</v>
      </c>
    </row>
    <row r="44" spans="1:10" x14ac:dyDescent="0.2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223</v>
      </c>
      <c r="C47" s="74">
        <f>(C39+C41+C42)-(C43+C44+C45+C46)</f>
        <v>263948</v>
      </c>
      <c r="D47" s="85">
        <f t="shared" ref="D47:E47" si="10">(D39+D41+D42)-(D43+D44+D45+D46)</f>
        <v>0</v>
      </c>
      <c r="E47" s="84">
        <f t="shared" si="10"/>
        <v>263948</v>
      </c>
    </row>
    <row r="48" spans="1:10" x14ac:dyDescent="0.2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34</v>
      </c>
      <c r="C52" s="56"/>
      <c r="D52" s="87"/>
      <c r="E52" s="33">
        <f>C52</f>
        <v>0</v>
      </c>
    </row>
    <row r="53" spans="1:7" x14ac:dyDescent="0.25">
      <c r="A53" s="11">
        <v>45</v>
      </c>
      <c r="B53" s="15" t="s">
        <v>35</v>
      </c>
      <c r="C53" s="88">
        <f>((C22+C28-C18-C19)/C15)</f>
        <v>1.9195855855855857</v>
      </c>
      <c r="D53" s="88" t="e">
        <f>((D22+D28-D18-D19)/D15)</f>
        <v>#DIV/0!</v>
      </c>
      <c r="E53" s="88">
        <f>((E22+E28-E18-E19)/E15)</f>
        <v>1.9167027027027026</v>
      </c>
    </row>
    <row r="54" spans="1:7" x14ac:dyDescent="0.25">
      <c r="A54" s="11">
        <v>46</v>
      </c>
      <c r="B54" s="15" t="s">
        <v>36</v>
      </c>
      <c r="C54" s="88">
        <f>((C22+C28+C34)/C15)</f>
        <v>2.1573513513513514</v>
      </c>
      <c r="D54" s="88" t="e">
        <f>((D22+D28+D34)/D15)</f>
        <v>#DIV/0!</v>
      </c>
      <c r="E54" s="88">
        <f>((E22+E28+E34)/E15)</f>
        <v>2.1544684684684685</v>
      </c>
    </row>
    <row r="55" spans="1:7" x14ac:dyDescent="0.25">
      <c r="A55" s="11">
        <v>47</v>
      </c>
      <c r="B55" s="15" t="s">
        <v>37</v>
      </c>
      <c r="C55" s="88" t="e">
        <f>((C39+C34)/C34)</f>
        <v>#DIV/0!</v>
      </c>
      <c r="D55" s="88" t="e">
        <f t="shared" ref="D55:E55" si="13">((D39+D34)/D34)</f>
        <v>#DIV/0!</v>
      </c>
      <c r="E55" s="88" t="e">
        <f t="shared" si="13"/>
        <v>#DIV/0!</v>
      </c>
    </row>
    <row r="56" spans="1:7" x14ac:dyDescent="0.25">
      <c r="A56" s="11">
        <v>48</v>
      </c>
      <c r="B56" s="15" t="s">
        <v>38</v>
      </c>
      <c r="C56" s="88" t="e">
        <f>(C39+C34+C18+C19)/C52</f>
        <v>#DIV/0!</v>
      </c>
      <c r="D56" s="88" t="e">
        <f>(D39+D34+D18+D19)/D52</f>
        <v>#DIV/0!</v>
      </c>
      <c r="E56" s="88" t="e">
        <f>(E39+E34+E18+E19)/E52</f>
        <v>#DIV/0!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288</v>
      </c>
      <c r="C60" s="67"/>
      <c r="D60" s="67"/>
      <c r="E60" s="67"/>
      <c r="F60" s="67"/>
      <c r="G60" s="67"/>
    </row>
    <row r="61" spans="1:7" x14ac:dyDescent="0.25">
      <c r="A61" s="48"/>
      <c r="B61" t="s">
        <v>222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262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241</v>
      </c>
      <c r="C64" s="67"/>
      <c r="D64" s="67"/>
      <c r="E64" s="67"/>
      <c r="F64" s="67"/>
      <c r="G64" s="67"/>
    </row>
    <row r="65" spans="1:7" x14ac:dyDescent="0.25">
      <c r="A65" s="67"/>
      <c r="B65" s="67" t="s">
        <v>242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rJXdPxRwLiFm+tMuKM/TukKAf6xgMdwFBVMFV5wZQ+F6TudtrK9j0AOsvtCP7+hfa2k40MSKigKcilNM6kp7aQ==" saltValue="hrY2WqQlKdLM+xTnfUCQo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opLeftCell="A22" zoomScaleNormal="100" workbookViewId="0">
      <selection activeCell="C41" sqref="C4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25">
      <c r="A7" s="18" t="s">
        <v>0</v>
      </c>
      <c r="B7" s="11" t="s">
        <v>147</v>
      </c>
      <c r="C7" s="11">
        <v>2018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302</v>
      </c>
    </row>
    <row r="9" spans="1:6" x14ac:dyDescent="0.25">
      <c r="A9" s="10">
        <v>1</v>
      </c>
      <c r="B9" s="7" t="s">
        <v>1</v>
      </c>
      <c r="C9" s="56">
        <f>11035.52+3057.29</f>
        <v>14092.810000000001</v>
      </c>
      <c r="D9" s="53"/>
      <c r="E9" s="33">
        <f>SUM(C9:D9)</f>
        <v>14092.810000000001</v>
      </c>
    </row>
    <row r="10" spans="1:6" x14ac:dyDescent="0.25">
      <c r="A10" s="11">
        <v>2</v>
      </c>
      <c r="B10" s="18" t="s">
        <v>2</v>
      </c>
      <c r="C10" s="53">
        <v>68286.06</v>
      </c>
      <c r="D10" s="53"/>
      <c r="E10" s="33">
        <f t="shared" ref="E10:E14" si="0">SUM(C10:D10)</f>
        <v>68286.06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f>674.57+71.98</f>
        <v>746.55000000000007</v>
      </c>
      <c r="D12" s="53"/>
      <c r="E12" s="33">
        <f t="shared" si="0"/>
        <v>746.55000000000007</v>
      </c>
    </row>
    <row r="13" spans="1:6" x14ac:dyDescent="0.25">
      <c r="A13" s="11">
        <v>5</v>
      </c>
      <c r="B13" s="18" t="s">
        <v>5</v>
      </c>
      <c r="C13" s="53">
        <v>1277.67</v>
      </c>
      <c r="D13" s="53"/>
      <c r="E13" s="33">
        <f t="shared" si="0"/>
        <v>1277.67</v>
      </c>
    </row>
    <row r="14" spans="1:6" x14ac:dyDescent="0.25">
      <c r="A14" s="11">
        <v>6</v>
      </c>
      <c r="B14" s="18" t="s">
        <v>133</v>
      </c>
      <c r="C14" s="53">
        <v>-321.95</v>
      </c>
      <c r="D14" s="53"/>
      <c r="E14" s="33">
        <f t="shared" si="0"/>
        <v>-321.95</v>
      </c>
    </row>
    <row r="15" spans="1:6" x14ac:dyDescent="0.25">
      <c r="A15" s="11">
        <v>7</v>
      </c>
      <c r="B15" s="76" t="s">
        <v>132</v>
      </c>
      <c r="C15" s="41">
        <f>SUM(C9:C14)</f>
        <v>84081.14</v>
      </c>
      <c r="D15" s="41">
        <f t="shared" ref="D15:E15" si="1">SUM(D9:D14)</f>
        <v>0</v>
      </c>
      <c r="E15" s="41">
        <f t="shared" si="1"/>
        <v>84081.14</v>
      </c>
      <c r="F15" s="1"/>
    </row>
    <row r="16" spans="1:6" x14ac:dyDescent="0.25">
      <c r="A16" s="11">
        <v>8</v>
      </c>
      <c r="B16" s="18" t="s">
        <v>6</v>
      </c>
      <c r="C16" s="53">
        <v>12804.3</v>
      </c>
      <c r="D16" s="53"/>
      <c r="E16" s="42">
        <f>SUM(C16:D16)</f>
        <v>12804.3</v>
      </c>
    </row>
    <row r="17" spans="1:6" x14ac:dyDescent="0.25">
      <c r="A17" s="11">
        <v>9</v>
      </c>
      <c r="B17" s="18" t="s">
        <v>39</v>
      </c>
      <c r="C17" s="53">
        <v>0</v>
      </c>
      <c r="D17" s="53"/>
      <c r="E17" s="42">
        <f t="shared" ref="E17:E21" si="2">SUM(C17:D17)</f>
        <v>0</v>
      </c>
    </row>
    <row r="18" spans="1:6" x14ac:dyDescent="0.25">
      <c r="A18" s="11">
        <v>10</v>
      </c>
      <c r="B18" s="18" t="s">
        <v>7</v>
      </c>
      <c r="C18" s="53">
        <v>13195.56</v>
      </c>
      <c r="D18" s="53"/>
      <c r="E18" s="42">
        <f t="shared" si="2"/>
        <v>13195.56</v>
      </c>
    </row>
    <row r="19" spans="1:6" x14ac:dyDescent="0.25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7119.43</v>
      </c>
      <c r="D20" s="53">
        <v>2350.9899999999998</v>
      </c>
      <c r="E20" s="42">
        <f t="shared" si="2"/>
        <v>9470.42</v>
      </c>
    </row>
    <row r="21" spans="1:6" x14ac:dyDescent="0.25">
      <c r="A21" s="11">
        <v>13</v>
      </c>
      <c r="B21" s="18" t="s">
        <v>10</v>
      </c>
      <c r="C21" s="53">
        <v>98272.54</v>
      </c>
      <c r="D21" s="53">
        <f>-2490.99-510</f>
        <v>-3000.99</v>
      </c>
      <c r="E21" s="42">
        <f t="shared" si="2"/>
        <v>95271.549999999988</v>
      </c>
    </row>
    <row r="22" spans="1:6" x14ac:dyDescent="0.25">
      <c r="A22" s="11">
        <v>14</v>
      </c>
      <c r="B22" s="76" t="s">
        <v>261</v>
      </c>
      <c r="C22" s="41">
        <f>C16+C17+C18+C19+C20+C21</f>
        <v>131391.82999999999</v>
      </c>
      <c r="D22" s="41">
        <f>D16+D17+D18+D19+D20+D21</f>
        <v>-650</v>
      </c>
      <c r="E22" s="43">
        <f>E16+E17+E18+E19+E20+E21</f>
        <v>130741.82999999999</v>
      </c>
      <c r="F22" s="1"/>
    </row>
    <row r="23" spans="1:6" x14ac:dyDescent="0.25">
      <c r="A23" s="11">
        <v>15</v>
      </c>
      <c r="B23" s="18" t="s">
        <v>14</v>
      </c>
      <c r="C23" s="33">
        <f>C15-C22</f>
        <v>-47310.689999999988</v>
      </c>
      <c r="D23" s="33">
        <f>D15-D22</f>
        <v>650</v>
      </c>
      <c r="E23" s="33">
        <f>E15-E22</f>
        <v>-46660.689999999988</v>
      </c>
    </row>
    <row r="24" spans="1:6" x14ac:dyDescent="0.25">
      <c r="A24" s="11">
        <v>16</v>
      </c>
      <c r="B24" s="18" t="s">
        <v>134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0"/>
      <c r="E25" s="33">
        <f t="shared" ref="E25:E27" si="3">SUM(C25:D25)</f>
        <v>0</v>
      </c>
    </row>
    <row r="26" spans="1:6" x14ac:dyDescent="0.25">
      <c r="A26" s="11">
        <v>18</v>
      </c>
      <c r="B26" s="18" t="s">
        <v>187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2558.46</v>
      </c>
      <c r="D27" s="120"/>
      <c r="E27" s="33">
        <f t="shared" si="3"/>
        <v>2558.46</v>
      </c>
    </row>
    <row r="28" spans="1:6" x14ac:dyDescent="0.25">
      <c r="A28" s="11">
        <v>20</v>
      </c>
      <c r="B28" s="76" t="s">
        <v>12</v>
      </c>
      <c r="C28" s="38">
        <f>SUM(C25:C27)</f>
        <v>2558.46</v>
      </c>
      <c r="D28" s="38">
        <f t="shared" ref="D28:E28" si="4">SUM(D25:D27)</f>
        <v>0</v>
      </c>
      <c r="E28" s="44">
        <f t="shared" si="4"/>
        <v>2558.46</v>
      </c>
    </row>
    <row r="29" spans="1:6" x14ac:dyDescent="0.25">
      <c r="A29" s="11">
        <v>21</v>
      </c>
      <c r="B29" s="76" t="s">
        <v>22</v>
      </c>
      <c r="C29" s="38">
        <f>C23+C24-C28</f>
        <v>-49869.149999999987</v>
      </c>
      <c r="D29" s="38">
        <f>D23+D24-D28</f>
        <v>650</v>
      </c>
      <c r="E29" s="44">
        <f>E23+E24-E28</f>
        <v>-49219.149999999987</v>
      </c>
    </row>
    <row r="30" spans="1:6" x14ac:dyDescent="0.25">
      <c r="A30" s="11">
        <v>22</v>
      </c>
      <c r="B30" s="18" t="s">
        <v>15</v>
      </c>
      <c r="C30" s="53"/>
      <c r="D30" s="55"/>
      <c r="E30" s="33">
        <f>SUM(C30:D30)</f>
        <v>0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290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289</v>
      </c>
      <c r="C34" s="38">
        <f>SUM(C30:C33)</f>
        <v>0</v>
      </c>
      <c r="D34" s="66">
        <f t="shared" ref="D34" si="6">SUM(D30:D33)</f>
        <v>0</v>
      </c>
      <c r="E34" s="38">
        <f>SUM(E30:E33)</f>
        <v>0</v>
      </c>
    </row>
    <row r="35" spans="1:5" x14ac:dyDescent="0.25">
      <c r="A35" s="11">
        <v>27</v>
      </c>
      <c r="B35" s="18" t="s">
        <v>18</v>
      </c>
      <c r="C35" s="53">
        <v>32</v>
      </c>
      <c r="D35" s="55"/>
      <c r="E35" s="33">
        <f>SUM(C35:D35)</f>
        <v>32</v>
      </c>
    </row>
    <row r="36" spans="1:5" x14ac:dyDescent="0.25">
      <c r="A36" s="11">
        <v>28</v>
      </c>
      <c r="B36" s="18" t="s">
        <v>19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175</v>
      </c>
      <c r="C38" s="53">
        <v>7306</v>
      </c>
      <c r="D38" s="71">
        <f>-1*(D29-D34)</f>
        <v>-650</v>
      </c>
      <c r="E38" s="33">
        <f t="shared" si="7"/>
        <v>6656</v>
      </c>
    </row>
    <row r="39" spans="1:5" x14ac:dyDescent="0.25">
      <c r="A39" s="11">
        <v>31</v>
      </c>
      <c r="B39" s="76" t="s">
        <v>21</v>
      </c>
      <c r="C39" s="38">
        <f>C29-C34+C35+C36+C37+C38</f>
        <v>-42531.149999999987</v>
      </c>
      <c r="D39" s="38">
        <f t="shared" ref="D39:E39" si="8">D29-D34+D35+D36+D37+D38</f>
        <v>0</v>
      </c>
      <c r="E39" s="38">
        <f t="shared" si="8"/>
        <v>-42531.149999999987</v>
      </c>
    </row>
    <row r="40" spans="1:5" x14ac:dyDescent="0.25">
      <c r="A40" s="11">
        <v>32</v>
      </c>
      <c r="B40" s="18" t="s">
        <v>23</v>
      </c>
      <c r="C40" s="69"/>
      <c r="D40" s="69"/>
      <c r="E40" s="45"/>
    </row>
    <row r="41" spans="1:5" x14ac:dyDescent="0.25">
      <c r="A41" s="11">
        <v>33</v>
      </c>
      <c r="B41" s="18" t="s">
        <v>24</v>
      </c>
      <c r="C41" s="53">
        <f>+PriorYearBalanceSheet!G46</f>
        <v>263948</v>
      </c>
      <c r="D41" s="55"/>
      <c r="E41" s="33">
        <f t="shared" ref="E41:E46" si="9">SUM(C41:D41)</f>
        <v>263948</v>
      </c>
    </row>
    <row r="42" spans="1:5" x14ac:dyDescent="0.2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26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223</v>
      </c>
      <c r="C47" s="38">
        <f>(C39+C41+C42)-(C43+C44+C45+C46)</f>
        <v>221416.85</v>
      </c>
      <c r="D47" s="66">
        <f t="shared" ref="D47:E47" si="10">(D39+D41+D42)-(D43+D44+D45+D46)</f>
        <v>0</v>
      </c>
      <c r="E47" s="44">
        <f t="shared" si="10"/>
        <v>221416.85</v>
      </c>
    </row>
    <row r="48" spans="1:5" x14ac:dyDescent="0.2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34</v>
      </c>
      <c r="C52" s="56"/>
      <c r="D52" s="81"/>
      <c r="E52" s="33">
        <f>C52</f>
        <v>0</v>
      </c>
    </row>
    <row r="53" spans="1:7" x14ac:dyDescent="0.25">
      <c r="A53" s="11">
        <v>45</v>
      </c>
      <c r="B53" s="18" t="s">
        <v>35</v>
      </c>
      <c r="C53" s="47">
        <f>((C22+C28-C18-C19)/C15)</f>
        <v>1.4361690386215027</v>
      </c>
      <c r="D53" s="47" t="e">
        <f>((D22+D28-D18-D19)/D15)</f>
        <v>#DIV/0!</v>
      </c>
      <c r="E53" s="47">
        <f>((E22+E28-E18-E19)/E15)</f>
        <v>1.4284384108017563</v>
      </c>
    </row>
    <row r="54" spans="1:7" x14ac:dyDescent="0.25">
      <c r="A54" s="11">
        <v>46</v>
      </c>
      <c r="B54" s="18" t="s">
        <v>36</v>
      </c>
      <c r="C54" s="47">
        <f>((C22+C28+C34)/C15)</f>
        <v>1.5931074435955552</v>
      </c>
      <c r="D54" s="47" t="e">
        <f>((D22+D28+D34)/D15)</f>
        <v>#DIV/0!</v>
      </c>
      <c r="E54" s="47">
        <f>((E22+E28+E34)/E15)</f>
        <v>1.5853768157758088</v>
      </c>
    </row>
    <row r="55" spans="1:7" x14ac:dyDescent="0.25">
      <c r="A55" s="11">
        <v>47</v>
      </c>
      <c r="B55" s="18" t="s">
        <v>37</v>
      </c>
      <c r="C55" s="47" t="e">
        <f>((C39+C34)/C34)</f>
        <v>#DIV/0!</v>
      </c>
      <c r="D55" s="47" t="e">
        <f t="shared" ref="D55:E55" si="13">((D39+D34)/D34)</f>
        <v>#DIV/0!</v>
      </c>
      <c r="E55" s="47" t="e">
        <f t="shared" si="13"/>
        <v>#DIV/0!</v>
      </c>
    </row>
    <row r="56" spans="1:7" x14ac:dyDescent="0.25">
      <c r="A56" s="11">
        <v>48</v>
      </c>
      <c r="B56" s="18" t="s">
        <v>38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291</v>
      </c>
      <c r="C60" s="67"/>
      <c r="D60" s="67"/>
      <c r="E60" s="67"/>
      <c r="F60" s="67"/>
      <c r="G60" s="67"/>
    </row>
    <row r="61" spans="1:7" x14ac:dyDescent="0.25">
      <c r="A61" s="48"/>
      <c r="B61" t="s">
        <v>224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263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243</v>
      </c>
      <c r="C64" s="67"/>
      <c r="D64" s="67"/>
      <c r="E64" s="67"/>
      <c r="F64" s="67"/>
      <c r="G64" s="67"/>
    </row>
    <row r="65" spans="1:7" x14ac:dyDescent="0.25">
      <c r="A65" s="67"/>
      <c r="B65" s="67" t="s">
        <v>244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zjUHTT5cOh/R4cEpXPNYcnpG8qiG59ScU383O48SLg8ZIrtDNQC9pLSRjsxfoMefX8GcGkDvnwGK2AUfFZ1vUg==" saltValue="ELnD5WuPidVTtr/kC7mjd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opLeftCell="A25" zoomScaleNormal="100" workbookViewId="0">
      <selection activeCell="D61" sqref="D61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240</v>
      </c>
    </row>
    <row r="3" spans="1:5" x14ac:dyDescent="0.25">
      <c r="B3" s="59" t="str">
        <f>PriorYearBalanceSheet!A3</f>
        <v>Hat Island Telephone Company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108</v>
      </c>
      <c r="D6" s="27" t="s">
        <v>108</v>
      </c>
    </row>
    <row r="7" spans="1:5" x14ac:dyDescent="0.2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25">
      <c r="A8" s="12"/>
      <c r="B8" s="12"/>
      <c r="C8" s="12">
        <v>2017</v>
      </c>
      <c r="D8" s="6">
        <v>2018</v>
      </c>
    </row>
    <row r="9" spans="1:5" x14ac:dyDescent="0.25">
      <c r="A9" s="10">
        <v>1</v>
      </c>
      <c r="B9" s="7" t="s">
        <v>1</v>
      </c>
      <c r="C9" s="37">
        <f>PriorYearIncomeStmt!E9</f>
        <v>15876</v>
      </c>
      <c r="D9" s="42">
        <f>'CurrentYearIncomeStmt '!E9</f>
        <v>14092.810000000001</v>
      </c>
    </row>
    <row r="10" spans="1:5" x14ac:dyDescent="0.25">
      <c r="A10" s="11">
        <v>2</v>
      </c>
      <c r="B10" s="18" t="s">
        <v>2</v>
      </c>
      <c r="C10" s="33">
        <f>PriorYearIncomeStmt!E10</f>
        <v>37449</v>
      </c>
      <c r="D10" s="42">
        <f>'CurrentYearIncomeStmt '!E10</f>
        <v>68286.06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916</v>
      </c>
      <c r="D12" s="42">
        <f>'CurrentYearIncomeStmt '!E12</f>
        <v>746.55000000000007</v>
      </c>
    </row>
    <row r="13" spans="1:5" x14ac:dyDescent="0.25">
      <c r="A13" s="11">
        <v>5</v>
      </c>
      <c r="B13" s="18" t="s">
        <v>5</v>
      </c>
      <c r="C13" s="33">
        <f>PriorYearIncomeStmt!E13</f>
        <v>1259</v>
      </c>
      <c r="D13" s="42">
        <f>'CurrentYearIncomeStmt '!E13</f>
        <v>1277.67</v>
      </c>
    </row>
    <row r="14" spans="1:5" x14ac:dyDescent="0.25">
      <c r="A14" s="11">
        <v>6</v>
      </c>
      <c r="B14" s="18" t="s">
        <v>133</v>
      </c>
      <c r="C14" s="33">
        <f>PriorYearIncomeStmt!E14</f>
        <v>0</v>
      </c>
      <c r="D14" s="42">
        <f>'CurrentYearIncomeStmt '!E14</f>
        <v>-321.95</v>
      </c>
    </row>
    <row r="15" spans="1:5" x14ac:dyDescent="0.25">
      <c r="A15" s="11">
        <v>7</v>
      </c>
      <c r="B15" s="76" t="s">
        <v>132</v>
      </c>
      <c r="C15" s="41">
        <f>SUM(C9:C14)</f>
        <v>55500</v>
      </c>
      <c r="D15" s="43">
        <f t="shared" ref="D15" si="0">SUM(D9:D14)</f>
        <v>84081.14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16768</v>
      </c>
      <c r="D16" s="42">
        <f>'CurrentYearIncomeStmt '!E16</f>
        <v>12804.3</v>
      </c>
    </row>
    <row r="17" spans="1:5" x14ac:dyDescent="0.25">
      <c r="A17" s="11">
        <v>9</v>
      </c>
      <c r="B17" s="18" t="s">
        <v>39</v>
      </c>
      <c r="C17" s="33">
        <f>PriorYearIncomeStmt!E17</f>
        <v>0</v>
      </c>
      <c r="D17" s="42">
        <f>'CurrentYearIncomeStmt '!E17</f>
        <v>0</v>
      </c>
    </row>
    <row r="18" spans="1:5" x14ac:dyDescent="0.25">
      <c r="A18" s="11">
        <v>10</v>
      </c>
      <c r="B18" s="18" t="s">
        <v>7</v>
      </c>
      <c r="C18" s="33">
        <f>PriorYearIncomeStmt!E18</f>
        <v>13196</v>
      </c>
      <c r="D18" s="42">
        <f>'CurrentYearIncomeStmt '!E18</f>
        <v>13195.56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9143</v>
      </c>
      <c r="D20" s="42">
        <f>'CurrentYearIncomeStmt '!E20</f>
        <v>9470.42</v>
      </c>
    </row>
    <row r="21" spans="1:5" x14ac:dyDescent="0.25">
      <c r="A21" s="11">
        <v>13</v>
      </c>
      <c r="B21" s="18" t="s">
        <v>10</v>
      </c>
      <c r="C21" s="33">
        <f>PriorYearIncomeStmt!E21</f>
        <v>77189</v>
      </c>
      <c r="D21" s="42">
        <f>'CurrentYearIncomeStmt '!E21</f>
        <v>95271.549999999988</v>
      </c>
    </row>
    <row r="22" spans="1:5" x14ac:dyDescent="0.25">
      <c r="A22" s="11">
        <v>14</v>
      </c>
      <c r="B22" s="76" t="s">
        <v>261</v>
      </c>
      <c r="C22" s="41">
        <f>C16+C17+C18+C19+C20+C21</f>
        <v>116296</v>
      </c>
      <c r="D22" s="43">
        <f>D16+D17+D18+D19+D20+D21</f>
        <v>130741.82999999999</v>
      </c>
      <c r="E22" s="1"/>
    </row>
    <row r="23" spans="1:5" x14ac:dyDescent="0.25">
      <c r="A23" s="11">
        <v>15</v>
      </c>
      <c r="B23" s="18" t="s">
        <v>14</v>
      </c>
      <c r="C23" s="33">
        <f>C15-C22</f>
        <v>-60796</v>
      </c>
      <c r="D23" s="42">
        <f>D15-D22</f>
        <v>-46660.689999999988</v>
      </c>
    </row>
    <row r="24" spans="1:5" x14ac:dyDescent="0.25">
      <c r="A24" s="11">
        <v>16</v>
      </c>
      <c r="B24" s="18" t="s">
        <v>134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3277</v>
      </c>
      <c r="D27" s="42">
        <f>'CurrentYearIncomeStmt '!E27</f>
        <v>2558.46</v>
      </c>
    </row>
    <row r="28" spans="1:5" x14ac:dyDescent="0.25">
      <c r="A28" s="11">
        <v>20</v>
      </c>
      <c r="B28" s="76" t="s">
        <v>12</v>
      </c>
      <c r="C28" s="38">
        <f>SUM(C25:C27)</f>
        <v>3277</v>
      </c>
      <c r="D28" s="44">
        <f t="shared" ref="D28" si="1">SUM(D25:D27)</f>
        <v>2558.46</v>
      </c>
    </row>
    <row r="29" spans="1:5" x14ac:dyDescent="0.25">
      <c r="A29" s="11">
        <v>21</v>
      </c>
      <c r="B29" s="76" t="s">
        <v>22</v>
      </c>
      <c r="C29" s="38">
        <f>C23+C24-C28</f>
        <v>-64073</v>
      </c>
      <c r="D29" s="44">
        <f>D23+D24-D28</f>
        <v>-49219.149999999987</v>
      </c>
    </row>
    <row r="30" spans="1:5" x14ac:dyDescent="0.25">
      <c r="A30" s="11">
        <v>22</v>
      </c>
      <c r="B30" s="18" t="s">
        <v>15</v>
      </c>
      <c r="C30" s="33">
        <f>PriorYearIncomeStmt!E30</f>
        <v>0</v>
      </c>
      <c r="D30" s="42">
        <f>'CurrentYearIncomeStmt '!E30</f>
        <v>0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292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289</v>
      </c>
      <c r="C34" s="38">
        <f>SUM(C30:C33)</f>
        <v>0</v>
      </c>
      <c r="D34" s="44">
        <f t="shared" ref="D34" si="2">SUM(D30:D33)</f>
        <v>0</v>
      </c>
    </row>
    <row r="35" spans="1:4" x14ac:dyDescent="0.25">
      <c r="A35" s="11">
        <v>27</v>
      </c>
      <c r="B35" s="18" t="s">
        <v>18</v>
      </c>
      <c r="C35" s="33">
        <f>PriorYearIncomeStmt!E35</f>
        <v>7</v>
      </c>
      <c r="D35" s="42">
        <f>'CurrentYearIncomeStmt '!E35</f>
        <v>32</v>
      </c>
    </row>
    <row r="36" spans="1:4" x14ac:dyDescent="0.25">
      <c r="A36" s="11">
        <v>28</v>
      </c>
      <c r="B36" s="18" t="s">
        <v>19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20</v>
      </c>
      <c r="C38" s="33">
        <f>PriorYearIncomeStmt!E38</f>
        <v>11674</v>
      </c>
      <c r="D38" s="42">
        <f>'CurrentYearIncomeStmt '!E38</f>
        <v>6656</v>
      </c>
    </row>
    <row r="39" spans="1:4" x14ac:dyDescent="0.25">
      <c r="A39" s="11">
        <v>31</v>
      </c>
      <c r="B39" s="76" t="s">
        <v>21</v>
      </c>
      <c r="C39" s="38">
        <f>C29-C34+C35+C36+C37+C38</f>
        <v>-52392</v>
      </c>
      <c r="D39" s="44">
        <f t="shared" ref="D39" si="3">D29-D34+D35+D36+D37+D38</f>
        <v>-42531.149999999987</v>
      </c>
    </row>
    <row r="40" spans="1:4" x14ac:dyDescent="0.25">
      <c r="A40" s="11">
        <v>32</v>
      </c>
      <c r="B40" s="18" t="s">
        <v>23</v>
      </c>
      <c r="C40" s="45"/>
      <c r="D40" s="72"/>
    </row>
    <row r="41" spans="1:4" x14ac:dyDescent="0.25">
      <c r="A41" s="11">
        <v>33</v>
      </c>
      <c r="B41" s="18" t="s">
        <v>24</v>
      </c>
      <c r="C41" s="33">
        <f>PriorYearIncomeStmt!E41</f>
        <v>316340</v>
      </c>
      <c r="D41" s="42">
        <f>'CurrentYearIncomeStmt '!E41</f>
        <v>263948</v>
      </c>
    </row>
    <row r="42" spans="1:4" x14ac:dyDescent="0.25">
      <c r="A42" s="11">
        <v>34</v>
      </c>
      <c r="B42" s="18" t="s">
        <v>25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26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30</v>
      </c>
      <c r="C47" s="38">
        <f>(C39+C41+C42)-(C43+C44+C45+C46)</f>
        <v>263948</v>
      </c>
      <c r="D47" s="44">
        <f t="shared" ref="D47" si="4">(D39+D41+D42)-(D43+D44+D45+D46)</f>
        <v>221416.85</v>
      </c>
    </row>
    <row r="48" spans="1:4" x14ac:dyDescent="0.2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34</v>
      </c>
      <c r="C52" s="33">
        <f>PriorYearIncomeStmt!E52</f>
        <v>0</v>
      </c>
      <c r="D52" s="42">
        <f>'CurrentYearIncomeStmt '!E52</f>
        <v>0</v>
      </c>
    </row>
    <row r="53" spans="1:4" x14ac:dyDescent="0.25">
      <c r="A53" s="11">
        <v>45</v>
      </c>
      <c r="B53" s="18" t="s">
        <v>35</v>
      </c>
      <c r="C53" s="50">
        <f>((C22+C28-C18-C19)/C15)</f>
        <v>1.9167027027027026</v>
      </c>
      <c r="D53" s="50">
        <f>((D22+D28-D18-D19)/D15)</f>
        <v>1.4284384108017563</v>
      </c>
    </row>
    <row r="54" spans="1:4" x14ac:dyDescent="0.25">
      <c r="A54" s="11">
        <v>46</v>
      </c>
      <c r="B54" s="18" t="s">
        <v>36</v>
      </c>
      <c r="C54" s="50">
        <f>((C22+C28+C34)/C15)</f>
        <v>2.1544684684684685</v>
      </c>
      <c r="D54" s="50">
        <f>((D22+D28+D34)/D15)</f>
        <v>1.5853768157758088</v>
      </c>
    </row>
    <row r="55" spans="1:4" x14ac:dyDescent="0.25">
      <c r="A55" s="11">
        <v>47</v>
      </c>
      <c r="B55" s="18" t="s">
        <v>37</v>
      </c>
      <c r="C55" s="50" t="e">
        <f>((C39+C34)/C34)</f>
        <v>#DIV/0!</v>
      </c>
      <c r="D55" s="50" t="e">
        <f t="shared" ref="D55" si="6">((D39+D34)/D34)</f>
        <v>#DIV/0!</v>
      </c>
    </row>
    <row r="56" spans="1:4" x14ac:dyDescent="0.25">
      <c r="A56" s="11">
        <v>48</v>
      </c>
      <c r="B56" s="18" t="s">
        <v>38</v>
      </c>
      <c r="C56" s="46" t="e">
        <f>(C39+C34+C18+C19)/C52</f>
        <v>#DIV/0!</v>
      </c>
      <c r="D56" s="50" t="e">
        <f>(D39+D34+D18+D19)/D52</f>
        <v>#DIV/0!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177</v>
      </c>
      <c r="C59" s="49" t="s">
        <v>277</v>
      </c>
      <c r="D59" s="49" t="s">
        <v>306</v>
      </c>
    </row>
    <row r="60" spans="1:4" x14ac:dyDescent="0.25">
      <c r="A60" s="48" t="s">
        <v>157</v>
      </c>
      <c r="B60" t="s">
        <v>149</v>
      </c>
      <c r="C60" s="58">
        <v>0.1101</v>
      </c>
      <c r="D60" s="58">
        <v>0.08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178</v>
      </c>
      <c r="C62" s="67"/>
      <c r="D62" s="67"/>
    </row>
    <row r="63" spans="1:4" x14ac:dyDescent="0.25">
      <c r="A63" s="67"/>
      <c r="B63" s="67" t="s">
        <v>179</v>
      </c>
      <c r="C63" s="67"/>
      <c r="D63" s="67"/>
    </row>
    <row r="64" spans="1:4" x14ac:dyDescent="0.25">
      <c r="A64" s="67"/>
      <c r="B64" s="67" t="s">
        <v>180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g+xnwra2WOq8u9o9exbNnybJZadTcxuuW2rNhhnr6dTYoy1EZH8H4NCYKAG++0UzNmV7pYgEQKn1EdsV47iSQw==" saltValue="DvGiMKh2fAPpprBggvFzU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E9" sqref="E9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9" t="str">
        <f>PriorYearBalanceSheet!A3</f>
        <v>Hat Island Telephone Company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72</v>
      </c>
      <c r="E6" s="24" t="s">
        <v>111</v>
      </c>
    </row>
    <row r="7" spans="1:5" x14ac:dyDescent="0.25">
      <c r="A7" s="18" t="s">
        <v>0</v>
      </c>
      <c r="B7" s="11" t="s">
        <v>147</v>
      </c>
      <c r="C7" s="11" t="s">
        <v>135</v>
      </c>
      <c r="D7" s="11">
        <v>2017</v>
      </c>
      <c r="E7" s="5">
        <v>2018</v>
      </c>
    </row>
    <row r="8" spans="1:5" x14ac:dyDescent="0.25">
      <c r="A8" s="20"/>
      <c r="B8" s="20"/>
      <c r="C8" s="12" t="s">
        <v>136</v>
      </c>
      <c r="D8" s="26"/>
      <c r="E8" s="30"/>
    </row>
    <row r="9" spans="1:5" x14ac:dyDescent="0.25">
      <c r="A9" s="10">
        <v>1</v>
      </c>
      <c r="B9" s="7" t="s">
        <v>137</v>
      </c>
      <c r="C9" s="28" t="s">
        <v>138</v>
      </c>
      <c r="D9" s="56">
        <v>5635</v>
      </c>
      <c r="E9" s="56">
        <v>4457</v>
      </c>
    </row>
    <row r="10" spans="1:5" x14ac:dyDescent="0.2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25">
      <c r="A11" s="11" t="s">
        <v>170</v>
      </c>
      <c r="B11" s="18" t="s">
        <v>141</v>
      </c>
      <c r="C11" s="11"/>
      <c r="D11" s="53">
        <v>1749</v>
      </c>
      <c r="E11" s="53">
        <v>634</v>
      </c>
    </row>
    <row r="12" spans="1:5" x14ac:dyDescent="0.25">
      <c r="A12" s="11" t="s">
        <v>171</v>
      </c>
      <c r="B12" s="18" t="s">
        <v>225</v>
      </c>
      <c r="C12" s="11"/>
      <c r="D12" s="53">
        <v>-3516</v>
      </c>
      <c r="E12" s="53">
        <v>20417</v>
      </c>
    </row>
    <row r="13" spans="1:5" x14ac:dyDescent="0.2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25">
      <c r="A14" s="11" t="s">
        <v>172</v>
      </c>
      <c r="B14" s="18" t="s">
        <v>141</v>
      </c>
      <c r="C14" s="11"/>
      <c r="D14" s="53"/>
      <c r="E14" s="53"/>
    </row>
    <row r="15" spans="1:5" x14ac:dyDescent="0.25">
      <c r="A15" s="11" t="s">
        <v>173</v>
      </c>
      <c r="B15" s="18" t="s">
        <v>142</v>
      </c>
      <c r="C15" s="11"/>
      <c r="D15" s="53">
        <v>23891</v>
      </c>
      <c r="E15" s="53">
        <f>362+7328+31133</f>
        <v>38823</v>
      </c>
    </row>
    <row r="16" spans="1:5" x14ac:dyDescent="0.25">
      <c r="A16" s="11">
        <v>4</v>
      </c>
      <c r="B16" s="18" t="s">
        <v>226</v>
      </c>
      <c r="C16" s="11" t="s">
        <v>144</v>
      </c>
      <c r="D16" s="53">
        <v>7661</v>
      </c>
      <c r="E16" s="53">
        <v>792</v>
      </c>
    </row>
    <row r="17" spans="1:5" x14ac:dyDescent="0.25">
      <c r="A17" s="11">
        <v>5</v>
      </c>
      <c r="B17" s="18" t="s">
        <v>299</v>
      </c>
      <c r="C17" s="11" t="s">
        <v>144</v>
      </c>
      <c r="D17" s="53"/>
      <c r="E17" s="53"/>
    </row>
    <row r="18" spans="1:5" x14ac:dyDescent="0.25">
      <c r="A18" s="11">
        <v>6</v>
      </c>
      <c r="B18" s="18" t="s">
        <v>186</v>
      </c>
      <c r="C18" s="11" t="s">
        <v>144</v>
      </c>
      <c r="D18" s="53">
        <v>2029</v>
      </c>
      <c r="E18" s="53">
        <v>3163</v>
      </c>
    </row>
    <row r="19" spans="1:5" x14ac:dyDescent="0.2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25">
      <c r="A20" s="11">
        <v>8</v>
      </c>
      <c r="B20" s="18" t="s">
        <v>145</v>
      </c>
      <c r="C20" s="7"/>
      <c r="D20" s="36">
        <f>D9+D11+D12+D14+D15+D16+D18+D19</f>
        <v>37449</v>
      </c>
      <c r="E20" s="36">
        <f>E9+E11+E12+E14+E15+E16+E18+E19</f>
        <v>68286</v>
      </c>
    </row>
    <row r="21" spans="1:5" x14ac:dyDescent="0.25">
      <c r="A21" s="11">
        <v>9</v>
      </c>
      <c r="B21" s="19" t="s">
        <v>150</v>
      </c>
      <c r="C21" s="18"/>
      <c r="D21" s="38">
        <f>IncomeStmtSummary!C10</f>
        <v>37449</v>
      </c>
      <c r="E21" s="38">
        <f>IncomeStmtSummary!D10</f>
        <v>68286.06</v>
      </c>
    </row>
    <row r="22" spans="1:5" ht="15.75" thickBot="1" x14ac:dyDescent="0.3">
      <c r="A22" s="12">
        <v>10</v>
      </c>
      <c r="B22" s="52" t="s">
        <v>125</v>
      </c>
      <c r="C22" s="20"/>
      <c r="D22" s="51">
        <f>D20-D21</f>
        <v>0</v>
      </c>
      <c r="E22" s="35">
        <f>E20-E21</f>
        <v>-5.9999999997671694E-2</v>
      </c>
    </row>
    <row r="23" spans="1:5" ht="15.75" thickTop="1" x14ac:dyDescent="0.25">
      <c r="B23" s="73" t="s">
        <v>174</v>
      </c>
      <c r="C23" s="67"/>
      <c r="D23" s="67"/>
      <c r="E23" s="67"/>
    </row>
    <row r="24" spans="1:5" x14ac:dyDescent="0.25">
      <c r="B24" t="s">
        <v>164</v>
      </c>
      <c r="C24" s="67"/>
      <c r="D24" s="67"/>
      <c r="E24" s="67"/>
    </row>
    <row r="25" spans="1:5" x14ac:dyDescent="0.25">
      <c r="B25" t="s">
        <v>165</v>
      </c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  <row r="36" spans="1:5" x14ac:dyDescent="0.25">
      <c r="A36" s="67"/>
      <c r="B36" s="67"/>
      <c r="C36" s="67"/>
      <c r="D36" s="67"/>
      <c r="E36" s="67"/>
    </row>
  </sheetData>
  <sheetProtection algorithmName="SHA-512" hashValue="X7Mt7yjH8n/ETB3lRI4PubmZwkvchwY6JLms9uKwZqQT4k4VFQ0xsAVaMSdnpzLuY0vV0D1l080+uCvwqUlQUQ==" saltValue="gbpnjP5nM06yWYsmCS/a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zoomScaleNormal="100" workbookViewId="0">
      <selection activeCell="L34" sqref="L34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240</v>
      </c>
      <c r="B2" s="48"/>
    </row>
    <row r="3" spans="1:5" x14ac:dyDescent="0.25">
      <c r="A3" s="2" t="str">
        <f>PriorYearBalanceSheet!A3</f>
        <v>Hat Island Telephone Company</v>
      </c>
      <c r="B3" s="13"/>
    </row>
    <row r="6" spans="1:5" x14ac:dyDescent="0.25">
      <c r="A6" s="10" t="s">
        <v>307</v>
      </c>
      <c r="B6" s="10" t="s">
        <v>246</v>
      </c>
      <c r="C6" s="10"/>
      <c r="D6" s="131" t="s">
        <v>182</v>
      </c>
      <c r="E6" s="132"/>
    </row>
    <row r="7" spans="1:5" x14ac:dyDescent="0.25">
      <c r="A7" s="12" t="s">
        <v>238</v>
      </c>
      <c r="B7" s="12"/>
      <c r="C7" s="12" t="s">
        <v>239</v>
      </c>
      <c r="D7" s="119" t="s">
        <v>188</v>
      </c>
      <c r="E7" s="6" t="s">
        <v>189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183</v>
      </c>
      <c r="B9" s="18"/>
      <c r="C9" s="18"/>
      <c r="D9" s="124"/>
      <c r="E9" s="122"/>
    </row>
    <row r="10" spans="1:5" x14ac:dyDescent="0.25">
      <c r="A10" s="18"/>
      <c r="B10" s="18"/>
      <c r="C10" s="18"/>
      <c r="D10" s="124"/>
      <c r="E10" s="122"/>
    </row>
    <row r="11" spans="1:5" x14ac:dyDescent="0.25">
      <c r="A11" s="18"/>
      <c r="B11" s="18"/>
      <c r="C11" s="18"/>
      <c r="D11" s="124"/>
      <c r="E11" s="122"/>
    </row>
    <row r="12" spans="1:5" x14ac:dyDescent="0.25">
      <c r="A12" s="18"/>
      <c r="B12" s="18"/>
      <c r="C12" s="18"/>
      <c r="D12" s="124"/>
      <c r="E12" s="122"/>
    </row>
    <row r="13" spans="1:5" x14ac:dyDescent="0.25">
      <c r="A13" s="20"/>
      <c r="B13" s="20"/>
      <c r="C13" s="20"/>
      <c r="D13" s="125"/>
      <c r="E13" s="123"/>
    </row>
    <row r="14" spans="1:5" x14ac:dyDescent="0.25">
      <c r="A14" s="18" t="s">
        <v>184</v>
      </c>
      <c r="B14" s="18"/>
      <c r="C14" s="18"/>
      <c r="D14" s="124"/>
      <c r="E14" s="122"/>
    </row>
    <row r="15" spans="1:5" x14ac:dyDescent="0.25">
      <c r="A15" s="18"/>
      <c r="B15" s="18"/>
      <c r="C15" s="18"/>
      <c r="D15" s="124"/>
      <c r="E15" s="122"/>
    </row>
    <row r="16" spans="1:5" x14ac:dyDescent="0.25">
      <c r="A16" s="18"/>
      <c r="B16" s="18"/>
      <c r="C16" s="18"/>
      <c r="D16" s="124"/>
      <c r="E16" s="122"/>
    </row>
    <row r="17" spans="1:5" x14ac:dyDescent="0.25">
      <c r="A17" s="18"/>
      <c r="B17" s="18"/>
      <c r="C17" s="18"/>
      <c r="D17" s="124"/>
      <c r="E17" s="122"/>
    </row>
    <row r="18" spans="1:5" x14ac:dyDescent="0.25">
      <c r="A18" s="20"/>
      <c r="B18" s="20"/>
      <c r="C18" s="20"/>
      <c r="D18" s="125"/>
      <c r="E18" s="123"/>
    </row>
    <row r="19" spans="1:5" x14ac:dyDescent="0.25">
      <c r="A19" s="18" t="s">
        <v>185</v>
      </c>
      <c r="B19" s="18"/>
      <c r="C19" s="18"/>
      <c r="D19" s="124"/>
      <c r="E19" s="122"/>
    </row>
    <row r="20" spans="1:5" x14ac:dyDescent="0.25">
      <c r="A20" s="18"/>
      <c r="B20" s="18"/>
      <c r="C20" s="18"/>
      <c r="D20" s="124"/>
      <c r="E20" s="122"/>
    </row>
    <row r="21" spans="1:5" x14ac:dyDescent="0.25">
      <c r="A21" s="18"/>
      <c r="B21" s="18"/>
      <c r="C21" s="18"/>
      <c r="D21" s="124"/>
      <c r="E21" s="122"/>
    </row>
    <row r="22" spans="1:5" x14ac:dyDescent="0.25">
      <c r="A22" s="18"/>
      <c r="B22" s="18"/>
      <c r="C22" s="18"/>
      <c r="D22" s="124"/>
      <c r="E22" s="122"/>
    </row>
    <row r="23" spans="1:5" x14ac:dyDescent="0.25">
      <c r="A23" s="20"/>
      <c r="B23" s="20"/>
      <c r="C23" s="20"/>
      <c r="D23" s="125"/>
      <c r="E23" s="123"/>
    </row>
    <row r="24" spans="1:5" x14ac:dyDescent="0.25">
      <c r="A24" s="18" t="s">
        <v>190</v>
      </c>
      <c r="B24" s="18"/>
      <c r="C24" s="18"/>
      <c r="D24" s="124"/>
      <c r="E24" s="122"/>
    </row>
    <row r="25" spans="1:5" x14ac:dyDescent="0.25">
      <c r="A25" s="18"/>
      <c r="B25" s="18"/>
      <c r="C25" s="18"/>
      <c r="D25" s="124"/>
      <c r="E25" s="122"/>
    </row>
    <row r="26" spans="1:5" x14ac:dyDescent="0.25">
      <c r="A26" s="18"/>
      <c r="B26" s="18"/>
      <c r="C26" s="18"/>
      <c r="D26" s="124"/>
      <c r="E26" s="122"/>
    </row>
    <row r="27" spans="1:5" x14ac:dyDescent="0.25">
      <c r="A27" s="18"/>
      <c r="B27" s="18"/>
      <c r="C27" s="18"/>
      <c r="D27" s="124"/>
      <c r="E27" s="122"/>
    </row>
    <row r="28" spans="1:5" x14ac:dyDescent="0.25">
      <c r="A28" s="20"/>
      <c r="B28" s="20"/>
      <c r="C28" s="20"/>
      <c r="D28" s="125"/>
      <c r="E28" s="123"/>
    </row>
    <row r="29" spans="1:5" x14ac:dyDescent="0.25">
      <c r="A29" s="18" t="s">
        <v>245</v>
      </c>
      <c r="B29" s="18"/>
      <c r="C29" s="18"/>
      <c r="D29" s="124"/>
      <c r="E29" s="122"/>
    </row>
    <row r="30" spans="1:5" x14ac:dyDescent="0.25">
      <c r="A30" s="18"/>
      <c r="B30" s="18"/>
      <c r="C30" s="18"/>
      <c r="D30" s="124"/>
      <c r="E30" s="122"/>
    </row>
    <row r="31" spans="1:5" x14ac:dyDescent="0.25">
      <c r="A31" s="18"/>
      <c r="B31" s="18"/>
      <c r="C31" s="18"/>
      <c r="D31" s="124"/>
      <c r="E31" s="122"/>
    </row>
    <row r="32" spans="1:5" x14ac:dyDescent="0.25">
      <c r="A32" s="18"/>
      <c r="B32" s="18"/>
      <c r="C32" s="18"/>
      <c r="D32" s="124"/>
      <c r="E32" s="122"/>
    </row>
    <row r="33" spans="1:5" x14ac:dyDescent="0.25">
      <c r="A33" s="20"/>
      <c r="B33" s="20"/>
      <c r="C33" s="20"/>
      <c r="D33" s="125"/>
      <c r="E33" s="123"/>
    </row>
    <row r="34" spans="1:5" x14ac:dyDescent="0.25">
      <c r="D34" s="118"/>
      <c r="E34" s="118"/>
    </row>
    <row r="35" spans="1:5" x14ac:dyDescent="0.25">
      <c r="D35" s="118"/>
      <c r="E35" s="118"/>
    </row>
    <row r="36" spans="1:5" x14ac:dyDescent="0.25">
      <c r="D36" s="118"/>
      <c r="E36" s="118"/>
    </row>
    <row r="37" spans="1:5" x14ac:dyDescent="0.25">
      <c r="D37" s="118"/>
      <c r="E37" s="118"/>
    </row>
    <row r="38" spans="1:5" x14ac:dyDescent="0.25">
      <c r="D38" s="118"/>
      <c r="E38" s="118"/>
    </row>
    <row r="39" spans="1:5" x14ac:dyDescent="0.25">
      <c r="D39" s="118"/>
      <c r="E39" s="118"/>
    </row>
    <row r="40" spans="1:5" x14ac:dyDescent="0.25">
      <c r="D40" s="118"/>
      <c r="E40" s="118"/>
    </row>
    <row r="41" spans="1:5" x14ac:dyDescent="0.25">
      <c r="D41" s="118"/>
      <c r="E41" s="118"/>
    </row>
    <row r="42" spans="1:5" x14ac:dyDescent="0.25">
      <c r="D42" s="118"/>
      <c r="E42" s="118"/>
    </row>
    <row r="43" spans="1:5" x14ac:dyDescent="0.25">
      <c r="D43" s="118"/>
      <c r="E43" s="118"/>
    </row>
    <row r="44" spans="1:5" x14ac:dyDescent="0.25">
      <c r="D44" s="118"/>
      <c r="E44" s="118"/>
    </row>
    <row r="45" spans="1:5" x14ac:dyDescent="0.25">
      <c r="D45" s="118"/>
      <c r="E45" s="118"/>
    </row>
    <row r="46" spans="1:5" x14ac:dyDescent="0.25">
      <c r="D46" s="118"/>
      <c r="E46" s="118"/>
    </row>
    <row r="47" spans="1:5" x14ac:dyDescent="0.25">
      <c r="D47" s="118"/>
      <c r="E47" s="118"/>
    </row>
    <row r="48" spans="1:5" x14ac:dyDescent="0.25">
      <c r="D48" s="118"/>
      <c r="E48" s="118"/>
    </row>
    <row r="49" spans="4:5" x14ac:dyDescent="0.25">
      <c r="D49" s="118"/>
      <c r="E49" s="118"/>
    </row>
    <row r="50" spans="4:5" x14ac:dyDescent="0.25">
      <c r="D50" s="118"/>
      <c r="E50" s="118"/>
    </row>
    <row r="51" spans="4:5" x14ac:dyDescent="0.25">
      <c r="D51" s="118"/>
      <c r="E51" s="118"/>
    </row>
    <row r="52" spans="4:5" x14ac:dyDescent="0.25">
      <c r="D52" s="118"/>
      <c r="E52" s="118"/>
    </row>
    <row r="53" spans="4:5" x14ac:dyDescent="0.25">
      <c r="D53" s="118"/>
      <c r="E53" s="118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3" zoomScaleNormal="100" workbookViewId="0">
      <selection activeCell="H11" sqref="H11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146</v>
      </c>
    </row>
    <row r="3" spans="1:6" ht="15.75" thickBot="1" x14ac:dyDescent="0.3">
      <c r="C3" s="112" t="str">
        <f>PriorYearBalanceSheet!A3</f>
        <v>Hat Island Telephone Company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>
        <v>2018</v>
      </c>
      <c r="E6" s="7"/>
    </row>
    <row r="7" spans="1:6" x14ac:dyDescent="0.25">
      <c r="A7" s="75" t="s">
        <v>0</v>
      </c>
      <c r="B7" s="9" t="s">
        <v>193</v>
      </c>
      <c r="C7" s="9" t="s">
        <v>219</v>
      </c>
      <c r="D7" s="20"/>
      <c r="E7" s="20"/>
    </row>
    <row r="8" spans="1:6" x14ac:dyDescent="0.25">
      <c r="A8" s="10">
        <v>1</v>
      </c>
      <c r="B8" s="7" t="s">
        <v>230</v>
      </c>
      <c r="C8" s="7" t="s">
        <v>210</v>
      </c>
      <c r="D8" s="89">
        <f>IncomeStmtSummary!D29</f>
        <v>-49219.149999999987</v>
      </c>
      <c r="E8" s="7"/>
    </row>
    <row r="9" spans="1:6" x14ac:dyDescent="0.25">
      <c r="A9" s="11">
        <v>2</v>
      </c>
      <c r="B9" s="18"/>
      <c r="C9" s="18" t="s">
        <v>295</v>
      </c>
      <c r="D9" s="113"/>
      <c r="E9" s="18"/>
    </row>
    <row r="10" spans="1:6" x14ac:dyDescent="0.25">
      <c r="A10" s="11">
        <v>3</v>
      </c>
      <c r="B10" s="18" t="s">
        <v>231</v>
      </c>
      <c r="C10" s="18" t="s">
        <v>194</v>
      </c>
      <c r="D10" s="90">
        <f>IncomeStmtSummary!D34</f>
        <v>0</v>
      </c>
      <c r="E10" s="11" t="s">
        <v>148</v>
      </c>
    </row>
    <row r="11" spans="1:6" x14ac:dyDescent="0.25">
      <c r="A11" s="11">
        <v>4</v>
      </c>
      <c r="B11" s="18" t="s">
        <v>195</v>
      </c>
      <c r="C11" s="18" t="s">
        <v>211</v>
      </c>
      <c r="D11" s="89">
        <f>D8+D9-D10</f>
        <v>-49219.149999999987</v>
      </c>
      <c r="E11" s="18"/>
    </row>
    <row r="12" spans="1:6" x14ac:dyDescent="0.25">
      <c r="A12" s="11">
        <v>5</v>
      </c>
      <c r="B12" s="18"/>
      <c r="C12" s="18" t="s">
        <v>196</v>
      </c>
      <c r="D12" s="91">
        <f>IncomeStmtSummary!D60</f>
        <v>0.08</v>
      </c>
      <c r="E12" s="18"/>
      <c r="F12" s="111"/>
    </row>
    <row r="13" spans="1:6" x14ac:dyDescent="0.25">
      <c r="A13" s="11">
        <v>6</v>
      </c>
      <c r="B13" s="18" t="s">
        <v>197</v>
      </c>
      <c r="C13" s="18" t="s">
        <v>217</v>
      </c>
      <c r="D13" s="92">
        <f>D11*D12</f>
        <v>-3937.5319999999992</v>
      </c>
      <c r="E13" s="18"/>
    </row>
    <row r="14" spans="1:6" ht="15.75" thickBot="1" x14ac:dyDescent="0.3">
      <c r="A14" s="12">
        <v>7</v>
      </c>
      <c r="B14" s="20" t="s">
        <v>195</v>
      </c>
      <c r="C14" s="20" t="s">
        <v>278</v>
      </c>
      <c r="D14" s="93">
        <f>D8+D9-D13</f>
        <v>-45281.617999999988</v>
      </c>
      <c r="E14" s="12" t="s">
        <v>156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193</v>
      </c>
      <c r="C16" s="97" t="s">
        <v>198</v>
      </c>
      <c r="D16" s="77"/>
      <c r="E16" s="77"/>
    </row>
    <row r="17" spans="1:6" x14ac:dyDescent="0.25">
      <c r="A17" s="10">
        <v>8</v>
      </c>
      <c r="B17" s="7" t="s">
        <v>232</v>
      </c>
      <c r="C17" s="7" t="s">
        <v>199</v>
      </c>
      <c r="D17" s="89">
        <f>IncomeStmtSummary!D35</f>
        <v>32</v>
      </c>
      <c r="E17" s="7"/>
    </row>
    <row r="18" spans="1:6" x14ac:dyDescent="0.25">
      <c r="A18" s="11">
        <v>9</v>
      </c>
      <c r="B18" s="18" t="s">
        <v>233</v>
      </c>
      <c r="C18" s="18" t="s">
        <v>200</v>
      </c>
      <c r="D18" s="90">
        <f>IncomeStmtSummary!D38</f>
        <v>6656</v>
      </c>
      <c r="E18" s="18"/>
    </row>
    <row r="19" spans="1:6" x14ac:dyDescent="0.25">
      <c r="A19" s="11">
        <v>10</v>
      </c>
      <c r="B19" s="18" t="s">
        <v>195</v>
      </c>
      <c r="C19" s="18" t="s">
        <v>201</v>
      </c>
      <c r="D19" s="89">
        <f>SUM(D17:D18)</f>
        <v>6688</v>
      </c>
      <c r="E19" s="18"/>
    </row>
    <row r="20" spans="1:6" x14ac:dyDescent="0.25">
      <c r="A20" s="11">
        <v>11</v>
      </c>
      <c r="B20" s="18"/>
      <c r="C20" s="18" t="s">
        <v>196</v>
      </c>
      <c r="D20" s="91">
        <f>IncomeStmtSummary!D60</f>
        <v>0.08</v>
      </c>
      <c r="E20" s="18"/>
    </row>
    <row r="21" spans="1:6" x14ac:dyDescent="0.25">
      <c r="A21" s="11">
        <v>12</v>
      </c>
      <c r="B21" s="18" t="s">
        <v>197</v>
      </c>
      <c r="C21" s="18" t="s">
        <v>212</v>
      </c>
      <c r="D21" s="92">
        <f>D19*D20</f>
        <v>535.04</v>
      </c>
      <c r="E21" s="18"/>
    </row>
    <row r="22" spans="1:6" ht="15.75" thickBot="1" x14ac:dyDescent="0.3">
      <c r="A22" s="12">
        <v>13</v>
      </c>
      <c r="B22" s="20" t="s">
        <v>195</v>
      </c>
      <c r="C22" s="20" t="s">
        <v>213</v>
      </c>
      <c r="D22" s="93">
        <f>D19-D21</f>
        <v>6152.96</v>
      </c>
      <c r="E22" s="12" t="s">
        <v>192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195</v>
      </c>
      <c r="C24" s="97" t="s">
        <v>202</v>
      </c>
      <c r="D24" s="102">
        <f>D14+D22</f>
        <v>-39128.657999999989</v>
      </c>
      <c r="E24" s="77" t="s">
        <v>281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193</v>
      </c>
      <c r="C26" s="97" t="s">
        <v>203</v>
      </c>
      <c r="D26" s="77"/>
      <c r="E26" s="77"/>
    </row>
    <row r="27" spans="1:6" x14ac:dyDescent="0.25">
      <c r="A27" s="10">
        <v>15</v>
      </c>
      <c r="B27" s="7" t="s">
        <v>234</v>
      </c>
      <c r="C27" s="7" t="s">
        <v>218</v>
      </c>
      <c r="D27" s="89">
        <f>IncomeStmtSummary!D39</f>
        <v>-42531.149999999987</v>
      </c>
      <c r="E27" s="7"/>
    </row>
    <row r="28" spans="1:6" x14ac:dyDescent="0.25">
      <c r="A28" s="11">
        <v>16</v>
      </c>
      <c r="B28" s="18"/>
      <c r="C28" s="18" t="s">
        <v>280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206</v>
      </c>
      <c r="D29" s="89">
        <f>D27+D28</f>
        <v>-42531.149999999987</v>
      </c>
      <c r="E29" s="18"/>
    </row>
    <row r="30" spans="1:6" x14ac:dyDescent="0.25">
      <c r="A30" s="11">
        <v>18</v>
      </c>
      <c r="B30" s="18"/>
      <c r="C30" s="18" t="s">
        <v>204</v>
      </c>
      <c r="D30" s="91">
        <f>100%-D20</f>
        <v>0.92</v>
      </c>
      <c r="E30" s="18"/>
    </row>
    <row r="31" spans="1:6" ht="15.75" thickBot="1" x14ac:dyDescent="0.3">
      <c r="A31" s="12">
        <v>19</v>
      </c>
      <c r="B31" s="20" t="s">
        <v>197</v>
      </c>
      <c r="C31" s="20" t="s">
        <v>293</v>
      </c>
      <c r="D31" s="104">
        <f>D29*D30</f>
        <v>-39128.657999999989</v>
      </c>
      <c r="E31" s="12" t="s">
        <v>282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193</v>
      </c>
      <c r="C33" s="97" t="s">
        <v>205</v>
      </c>
      <c r="D33" s="77"/>
      <c r="E33" s="77"/>
      <c r="G33" s="48"/>
    </row>
    <row r="34" spans="1:8" x14ac:dyDescent="0.25">
      <c r="A34" s="10">
        <v>20</v>
      </c>
      <c r="B34" s="7" t="s">
        <v>235</v>
      </c>
      <c r="C34" s="7" t="s">
        <v>279</v>
      </c>
      <c r="D34" s="89">
        <f>'RateBase '!D15</f>
        <v>85216</v>
      </c>
      <c r="E34" s="7"/>
      <c r="G34" s="105"/>
    </row>
    <row r="35" spans="1:8" x14ac:dyDescent="0.25">
      <c r="A35" s="11">
        <v>21</v>
      </c>
      <c r="B35" s="18" t="s">
        <v>236</v>
      </c>
      <c r="C35" s="18" t="s">
        <v>308</v>
      </c>
      <c r="D35" s="90">
        <f>'RateBase '!E15</f>
        <v>76949</v>
      </c>
      <c r="E35" s="18"/>
      <c r="G35" s="89"/>
    </row>
    <row r="36" spans="1:8" x14ac:dyDescent="0.25">
      <c r="A36" s="11">
        <v>22</v>
      </c>
      <c r="B36" s="18" t="s">
        <v>195</v>
      </c>
      <c r="C36" s="18" t="s">
        <v>206</v>
      </c>
      <c r="D36" s="89">
        <f>SUM(D34:D35)</f>
        <v>162165</v>
      </c>
      <c r="E36" s="18"/>
      <c r="G36" s="105"/>
    </row>
    <row r="37" spans="1:8" x14ac:dyDescent="0.25">
      <c r="A37" s="11">
        <v>23</v>
      </c>
      <c r="B37" s="18" t="s">
        <v>197</v>
      </c>
      <c r="C37" s="18" t="s">
        <v>207</v>
      </c>
      <c r="D37" s="89">
        <f>D36/2</f>
        <v>81082.5</v>
      </c>
      <c r="E37" s="11" t="s">
        <v>208</v>
      </c>
      <c r="G37" s="105"/>
      <c r="H37" s="48"/>
    </row>
    <row r="38" spans="1:8" x14ac:dyDescent="0.25">
      <c r="A38" s="11">
        <v>24</v>
      </c>
      <c r="B38" s="18" t="s">
        <v>214</v>
      </c>
      <c r="C38" s="14" t="s">
        <v>215</v>
      </c>
      <c r="D38" s="110">
        <f>D14</f>
        <v>-45281.617999999988</v>
      </c>
      <c r="E38" s="15"/>
    </row>
    <row r="39" spans="1:8" ht="15.75" thickBot="1" x14ac:dyDescent="0.3">
      <c r="A39" s="12">
        <v>27</v>
      </c>
      <c r="B39" s="20" t="s">
        <v>197</v>
      </c>
      <c r="C39" s="20" t="s">
        <v>209</v>
      </c>
      <c r="D39" s="109">
        <f>D38/D37</f>
        <v>-0.55846351555514429</v>
      </c>
      <c r="E39" s="12" t="s">
        <v>216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25">
      <c r="A42" s="130" t="s">
        <v>272</v>
      </c>
      <c r="B42" s="67" t="s">
        <v>294</v>
      </c>
      <c r="C42" s="107"/>
      <c r="D42" s="67"/>
      <c r="E42" s="67"/>
      <c r="F42" s="67"/>
      <c r="G42" s="68"/>
      <c r="H42" s="67"/>
    </row>
    <row r="43" spans="1:8" x14ac:dyDescent="0.25">
      <c r="A43" s="130"/>
      <c r="B43" s="67" t="s">
        <v>296</v>
      </c>
      <c r="C43" s="73"/>
      <c r="D43" s="67"/>
      <c r="E43" s="67"/>
      <c r="F43" s="67"/>
      <c r="G43" s="68"/>
      <c r="H43" s="67"/>
    </row>
    <row r="44" spans="1:8" x14ac:dyDescent="0.25">
      <c r="A44" s="130" t="s">
        <v>283</v>
      </c>
      <c r="B44" s="67" t="s">
        <v>284</v>
      </c>
      <c r="C44" s="67"/>
      <c r="D44" s="67"/>
      <c r="E44" s="67"/>
      <c r="F44" s="67"/>
      <c r="G44" s="115"/>
      <c r="H44" s="67"/>
    </row>
    <row r="45" spans="1:8" x14ac:dyDescent="0.25">
      <c r="A45" s="67"/>
      <c r="B45" s="67" t="s">
        <v>297</v>
      </c>
      <c r="C45" s="67"/>
      <c r="D45" s="67"/>
      <c r="E45" s="67"/>
      <c r="F45" s="67"/>
      <c r="G45" s="116"/>
      <c r="H45" s="67"/>
    </row>
    <row r="46" spans="1:8" x14ac:dyDescent="0.25">
      <c r="A46" s="67"/>
      <c r="B46" s="67" t="s">
        <v>298</v>
      </c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MWXsHGy4B5NmUzpLDgbwRziNweayEkeV1IDUTolcDnUq4UIX/cGNYgSgo7H9KRZxkhoros9c5Mr4SV6cYoKFXg==" saltValue="P1Y+6Mv7vy07Ad3BdeGd+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4BC9CC07739440A30B9777E11BAA07" ma:contentTypeVersion="56" ma:contentTypeDescription="" ma:contentTypeScope="" ma:versionID="920cbf60b14814f4f551ff88088835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2019-08-01T07:00:00+00:00</OpenedDate>
    <SignificantOrder xmlns="dc463f71-b30c-4ab2-9473-d307f9d35888">false</SignificantOrder>
    <Date1 xmlns="dc463f71-b30c-4ab2-9473-d307f9d35888">2019-08-12T07:00:00+00:00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Hat Island Telephone Company</CaseCompanyNames>
    <Nickname xmlns="http://schemas.microsoft.com/sharepoint/v3" xsi:nil="true"/>
    <DocketNumber xmlns="dc463f71-b30c-4ab2-9473-d307f9d35888">190649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D08D749-9859-4DF4-A503-E1831A438B7C}"/>
</file>

<file path=customXml/itemProps2.xml><?xml version="1.0" encoding="utf-8"?>
<ds:datastoreItem xmlns:ds="http://schemas.openxmlformats.org/officeDocument/2006/customXml" ds:itemID="{B5AF9726-A8DC-4DA2-8E5E-1C58A2BA90B0}"/>
</file>

<file path=customXml/itemProps3.xml><?xml version="1.0" encoding="utf-8"?>
<ds:datastoreItem xmlns:ds="http://schemas.openxmlformats.org/officeDocument/2006/customXml" ds:itemID="{5C952E64-666A-4C26-AE97-4053B355D665}"/>
</file>

<file path=customXml/itemProps4.xml><?xml version="1.0" encoding="utf-8"?>
<ds:datastoreItem xmlns:ds="http://schemas.openxmlformats.org/officeDocument/2006/customXml" ds:itemID="{86458D29-082B-4B7F-B403-3589FD593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Gary Ricketts</cp:lastModifiedBy>
  <cp:lastPrinted>2017-11-21T19:01:04Z</cp:lastPrinted>
  <dcterms:created xsi:type="dcterms:W3CDTF">2014-05-21T17:51:51Z</dcterms:created>
  <dcterms:modified xsi:type="dcterms:W3CDTF">2019-08-12T20:05:12Z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State Filing</vt:lpwstr>
  </property>
  <property fmtid="{D5CDD505-2E9C-101B-9397-08002B2CF9AE}" pid="4" name="tabIndex">
    <vt:lpwstr>10</vt:lpwstr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0x0101006E56B4D1795A2E4DB2F0B01679ED314A00E94BC9CC07739440A30B9777E11BAA07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