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EEI Report\Annual Emissions Calcs\"/>
    </mc:Choice>
  </mc:AlternateContent>
  <bookViews>
    <workbookView xWindow="0" yWindow="0" windowWidth="19020" windowHeight="8895" activeTab="2"/>
  </bookViews>
  <sheets>
    <sheet name="Summary" sheetId="1" r:id="rId1"/>
    <sheet name="Known Resources" sheetId="4" r:id="rId2"/>
    <sheet name="Unknown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5" i="8"/>
  <c r="D19" i="1" l="1"/>
  <c r="F63" i="8"/>
  <c r="G63" i="8"/>
  <c r="F19" i="1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5" i="8"/>
  <c r="C5" i="4"/>
  <c r="C4" i="4"/>
  <c r="D8" i="4" l="1"/>
  <c r="C8" i="4" s="1"/>
  <c r="D19" i="4"/>
  <c r="B19" i="4"/>
  <c r="B18" i="4"/>
  <c r="B17" i="4"/>
  <c r="B16" i="4"/>
  <c r="B15" i="4"/>
  <c r="B14" i="4"/>
  <c r="B13" i="4"/>
  <c r="B12" i="4"/>
  <c r="B11" i="4"/>
  <c r="B10" i="4"/>
  <c r="B9" i="4"/>
  <c r="C9" i="4" s="1"/>
  <c r="B8" i="4"/>
  <c r="C19" i="4" l="1"/>
  <c r="B5" i="4"/>
  <c r="D5" i="4"/>
  <c r="B4" i="4"/>
  <c r="D4" i="4"/>
  <c r="B7" i="4" l="1"/>
  <c r="C7" i="4" s="1"/>
  <c r="B6" i="4"/>
  <c r="C6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C41" i="4" s="1"/>
  <c r="E18" i="1"/>
  <c r="E19" i="1"/>
  <c r="F3" i="8" l="1"/>
  <c r="F18" i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chnaged to an unknown resource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<sst xmlns="http://schemas.openxmlformats.org/spreadsheetml/2006/main" count="358" uniqueCount="236">
  <si>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</si>
  <si>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</si>
  <si>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</si>
  <si>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</si>
  <si>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</si>
  <si>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</si>
  <si>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</si>
  <si>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</si>
  <si>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</si>
  <si>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</si>
  <si>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</si>
  <si>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</si>
  <si>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</si>
  <si>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</si>
  <si>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</si>
  <si>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</si>
  <si>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</si>
  <si>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</si>
  <si>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</si>
  <si>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</si>
  <si>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</si>
  <si>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</si>
  <si>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</si>
  <si>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</si>
  <si>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</si>
  <si>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</si>
  <si>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</si>
  <si>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</si>
  <si>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</si>
  <si>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</si>
  <si>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</si>
  <si>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</si>
  <si>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</si>
  <si>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</si>
  <si>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</si>
  <si>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</si>
  <si>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</si>
  <si>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</si>
  <si>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</si>
  <si>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</si>
  <si>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</si>
  <si>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</si>
  <si>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</si>
  <si>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</si>
  <si>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</si>
  <si>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</si>
  <si>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</si>
  <si>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</si>
  <si>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</si>
  <si>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</si>
  <si>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</si>
  <si>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</si>
  <si>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</si>
  <si>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</si>
  <si>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</si>
  <si>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</si>
  <si>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</si>
  <si>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</si>
  <si>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</si>
  <si>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</si>
  <si>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</si>
  <si>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</si>
  <si>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</si>
  <si>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</si>
  <si>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</si>
  <si>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</si>
  <si>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</si>
  <si>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</si>
  <si>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</si>
  <si>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</si>
  <si>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</si>
  <si>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</si>
  <si>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</si>
  <si>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</si>
  <si>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</si>
  <si>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</si>
  <si>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</si>
  <si>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</si>
  <si>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</si>
  <si>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</si>
  <si>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</si>
  <si>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</si>
  <si>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</si>
  <si>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</si>
  <si>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</si>
  <si>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</si>
  <si>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</si>
  <si>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</si>
  <si>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</si>
  <si>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</si>
  <si>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</si>
  <si>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</si>
  <si>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</si>
  <si>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</si>
  <si>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</si>
  <si>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</si>
  <si>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</si>
  <si>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</si>
  <si>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</si>
  <si>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</si>
  <si>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</si>
  <si>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</si>
  <si>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</si>
  <si>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</si>
  <si>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</si>
  <si>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</si>
  <si>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</si>
  <si>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</si>
  <si>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</si>
  <si>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</si>
  <si>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</si>
  <si>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</si>
  <si>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</si>
  <si>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</si>
  <si>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</si>
  <si>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</si>
  <si>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</si>
  <si>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</si>
  <si>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</si>
  <si>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</si>
  <si>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</si>
  <si>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</si>
  <si>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</si>
  <si>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</si>
  <si>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</si>
  <si>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</si>
  <si>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</si>
  <si>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</si>
  <si>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</si>
  <si>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</si>
  <si>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</si>
  <si>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</si>
  <si>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</si>
  <si>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</si>
  <si>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</si>
  <si>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</si>
  <si>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</si>
  <si>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</si>
  <si>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</si>
  <si>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</si>
  <si>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</si>
  <si>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</si>
  <si>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</si>
  <si>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</si>
  <si>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</si>
  <si>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</si>
  <si>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</si>
  <si>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</si>
  <si>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</si>
  <si>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</si>
  <si>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</si>
  <si>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</si>
  <si>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</si>
  <si>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</si>
  <si>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</si>
  <si>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</si>
  <si>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</si>
  <si>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</si>
  <si>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</si>
  <si>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</si>
  <si>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</si>
  <si>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</si>
  <si>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</si>
  <si>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</si>
  <si>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</si>
  <si>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</si>
  <si>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</si>
  <si>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</si>
  <si>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</si>
  <si>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</si>
  <si>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</si>
  <si>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</si>
  <si>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</si>
  <si>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</si>
  <si>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</si>
  <si>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</si>
  <si>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</si>
  <si>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</si>
  <si>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</si>
  <si>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</si>
  <si>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EDF Trading North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</si>
  <si>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</si>
  <si>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</si>
  <si>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</si>
  <si>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</si>
  <si>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</si>
  <si>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NorthWestern Corp.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</si>
  <si>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</si>
  <si>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</si>
  <si>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</si>
  <si>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</si>
  <si>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</si>
  <si>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</si>
  <si>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</si>
  <si>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</si>
  <si>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</si>
  <si>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</si>
  <si>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</si>
  <si>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</si>
  <si>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</si>
  <si>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</si>
  <si>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</si>
  <si>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</si>
  <si>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</si>
  <si>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</si>
  <si>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Calpine Energy Services, L.P.</t>
  </si>
  <si>
    <t>ConocoPhillips Co.</t>
  </si>
  <si>
    <t>NaturEner Power Watch</t>
  </si>
  <si>
    <t>Rainbow Energy Marketing Co.</t>
  </si>
  <si>
    <t>Western Area Power Admin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</si>
  <si>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</si>
  <si>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</si>
  <si>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</si>
  <si>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</si>
  <si>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</si>
  <si>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</si>
  <si>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Pacific Northwest Gen Coop</t>
  </si>
  <si>
    <t>Talen Energy Montana, LLC</t>
  </si>
  <si>
    <t>Tenaska Power Services Co.</t>
  </si>
  <si>
    <t>Vitol, Inc.</t>
  </si>
  <si>
    <t xml:space="preserve">2017 Data 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</si>
  <si>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</si>
  <si>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</si>
  <si>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</si>
  <si>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</si>
  <si>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</si>
  <si>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</si>
  <si>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</si>
  <si>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</si>
  <si>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Spokane City of (Sewer Plant Digester)</t>
  </si>
  <si>
    <t>Spokane City of (Waste to Energy Plant)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</si>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</sst>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0" fontId="0" fillId="2" borderId="2" xfId="0" applyFont="1" applyFill="1" applyBorder="1" applyAlignment="1">
      <alignment wrapText="1"/>
    </xf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L25" sqref="L25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59" t="s">
        <v>12</v>
      </c>
      <c r="B4" s="161"/>
      <c r="C4" s="32">
        <v>2017</v>
      </c>
      <c r="D4" s="65" t="s">
        <v>34</v>
      </c>
      <c r="E4" s="61"/>
    </row>
    <row r="5" spans="1:7" ht="15.75" thickBot="1" x14ac:dyDescent="0.3">
      <c r="A5" s="162" t="s">
        <v>17</v>
      </c>
      <c r="B5" s="163"/>
      <c r="C5" s="58">
        <v>545175</v>
      </c>
      <c r="D5" s="59">
        <f>+D13/C5</f>
        <v>10.642866969321778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59" t="s">
        <v>8</v>
      </c>
      <c r="B10" s="160"/>
      <c r="C10" s="161"/>
      <c r="D10" s="63">
        <v>2606947</v>
      </c>
      <c r="E10" s="12">
        <f>+D10/D13</f>
        <v>0.44930125943064947</v>
      </c>
      <c r="F10" s="34">
        <v>222837</v>
      </c>
      <c r="G10" s="50">
        <f>+D10/F10</f>
        <v>11.698896502824935</v>
      </c>
    </row>
    <row r="11" spans="1:7" x14ac:dyDescent="0.25">
      <c r="A11" s="159" t="s">
        <v>13</v>
      </c>
      <c r="B11" s="160"/>
      <c r="C11" s="161"/>
      <c r="D11" s="63">
        <v>2199547</v>
      </c>
      <c r="E11" s="12">
        <f>+D11/D13</f>
        <v>0.37908681583358106</v>
      </c>
      <c r="F11" s="27">
        <v>24705</v>
      </c>
      <c r="G11" s="50">
        <f>+D11/F11</f>
        <v>89.032463064157056</v>
      </c>
    </row>
    <row r="12" spans="1:7" x14ac:dyDescent="0.25">
      <c r="A12" s="159" t="s">
        <v>14</v>
      </c>
      <c r="B12" s="160"/>
      <c r="C12" s="161"/>
      <c r="D12" s="63">
        <v>995731</v>
      </c>
      <c r="E12" s="12">
        <f>+D12/D13</f>
        <v>0.17161192473576947</v>
      </c>
      <c r="F12" s="5"/>
      <c r="G12" s="39"/>
    </row>
    <row r="13" spans="1:7" ht="15.75" thickBot="1" x14ac:dyDescent="0.3">
      <c r="A13" s="40"/>
      <c r="B13" s="164" t="s">
        <v>9</v>
      </c>
      <c r="C13" s="163"/>
      <c r="D13" s="64">
        <f>SUM(D10:D12)</f>
        <v>5802225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59" t="s">
        <v>28</v>
      </c>
      <c r="B18" s="160"/>
      <c r="C18" s="161"/>
      <c r="D18" s="6">
        <f>+'Known Resources'!B41*0.65</f>
        <v>6795366.3638249999</v>
      </c>
      <c r="E18" s="12">
        <f>+D18/(D18+D19)</f>
        <v>1.0122615958005285</v>
      </c>
      <c r="F18" s="6">
        <f>+'Known Resources'!D41*0.65</f>
        <v>1909523.0139466058</v>
      </c>
      <c r="G18" s="39"/>
    </row>
    <row r="19" spans="1:8" ht="18" x14ac:dyDescent="0.35">
      <c r="A19" s="159" t="s">
        <v>29</v>
      </c>
      <c r="B19" s="160"/>
      <c r="C19" s="161"/>
      <c r="D19" s="51">
        <f>'Unknown Resources'!F63*0.65</f>
        <v>-82312.75</v>
      </c>
      <c r="E19" s="52">
        <f>+D19/(D18+D19)</f>
        <v>-1.2261595800528605E-2</v>
      </c>
      <c r="F19" s="67">
        <f>+'Unknown Resources'!G63*0.65</f>
        <v>97746.199140716853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2017</v>
      </c>
      <c r="E20" s="47" t="s">
        <v>2</v>
      </c>
      <c r="F20" s="68">
        <f>SUM(F18:F19)</f>
        <v>2007269.2130873227</v>
      </c>
      <c r="G20" s="70">
        <f>+F20/G22</f>
        <v>1.7732733779528045</v>
      </c>
    </row>
    <row r="21" spans="1:8" ht="18" x14ac:dyDescent="0.35">
      <c r="A21" t="s">
        <v>150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6"/>
  <sheetViews>
    <sheetView workbookViewId="0">
      <selection activeCell="A38" sqref="A38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</cols>
  <sheetData>
    <row r="1" spans="1:32" ht="18.75" x14ac:dyDescent="0.3">
      <c r="A1" s="3" t="s">
        <v>6</v>
      </c>
      <c r="B1" s="31">
        <f>+Summary!C4</f>
        <v>2017</v>
      </c>
    </row>
    <row r="2" spans="1:32" ht="18.75" x14ac:dyDescent="0.3">
      <c r="A2" s="3"/>
      <c r="B2" s="7" t="s">
        <v>27</v>
      </c>
      <c r="C2" s="7">
        <f>+Summary!C4</f>
        <v>2017</v>
      </c>
      <c r="D2" s="7" t="s">
        <v>3</v>
      </c>
      <c r="F2" t="s">
        <v>220</v>
      </c>
    </row>
    <row r="3" spans="1:32" ht="19.5" x14ac:dyDescent="0.35">
      <c r="A3" s="4" t="s">
        <v>0</v>
      </c>
      <c r="B3" s="8">
        <f>+Summary!C4</f>
        <v>2017</v>
      </c>
      <c r="C3" s="8" t="s">
        <v>4</v>
      </c>
      <c r="D3" s="8" t="s">
        <v>5</v>
      </c>
      <c r="E3" s="2"/>
      <c r="F3" s="74" t="s">
        <v>79</v>
      </c>
      <c r="G3" s="75">
        <v>222</v>
      </c>
      <c r="H3" s="74" t="s">
        <v>80</v>
      </c>
      <c r="I3" s="76">
        <v>1423319</v>
      </c>
      <c r="K3" t="s">
        <v>151</v>
      </c>
      <c r="L3" t="s">
        <v>152</v>
      </c>
      <c r="M3" t="s">
        <v>153</v>
      </c>
      <c r="N3" t="s">
        <v>154</v>
      </c>
      <c r="O3" t="s">
        <v>155</v>
      </c>
      <c r="P3" t="s">
        <v>156</v>
      </c>
      <c r="Q3" t="s">
        <v>157</v>
      </c>
      <c r="R3" t="s">
        <v>196</v>
      </c>
      <c r="S3" t="s">
        <v>158</v>
      </c>
      <c r="T3" t="s">
        <v>159</v>
      </c>
      <c r="W3" s="157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2" x14ac:dyDescent="0.25">
      <c r="A4" s="26" t="s">
        <v>36</v>
      </c>
      <c r="B4" s="27">
        <f>0.15*(R7+R8)</f>
        <v>1610228.0805000002</v>
      </c>
      <c r="C4" s="135">
        <f>(D4*2000)/B4</f>
        <v>2021.5031493484125</v>
      </c>
      <c r="D4" s="6">
        <f>0.15*(S7+S8)</f>
        <v>1627540.5679499998</v>
      </c>
      <c r="F4" s="74" t="s">
        <v>81</v>
      </c>
      <c r="G4" s="75">
        <v>149</v>
      </c>
      <c r="H4" s="74" t="s">
        <v>82</v>
      </c>
      <c r="I4" s="76">
        <v>71741</v>
      </c>
      <c r="K4" t="s">
        <v>160</v>
      </c>
      <c r="L4" t="s">
        <v>161</v>
      </c>
      <c r="M4">
        <v>7456</v>
      </c>
      <c r="N4">
        <v>1</v>
      </c>
      <c r="P4">
        <v>2017</v>
      </c>
      <c r="Q4" t="s">
        <v>162</v>
      </c>
      <c r="R4" s="156">
        <v>28817.27</v>
      </c>
      <c r="S4" s="156">
        <v>17487.900000000001</v>
      </c>
      <c r="T4" s="156">
        <v>294282.85800000001</v>
      </c>
      <c r="W4" s="157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x14ac:dyDescent="0.25">
      <c r="A5" s="28" t="s">
        <v>37</v>
      </c>
      <c r="B5" s="27">
        <f>R4+R5</f>
        <v>72052.17</v>
      </c>
      <c r="C5" s="135">
        <f>(D5*2000)/B5</f>
        <v>1209.8370666698866</v>
      </c>
      <c r="D5" s="6">
        <f>S4+S5</f>
        <v>43585.692999999999</v>
      </c>
      <c r="F5" s="74" t="s">
        <v>83</v>
      </c>
      <c r="G5" s="75">
        <v>61.2</v>
      </c>
      <c r="H5" s="74" t="s">
        <v>82</v>
      </c>
      <c r="I5" s="76">
        <v>390</v>
      </c>
      <c r="K5" t="s">
        <v>160</v>
      </c>
      <c r="L5" t="s">
        <v>161</v>
      </c>
      <c r="M5">
        <v>7456</v>
      </c>
      <c r="N5">
        <v>2</v>
      </c>
      <c r="P5">
        <v>2017</v>
      </c>
      <c r="Q5" t="s">
        <v>162</v>
      </c>
      <c r="R5" s="156">
        <v>43234.9</v>
      </c>
      <c r="S5" s="156">
        <v>26097.793000000001</v>
      </c>
      <c r="T5" s="156">
        <v>439137.54399999999</v>
      </c>
      <c r="W5" s="157"/>
      <c r="X5" s="151"/>
      <c r="Y5" s="151"/>
      <c r="Z5" s="151"/>
      <c r="AA5" s="151"/>
      <c r="AB5" s="151"/>
      <c r="AC5" s="151"/>
      <c r="AD5" s="151"/>
      <c r="AE5" s="151"/>
      <c r="AF5" s="151"/>
    </row>
    <row r="6" spans="1:32" x14ac:dyDescent="0.25">
      <c r="A6" s="28" t="s">
        <v>38</v>
      </c>
      <c r="B6" s="27">
        <f t="shared" ref="B6:B7" si="0">I5</f>
        <v>390</v>
      </c>
      <c r="C6" s="135">
        <f>(U28*2204.62262)/B6</f>
        <v>1517.8409241140387</v>
      </c>
      <c r="D6" s="6">
        <f t="shared" ref="D6:D10" si="1">(+B6*C6)/2000</f>
        <v>295.97898020223755</v>
      </c>
      <c r="F6" s="74" t="s">
        <v>84</v>
      </c>
      <c r="G6" s="75">
        <v>24</v>
      </c>
      <c r="H6" s="74" t="s">
        <v>82</v>
      </c>
      <c r="I6" s="76">
        <v>26649</v>
      </c>
      <c r="K6" s="151" t="s">
        <v>160</v>
      </c>
      <c r="L6" s="151" t="s">
        <v>163</v>
      </c>
      <c r="M6" s="151">
        <v>55179</v>
      </c>
      <c r="N6" s="151" t="s">
        <v>164</v>
      </c>
      <c r="O6" s="151"/>
      <c r="P6" s="151">
        <v>2017</v>
      </c>
      <c r="Q6" s="151" t="s">
        <v>162</v>
      </c>
      <c r="R6" s="156">
        <v>1353341.87</v>
      </c>
      <c r="S6" s="156">
        <v>562896.57499999995</v>
      </c>
      <c r="T6" s="156">
        <v>9471860.0189999994</v>
      </c>
      <c r="W6" s="157"/>
      <c r="X6" s="151"/>
      <c r="Y6" s="151"/>
      <c r="Z6" s="151"/>
      <c r="AA6" s="151"/>
      <c r="AB6" s="151"/>
      <c r="AC6" s="151"/>
      <c r="AD6" s="151"/>
      <c r="AE6" s="151"/>
      <c r="AF6" s="151"/>
    </row>
    <row r="7" spans="1:32" x14ac:dyDescent="0.25">
      <c r="A7" s="28" t="s">
        <v>39</v>
      </c>
      <c r="B7" s="27">
        <f t="shared" si="0"/>
        <v>26649</v>
      </c>
      <c r="C7" s="135">
        <f>(U29*2204.62262)/B7</f>
        <v>1092.4993014955087</v>
      </c>
      <c r="D7" s="6">
        <f t="shared" si="1"/>
        <v>14557.006942776905</v>
      </c>
      <c r="F7" s="74" t="s">
        <v>85</v>
      </c>
      <c r="G7" s="75">
        <v>278.3</v>
      </c>
      <c r="H7" s="74" t="s">
        <v>82</v>
      </c>
      <c r="I7" s="76">
        <v>1659029</v>
      </c>
      <c r="K7" s="151" t="s">
        <v>165</v>
      </c>
      <c r="L7" s="151" t="s">
        <v>166</v>
      </c>
      <c r="M7" s="151">
        <v>6076</v>
      </c>
      <c r="N7" s="151">
        <v>3</v>
      </c>
      <c r="O7" s="151"/>
      <c r="P7" s="151">
        <v>2017</v>
      </c>
      <c r="Q7" s="151" t="s">
        <v>162</v>
      </c>
      <c r="R7" s="156">
        <v>5029732.62</v>
      </c>
      <c r="S7" s="156">
        <v>5178017.9709999999</v>
      </c>
      <c r="T7" s="156">
        <v>49370890.696000002</v>
      </c>
      <c r="W7" s="157"/>
      <c r="X7" s="151"/>
      <c r="Y7" s="151"/>
      <c r="Z7" s="151"/>
      <c r="AA7" s="151"/>
      <c r="AB7" s="151"/>
      <c r="AC7" s="151"/>
      <c r="AD7" s="151"/>
      <c r="AE7" s="151"/>
      <c r="AF7" s="155"/>
    </row>
    <row r="8" spans="1:32" x14ac:dyDescent="0.25">
      <c r="A8" s="28" t="s">
        <v>40</v>
      </c>
      <c r="B8" s="27">
        <f>R9</f>
        <v>1677644.67</v>
      </c>
      <c r="C8" s="135">
        <f>(D8*2000)/B8</f>
        <v>817.11727311123639</v>
      </c>
      <c r="D8" s="6">
        <f>S9</f>
        <v>685416.21900000004</v>
      </c>
      <c r="F8" s="74" t="s">
        <v>86</v>
      </c>
      <c r="G8" s="75">
        <v>6.9</v>
      </c>
      <c r="H8" s="74" t="s">
        <v>82</v>
      </c>
      <c r="I8" s="77">
        <v>5000</v>
      </c>
      <c r="K8" s="151" t="s">
        <v>165</v>
      </c>
      <c r="L8" s="151" t="s">
        <v>166</v>
      </c>
      <c r="M8" s="151">
        <v>6076</v>
      </c>
      <c r="N8" s="151">
        <v>4</v>
      </c>
      <c r="O8" s="151"/>
      <c r="P8" s="151">
        <v>2017</v>
      </c>
      <c r="Q8" s="151" t="s">
        <v>162</v>
      </c>
      <c r="R8" s="156">
        <v>5705121.25</v>
      </c>
      <c r="S8" s="156">
        <v>5672252.4819999998</v>
      </c>
      <c r="T8" s="156">
        <v>54083267.141999997</v>
      </c>
      <c r="W8" s="157"/>
      <c r="X8" s="151"/>
      <c r="Y8" s="151"/>
      <c r="Z8" s="151"/>
      <c r="AA8" s="151"/>
      <c r="AB8" s="151"/>
      <c r="AC8" s="151"/>
      <c r="AD8" s="151"/>
      <c r="AE8" s="151"/>
      <c r="AF8" s="155"/>
    </row>
    <row r="9" spans="1:32" x14ac:dyDescent="0.25">
      <c r="A9" s="28" t="s">
        <v>221</v>
      </c>
      <c r="B9" s="27">
        <f t="shared" ref="B9:B18" si="2">I8</f>
        <v>5000</v>
      </c>
      <c r="C9" s="135">
        <f>(U31*2204.62262)/B9</f>
        <v>1374.2691564120842</v>
      </c>
      <c r="D9" s="6">
        <f t="shared" si="1"/>
        <v>3435.6728910302104</v>
      </c>
      <c r="F9" s="74" t="s">
        <v>87</v>
      </c>
      <c r="G9" s="78">
        <v>50</v>
      </c>
      <c r="H9" s="74" t="s">
        <v>88</v>
      </c>
      <c r="I9" s="76">
        <v>290117</v>
      </c>
      <c r="K9" s="151" t="s">
        <v>167</v>
      </c>
      <c r="L9" s="151" t="s">
        <v>168</v>
      </c>
      <c r="M9" s="151">
        <v>7350</v>
      </c>
      <c r="N9" s="151" t="s">
        <v>169</v>
      </c>
      <c r="O9" s="151"/>
      <c r="P9" s="151">
        <v>2017</v>
      </c>
      <c r="Q9" s="151" t="s">
        <v>162</v>
      </c>
      <c r="R9" s="156">
        <v>1677644.67</v>
      </c>
      <c r="S9" s="156">
        <v>685416.21900000004</v>
      </c>
      <c r="T9" s="156">
        <v>11533460.34</v>
      </c>
      <c r="W9" s="157"/>
      <c r="X9" s="151"/>
      <c r="Y9" s="151"/>
      <c r="Z9" s="151"/>
      <c r="AA9" s="151"/>
      <c r="AB9" s="151"/>
      <c r="AC9" s="151"/>
      <c r="AD9" s="151"/>
      <c r="AE9" s="151"/>
      <c r="AF9" s="155"/>
    </row>
    <row r="10" spans="1:32" x14ac:dyDescent="0.25">
      <c r="A10" s="28" t="s">
        <v>98</v>
      </c>
      <c r="B10" s="27">
        <f t="shared" si="2"/>
        <v>290117</v>
      </c>
      <c r="C10" s="135">
        <v>0</v>
      </c>
      <c r="D10" s="6">
        <f t="shared" si="1"/>
        <v>0</v>
      </c>
      <c r="F10" s="74" t="s">
        <v>89</v>
      </c>
      <c r="G10" s="75">
        <v>15</v>
      </c>
      <c r="H10" s="74" t="s">
        <v>90</v>
      </c>
      <c r="I10" s="76">
        <v>95459</v>
      </c>
      <c r="W10" s="157"/>
      <c r="X10" s="151"/>
      <c r="Y10" s="151"/>
      <c r="Z10" s="151"/>
      <c r="AA10" s="151"/>
      <c r="AB10" s="151"/>
      <c r="AC10" s="151"/>
      <c r="AD10" s="151"/>
      <c r="AE10" s="151"/>
      <c r="AF10" s="155"/>
    </row>
    <row r="11" spans="1:32" x14ac:dyDescent="0.25">
      <c r="A11" s="28" t="s">
        <v>42</v>
      </c>
      <c r="B11" s="27">
        <f t="shared" si="2"/>
        <v>95459</v>
      </c>
      <c r="C11" s="135">
        <v>0</v>
      </c>
      <c r="D11" s="6">
        <f t="shared" ref="D11:D40" si="3">(+B11*C11)/2000</f>
        <v>0</v>
      </c>
      <c r="F11" s="74" t="s">
        <v>91</v>
      </c>
      <c r="G11" s="75">
        <v>15</v>
      </c>
      <c r="H11" s="74" t="s">
        <v>90</v>
      </c>
      <c r="I11" s="76">
        <v>79120</v>
      </c>
      <c r="W11" s="157"/>
      <c r="X11" s="151"/>
      <c r="Y11" s="151"/>
      <c r="Z11" s="151"/>
      <c r="AA11" s="151"/>
      <c r="AB11" s="151"/>
      <c r="AC11" s="151"/>
      <c r="AD11" s="151"/>
      <c r="AE11" s="151"/>
      <c r="AF11" s="151"/>
    </row>
    <row r="12" spans="1:32" x14ac:dyDescent="0.25">
      <c r="A12" s="28" t="s">
        <v>43</v>
      </c>
      <c r="B12" s="27">
        <f t="shared" si="2"/>
        <v>79120</v>
      </c>
      <c r="C12" s="135">
        <v>0</v>
      </c>
      <c r="D12" s="6">
        <f t="shared" si="3"/>
        <v>0</v>
      </c>
      <c r="F12" s="74" t="s">
        <v>92</v>
      </c>
      <c r="G12" s="75">
        <v>20</v>
      </c>
      <c r="H12" s="74" t="s">
        <v>90</v>
      </c>
      <c r="I12" s="76">
        <v>114367</v>
      </c>
      <c r="W12" s="157"/>
      <c r="X12" s="151"/>
      <c r="Y12" s="151"/>
      <c r="Z12" s="151"/>
      <c r="AA12" s="151"/>
      <c r="AB12" s="151"/>
      <c r="AC12" s="151"/>
      <c r="AD12" s="151"/>
      <c r="AE12" s="151"/>
      <c r="AF12" s="155"/>
    </row>
    <row r="13" spans="1:32" x14ac:dyDescent="0.25">
      <c r="A13" s="28" t="s">
        <v>44</v>
      </c>
      <c r="B13" s="27">
        <f t="shared" si="2"/>
        <v>114367</v>
      </c>
      <c r="C13" s="135">
        <f t="shared" ref="C13:C18" si="4">(V20*2204.62262)/B13</f>
        <v>0</v>
      </c>
      <c r="D13" s="6">
        <f t="shared" si="3"/>
        <v>0</v>
      </c>
      <c r="F13" s="74" t="s">
        <v>93</v>
      </c>
      <c r="G13" s="75">
        <v>36</v>
      </c>
      <c r="H13" s="74" t="s">
        <v>90</v>
      </c>
      <c r="I13" s="76">
        <v>182385</v>
      </c>
      <c r="W13" s="157"/>
    </row>
    <row r="14" spans="1:32" x14ac:dyDescent="0.25">
      <c r="A14" s="28" t="s">
        <v>45</v>
      </c>
      <c r="B14" s="27">
        <f t="shared" si="2"/>
        <v>182385</v>
      </c>
      <c r="C14" s="135">
        <f t="shared" si="4"/>
        <v>0</v>
      </c>
      <c r="D14" s="6">
        <f t="shared" si="3"/>
        <v>0</v>
      </c>
      <c r="F14" s="74" t="s">
        <v>94</v>
      </c>
      <c r="G14" s="75">
        <v>88</v>
      </c>
      <c r="H14" s="74" t="s">
        <v>90</v>
      </c>
      <c r="I14" s="76">
        <v>508341</v>
      </c>
      <c r="W14" s="157"/>
    </row>
    <row r="15" spans="1:32" x14ac:dyDescent="0.25">
      <c r="A15" s="28" t="s">
        <v>46</v>
      </c>
      <c r="B15" s="27">
        <f t="shared" si="2"/>
        <v>508341</v>
      </c>
      <c r="C15" s="135">
        <f t="shared" si="4"/>
        <v>0</v>
      </c>
      <c r="D15" s="6">
        <f t="shared" si="3"/>
        <v>0</v>
      </c>
      <c r="F15" s="74" t="s">
        <v>95</v>
      </c>
      <c r="G15" s="75">
        <v>10.199999999999999</v>
      </c>
      <c r="H15" s="74" t="s">
        <v>90</v>
      </c>
      <c r="I15" s="76">
        <v>68396</v>
      </c>
      <c r="W15" s="157"/>
    </row>
    <row r="16" spans="1:32" x14ac:dyDescent="0.25">
      <c r="A16" s="28" t="s">
        <v>47</v>
      </c>
      <c r="B16" s="27">
        <f t="shared" si="2"/>
        <v>68396</v>
      </c>
      <c r="C16" s="135">
        <f t="shared" si="4"/>
        <v>0</v>
      </c>
      <c r="D16" s="6">
        <f t="shared" si="3"/>
        <v>0</v>
      </c>
      <c r="F16" s="74" t="s">
        <v>96</v>
      </c>
      <c r="G16" s="75">
        <v>273</v>
      </c>
      <c r="H16" s="74" t="s">
        <v>90</v>
      </c>
      <c r="I16" s="76">
        <v>1062811</v>
      </c>
      <c r="W16" s="157"/>
    </row>
    <row r="17" spans="1:23" x14ac:dyDescent="0.25">
      <c r="A17" s="28" t="s">
        <v>48</v>
      </c>
      <c r="B17" s="27">
        <f t="shared" si="2"/>
        <v>1062811</v>
      </c>
      <c r="C17" s="135">
        <f t="shared" si="4"/>
        <v>0</v>
      </c>
      <c r="D17" s="6">
        <f t="shared" si="3"/>
        <v>0</v>
      </c>
      <c r="F17" s="74" t="s">
        <v>97</v>
      </c>
      <c r="G17" s="75">
        <v>562.4</v>
      </c>
      <c r="H17" s="74" t="s">
        <v>90</v>
      </c>
      <c r="I17" s="76">
        <v>1866144</v>
      </c>
      <c r="W17" s="157"/>
    </row>
    <row r="18" spans="1:23" x14ac:dyDescent="0.25">
      <c r="A18" s="28" t="s">
        <v>49</v>
      </c>
      <c r="B18" s="27">
        <f t="shared" si="2"/>
        <v>1866144</v>
      </c>
      <c r="C18" s="135">
        <f t="shared" si="4"/>
        <v>0</v>
      </c>
      <c r="D18" s="6">
        <f t="shared" si="3"/>
        <v>0</v>
      </c>
    </row>
    <row r="19" spans="1:23" x14ac:dyDescent="0.25">
      <c r="A19" s="28" t="s">
        <v>72</v>
      </c>
      <c r="B19" s="27">
        <f>R6</f>
        <v>1353341.87</v>
      </c>
      <c r="C19" s="135">
        <f>(D19*2000)/B19</f>
        <v>831.8616123212089</v>
      </c>
      <c r="D19" s="6">
        <f>S6</f>
        <v>562896.57499999995</v>
      </c>
    </row>
    <row r="20" spans="1:23" ht="15.75" x14ac:dyDescent="0.25">
      <c r="A20" s="28" t="s">
        <v>148</v>
      </c>
      <c r="B20" s="27"/>
      <c r="C20" s="27">
        <v>0</v>
      </c>
      <c r="D20" s="6">
        <f t="shared" si="3"/>
        <v>0</v>
      </c>
      <c r="F20" s="81">
        <v>2017</v>
      </c>
      <c r="G20" s="80"/>
      <c r="H20" s="82"/>
      <c r="I20" s="83" t="s">
        <v>99</v>
      </c>
      <c r="J20" s="83" t="s">
        <v>100</v>
      </c>
      <c r="K20" s="84" t="s">
        <v>101</v>
      </c>
      <c r="L20" s="85" t="s">
        <v>102</v>
      </c>
      <c r="M20" s="84" t="s">
        <v>103</v>
      </c>
      <c r="N20" s="84" t="s">
        <v>104</v>
      </c>
      <c r="O20" s="84" t="s">
        <v>105</v>
      </c>
      <c r="P20" s="85" t="s">
        <v>106</v>
      </c>
      <c r="Q20" s="85" t="s">
        <v>107</v>
      </c>
      <c r="R20" s="86" t="s">
        <v>108</v>
      </c>
      <c r="S20" s="86" t="s">
        <v>109</v>
      </c>
      <c r="T20" s="86" t="s">
        <v>110</v>
      </c>
      <c r="U20" s="87" t="s">
        <v>111</v>
      </c>
    </row>
    <row r="21" spans="1:23" ht="75" x14ac:dyDescent="0.25">
      <c r="A21" s="158" t="s">
        <v>222</v>
      </c>
      <c r="B21" s="27">
        <v>466801</v>
      </c>
      <c r="C21" s="27">
        <v>0</v>
      </c>
      <c r="D21" s="6">
        <f t="shared" si="3"/>
        <v>0</v>
      </c>
      <c r="F21" s="88"/>
      <c r="G21" s="89"/>
      <c r="H21" s="90"/>
      <c r="I21" s="91" t="s">
        <v>112</v>
      </c>
      <c r="J21" s="91" t="s">
        <v>113</v>
      </c>
      <c r="K21" s="91" t="s">
        <v>114</v>
      </c>
      <c r="L21" s="91" t="s">
        <v>115</v>
      </c>
      <c r="M21" s="91" t="s">
        <v>116</v>
      </c>
      <c r="N21" s="91" t="s">
        <v>117</v>
      </c>
      <c r="O21" s="91" t="s">
        <v>118</v>
      </c>
      <c r="P21" s="92" t="s">
        <v>119</v>
      </c>
      <c r="Q21" s="92" t="s">
        <v>120</v>
      </c>
      <c r="R21" s="92" t="s">
        <v>121</v>
      </c>
      <c r="S21" s="92" t="s">
        <v>122</v>
      </c>
      <c r="T21" s="92" t="s">
        <v>210</v>
      </c>
      <c r="U21" s="93" t="s">
        <v>211</v>
      </c>
    </row>
    <row r="22" spans="1:23" ht="30" x14ac:dyDescent="0.25">
      <c r="A22" s="28" t="s">
        <v>198</v>
      </c>
      <c r="B22" s="27">
        <v>3834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123</v>
      </c>
      <c r="N22" s="96" t="s">
        <v>124</v>
      </c>
      <c r="O22" s="96"/>
      <c r="P22" s="97"/>
      <c r="Q22" s="97"/>
      <c r="R22" s="98"/>
      <c r="S22" s="98"/>
      <c r="T22" s="93" t="s">
        <v>125</v>
      </c>
      <c r="U22" s="99" t="s">
        <v>126</v>
      </c>
    </row>
    <row r="23" spans="1:23" ht="34.5" customHeight="1" x14ac:dyDescent="0.25">
      <c r="A23" s="158" t="s">
        <v>223</v>
      </c>
      <c r="B23" s="27">
        <v>343735</v>
      </c>
      <c r="C23" s="27">
        <v>0</v>
      </c>
      <c r="D23" s="6">
        <f t="shared" si="3"/>
        <v>0</v>
      </c>
      <c r="F23" s="100" t="s">
        <v>127</v>
      </c>
      <c r="G23" s="101" t="s">
        <v>82</v>
      </c>
      <c r="H23" s="102">
        <v>0.5</v>
      </c>
      <c r="I23" s="103">
        <v>1000</v>
      </c>
      <c r="J23" s="104" t="s">
        <v>128</v>
      </c>
      <c r="K23" s="105">
        <v>5.0999999999999997E-2</v>
      </c>
      <c r="L23" s="106" t="s">
        <v>129</v>
      </c>
      <c r="M23" s="104" t="s">
        <v>130</v>
      </c>
      <c r="N23" s="103">
        <v>51</v>
      </c>
      <c r="O23" s="107" t="s">
        <v>131</v>
      </c>
      <c r="P23" s="108">
        <v>14</v>
      </c>
      <c r="Q23" s="104" t="s">
        <v>132</v>
      </c>
      <c r="R23" s="137">
        <v>1</v>
      </c>
      <c r="S23" s="138">
        <v>1</v>
      </c>
      <c r="T23" s="109">
        <v>2618.0000000000023</v>
      </c>
      <c r="U23" s="110">
        <v>2.6180000000000021</v>
      </c>
    </row>
    <row r="24" spans="1:23" x14ac:dyDescent="0.25">
      <c r="A24" s="28" t="s">
        <v>224</v>
      </c>
      <c r="B24" s="27">
        <v>11033</v>
      </c>
      <c r="C24" s="27">
        <v>0</v>
      </c>
      <c r="D24" s="6">
        <f t="shared" si="3"/>
        <v>0</v>
      </c>
      <c r="F24" s="111" t="s">
        <v>133</v>
      </c>
      <c r="G24" s="112" t="s">
        <v>134</v>
      </c>
      <c r="H24" s="112" t="s">
        <v>135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23" ht="30" x14ac:dyDescent="0.25">
      <c r="A25" s="28" t="s">
        <v>225</v>
      </c>
      <c r="B25" s="27">
        <v>1234</v>
      </c>
      <c r="C25" s="27">
        <v>0</v>
      </c>
      <c r="D25" s="6">
        <f t="shared" si="3"/>
        <v>0</v>
      </c>
      <c r="F25" s="118" t="s">
        <v>36</v>
      </c>
      <c r="G25" s="118" t="s">
        <v>80</v>
      </c>
      <c r="H25" s="139">
        <v>0.15</v>
      </c>
      <c r="I25" s="119">
        <v>901281</v>
      </c>
      <c r="J25" s="120" t="s">
        <v>136</v>
      </c>
      <c r="K25" s="121">
        <v>17.024999999999999</v>
      </c>
      <c r="L25" s="120" t="s">
        <v>137</v>
      </c>
      <c r="M25" s="120" t="s">
        <v>130</v>
      </c>
      <c r="N25" s="122">
        <v>15344309.024999999</v>
      </c>
      <c r="O25" s="123" t="s">
        <v>138</v>
      </c>
      <c r="P25" s="124">
        <v>93.4</v>
      </c>
      <c r="Q25" s="123" t="s">
        <v>139</v>
      </c>
      <c r="R25" s="125">
        <v>0.98</v>
      </c>
      <c r="S25" s="126">
        <v>1</v>
      </c>
      <c r="T25" s="127">
        <v>1404495293.6762998</v>
      </c>
      <c r="U25" s="127">
        <v>1404495.2936762997</v>
      </c>
    </row>
    <row r="26" spans="1:23" ht="25.5" x14ac:dyDescent="0.25">
      <c r="A26" s="28" t="s">
        <v>149</v>
      </c>
      <c r="B26" s="27">
        <v>300380</v>
      </c>
      <c r="C26" s="27">
        <v>0</v>
      </c>
      <c r="D26" s="6">
        <f t="shared" si="3"/>
        <v>0</v>
      </c>
      <c r="F26" s="118" t="s">
        <v>36</v>
      </c>
      <c r="G26" s="118" t="s">
        <v>140</v>
      </c>
      <c r="H26" s="128">
        <v>0.15</v>
      </c>
      <c r="I26" s="119">
        <v>2270</v>
      </c>
      <c r="J26" s="120" t="s">
        <v>141</v>
      </c>
      <c r="K26" s="124">
        <v>5.88</v>
      </c>
      <c r="L26" s="129" t="s">
        <v>142</v>
      </c>
      <c r="M26" s="120" t="s">
        <v>130</v>
      </c>
      <c r="N26" s="122">
        <v>13347.6</v>
      </c>
      <c r="O26" s="123" t="s">
        <v>138</v>
      </c>
      <c r="P26" s="124">
        <v>73.959999999999994</v>
      </c>
      <c r="Q26" s="123" t="s">
        <v>139</v>
      </c>
      <c r="R26" s="125">
        <v>0.99</v>
      </c>
      <c r="S26" s="126">
        <v>1</v>
      </c>
      <c r="T26" s="127">
        <v>977316.61103999987</v>
      </c>
      <c r="U26" s="127">
        <v>977.31661103999988</v>
      </c>
    </row>
    <row r="27" spans="1:23" x14ac:dyDescent="0.25">
      <c r="A27" s="28" t="s">
        <v>226</v>
      </c>
      <c r="B27" s="27">
        <v>48</v>
      </c>
      <c r="C27" s="27">
        <v>0</v>
      </c>
      <c r="D27" s="6">
        <f t="shared" si="3"/>
        <v>0</v>
      </c>
      <c r="F27" s="118" t="s">
        <v>143</v>
      </c>
      <c r="G27" s="118" t="s">
        <v>82</v>
      </c>
      <c r="H27" s="128">
        <v>1</v>
      </c>
      <c r="I27" s="124">
        <v>818.33399999999995</v>
      </c>
      <c r="J27" s="120" t="s">
        <v>144</v>
      </c>
      <c r="K27" s="130">
        <v>1026</v>
      </c>
      <c r="L27" s="120" t="s">
        <v>145</v>
      </c>
      <c r="M27" s="120" t="s">
        <v>130</v>
      </c>
      <c r="N27" s="122">
        <v>839610.68399999989</v>
      </c>
      <c r="O27" s="123" t="s">
        <v>138</v>
      </c>
      <c r="P27" s="124">
        <v>53.06</v>
      </c>
      <c r="Q27" s="123" t="s">
        <v>139</v>
      </c>
      <c r="R27" s="125">
        <v>0.995</v>
      </c>
      <c r="S27" s="126">
        <v>1</v>
      </c>
      <c r="T27" s="127">
        <v>44326994.178574793</v>
      </c>
      <c r="U27" s="127">
        <v>44326.994178574794</v>
      </c>
    </row>
    <row r="28" spans="1:23" x14ac:dyDescent="0.25">
      <c r="A28" s="28" t="s">
        <v>231</v>
      </c>
      <c r="B28" s="27">
        <v>137984</v>
      </c>
      <c r="C28" s="27">
        <v>0</v>
      </c>
      <c r="D28" s="6">
        <f t="shared" si="3"/>
        <v>0</v>
      </c>
      <c r="F28" s="118" t="s">
        <v>146</v>
      </c>
      <c r="G28" s="118" t="s">
        <v>82</v>
      </c>
      <c r="H28" s="128">
        <v>1</v>
      </c>
      <c r="I28" s="124">
        <v>4.9569999999999999</v>
      </c>
      <c r="J28" s="120" t="s">
        <v>144</v>
      </c>
      <c r="K28" s="130">
        <v>1026</v>
      </c>
      <c r="L28" s="120" t="s">
        <v>145</v>
      </c>
      <c r="M28" s="120" t="s">
        <v>130</v>
      </c>
      <c r="N28" s="122">
        <v>5085.8819999999996</v>
      </c>
      <c r="O28" s="123" t="s">
        <v>138</v>
      </c>
      <c r="P28" s="124">
        <v>53.06</v>
      </c>
      <c r="Q28" s="123" t="s">
        <v>139</v>
      </c>
      <c r="R28" s="125">
        <v>0.995</v>
      </c>
      <c r="S28" s="126">
        <v>1</v>
      </c>
      <c r="T28" s="127">
        <v>268507.61442539998</v>
      </c>
      <c r="U28" s="127">
        <v>268.50761442539999</v>
      </c>
    </row>
    <row r="29" spans="1:23" ht="29.25" customHeight="1" x14ac:dyDescent="0.25">
      <c r="A29" s="158" t="s">
        <v>232</v>
      </c>
      <c r="B29" s="27">
        <v>20969</v>
      </c>
      <c r="C29" s="27">
        <v>0</v>
      </c>
      <c r="D29" s="6">
        <f t="shared" si="3"/>
        <v>0</v>
      </c>
      <c r="F29" s="118" t="s">
        <v>39</v>
      </c>
      <c r="G29" s="118" t="s">
        <v>82</v>
      </c>
      <c r="H29" s="128">
        <v>1</v>
      </c>
      <c r="I29" s="124">
        <v>243.798</v>
      </c>
      <c r="J29" s="120" t="s">
        <v>144</v>
      </c>
      <c r="K29" s="130">
        <v>1026</v>
      </c>
      <c r="L29" s="120" t="s">
        <v>145</v>
      </c>
      <c r="M29" s="120" t="s">
        <v>130</v>
      </c>
      <c r="N29" s="122">
        <v>250136.74799999999</v>
      </c>
      <c r="O29" s="123" t="s">
        <v>138</v>
      </c>
      <c r="P29" s="124">
        <v>53.06</v>
      </c>
      <c r="Q29" s="123" t="s">
        <v>139</v>
      </c>
      <c r="R29" s="125">
        <v>0.995</v>
      </c>
      <c r="S29" s="126">
        <v>1</v>
      </c>
      <c r="T29" s="127">
        <v>13205894.5696356</v>
      </c>
      <c r="U29" s="127">
        <v>13205.8945696356</v>
      </c>
    </row>
    <row r="30" spans="1:23" ht="27" customHeight="1" x14ac:dyDescent="0.25">
      <c r="A30" s="158" t="s">
        <v>233</v>
      </c>
      <c r="B30" s="27">
        <v>65304</v>
      </c>
      <c r="C30" s="27">
        <v>0</v>
      </c>
      <c r="D30" s="6">
        <f t="shared" si="3"/>
        <v>0</v>
      </c>
      <c r="F30" s="118" t="s">
        <v>40</v>
      </c>
      <c r="G30" s="118" t="s">
        <v>82</v>
      </c>
      <c r="H30" s="128">
        <v>1</v>
      </c>
      <c r="I30" s="124">
        <v>11149.41</v>
      </c>
      <c r="J30" s="120" t="s">
        <v>144</v>
      </c>
      <c r="K30" s="130">
        <v>1026</v>
      </c>
      <c r="L30" s="120" t="s">
        <v>145</v>
      </c>
      <c r="M30" s="120" t="s">
        <v>130</v>
      </c>
      <c r="N30" s="122">
        <v>11439294.66</v>
      </c>
      <c r="O30" s="123" t="s">
        <v>138</v>
      </c>
      <c r="P30" s="124">
        <v>53.06</v>
      </c>
      <c r="Q30" s="123" t="s">
        <v>139</v>
      </c>
      <c r="R30" s="125">
        <v>0.995</v>
      </c>
      <c r="S30" s="126">
        <v>1</v>
      </c>
      <c r="T30" s="127">
        <v>603934129.78630197</v>
      </c>
      <c r="U30" s="127">
        <v>603934.12978630199</v>
      </c>
    </row>
    <row r="31" spans="1:23" x14ac:dyDescent="0.25">
      <c r="A31" s="28" t="s">
        <v>227</v>
      </c>
      <c r="B31" s="27">
        <v>8031</v>
      </c>
      <c r="C31" s="27">
        <v>0</v>
      </c>
      <c r="D31" s="6">
        <f t="shared" si="3"/>
        <v>0</v>
      </c>
      <c r="F31" s="118" t="s">
        <v>41</v>
      </c>
      <c r="G31" s="118" t="s">
        <v>82</v>
      </c>
      <c r="H31" s="128">
        <v>1</v>
      </c>
      <c r="I31" s="124">
        <v>57.54</v>
      </c>
      <c r="J31" s="120" t="s">
        <v>144</v>
      </c>
      <c r="K31" s="130">
        <v>1026</v>
      </c>
      <c r="L31" s="120" t="s">
        <v>145</v>
      </c>
      <c r="M31" s="120" t="s">
        <v>130</v>
      </c>
      <c r="N31" s="122">
        <v>59036.04</v>
      </c>
      <c r="O31" s="123" t="s">
        <v>138</v>
      </c>
      <c r="P31" s="124">
        <v>53.06</v>
      </c>
      <c r="Q31" s="123" t="s">
        <v>139</v>
      </c>
      <c r="R31" s="125">
        <v>0.995</v>
      </c>
      <c r="S31" s="126">
        <v>1</v>
      </c>
      <c r="T31" s="127">
        <v>3116790.0209880006</v>
      </c>
      <c r="U31" s="127">
        <v>3116.7900209880004</v>
      </c>
    </row>
    <row r="32" spans="1:23" x14ac:dyDescent="0.25">
      <c r="A32" s="28" t="s">
        <v>228</v>
      </c>
      <c r="B32" s="27">
        <v>47072</v>
      </c>
      <c r="C32" s="27">
        <v>0</v>
      </c>
      <c r="D32" s="6">
        <f t="shared" si="3"/>
        <v>0</v>
      </c>
      <c r="F32" s="118" t="s">
        <v>212</v>
      </c>
      <c r="G32" s="131" t="s">
        <v>82</v>
      </c>
      <c r="H32" s="128">
        <v>1</v>
      </c>
      <c r="I32" s="124">
        <v>9.16</v>
      </c>
      <c r="J32" s="120" t="s">
        <v>144</v>
      </c>
      <c r="K32" s="119">
        <v>1026</v>
      </c>
      <c r="L32" s="120" t="s">
        <v>145</v>
      </c>
      <c r="M32" s="120" t="s">
        <v>130</v>
      </c>
      <c r="N32" s="122">
        <v>9398.16</v>
      </c>
      <c r="O32" s="123" t="s">
        <v>138</v>
      </c>
      <c r="P32" s="119">
        <v>53.06</v>
      </c>
      <c r="Q32" s="123" t="s">
        <v>139</v>
      </c>
      <c r="R32" s="132">
        <v>0.995</v>
      </c>
      <c r="S32" s="126">
        <v>1</v>
      </c>
      <c r="T32" s="127">
        <v>496173.03775200003</v>
      </c>
      <c r="U32" s="127">
        <v>496.17303775200003</v>
      </c>
    </row>
    <row r="33" spans="1:21" x14ac:dyDescent="0.25">
      <c r="A33" s="28" t="s">
        <v>229</v>
      </c>
      <c r="B33" s="27">
        <v>1201</v>
      </c>
      <c r="C33" s="27"/>
      <c r="D33" s="6">
        <f t="shared" si="3"/>
        <v>0</v>
      </c>
      <c r="F33" s="133"/>
      <c r="G33" s="134"/>
      <c r="H33" s="128">
        <v>1</v>
      </c>
      <c r="I33" s="124"/>
      <c r="J33" s="120"/>
      <c r="K33" s="130" t="s">
        <v>213</v>
      </c>
      <c r="L33" s="120" t="s">
        <v>213</v>
      </c>
      <c r="M33" s="120" t="s">
        <v>213</v>
      </c>
      <c r="N33" s="122" t="s">
        <v>213</v>
      </c>
      <c r="O33" s="123" t="s">
        <v>213</v>
      </c>
      <c r="P33" s="124" t="s">
        <v>213</v>
      </c>
      <c r="Q33" s="123" t="s">
        <v>213</v>
      </c>
      <c r="R33" s="125" t="s">
        <v>213</v>
      </c>
      <c r="S33" s="126" t="s">
        <v>213</v>
      </c>
      <c r="T33" s="127" t="s">
        <v>213</v>
      </c>
      <c r="U33" s="127" t="s">
        <v>213</v>
      </c>
    </row>
    <row r="34" spans="1:21" x14ac:dyDescent="0.25">
      <c r="A34" s="28" t="s">
        <v>197</v>
      </c>
      <c r="B34" s="27">
        <v>33832</v>
      </c>
      <c r="C34" s="27"/>
      <c r="D34" s="6">
        <f t="shared" si="3"/>
        <v>0</v>
      </c>
      <c r="F34" s="133" t="s">
        <v>147</v>
      </c>
      <c r="G34" s="134" t="s">
        <v>82</v>
      </c>
      <c r="H34" s="128">
        <v>1</v>
      </c>
      <c r="I34" s="124"/>
      <c r="J34" s="120" t="s">
        <v>144</v>
      </c>
      <c r="K34" s="130">
        <v>1026</v>
      </c>
      <c r="L34" s="120" t="s">
        <v>145</v>
      </c>
      <c r="M34" s="120" t="s">
        <v>130</v>
      </c>
      <c r="N34" s="122">
        <v>0</v>
      </c>
      <c r="O34" s="123" t="s">
        <v>138</v>
      </c>
      <c r="P34" s="124">
        <v>53.06</v>
      </c>
      <c r="Q34" s="123" t="s">
        <v>139</v>
      </c>
      <c r="R34" s="125">
        <v>0.995</v>
      </c>
      <c r="S34" s="126">
        <v>1</v>
      </c>
      <c r="T34" s="127">
        <v>0</v>
      </c>
      <c r="U34" s="127">
        <v>0</v>
      </c>
    </row>
    <row r="35" spans="1:21" x14ac:dyDescent="0.25">
      <c r="A35" s="28" t="s">
        <v>234</v>
      </c>
      <c r="B35" s="27">
        <v>486</v>
      </c>
      <c r="C35" s="27"/>
      <c r="D35" s="6">
        <f t="shared" si="3"/>
        <v>0</v>
      </c>
    </row>
    <row r="36" spans="1:21" x14ac:dyDescent="0.25">
      <c r="A36" s="28" t="s">
        <v>235</v>
      </c>
      <c r="B36" s="27">
        <v>20</v>
      </c>
      <c r="C36" s="27"/>
      <c r="D36" s="6">
        <f t="shared" si="3"/>
        <v>0</v>
      </c>
    </row>
    <row r="37" spans="1:21" x14ac:dyDescent="0.25">
      <c r="A37" s="28"/>
      <c r="B37" s="27"/>
      <c r="C37" s="27"/>
      <c r="D37" s="6">
        <f t="shared" si="3"/>
        <v>0</v>
      </c>
      <c r="F37" s="71"/>
      <c r="G37" s="71"/>
      <c r="H37" s="72"/>
      <c r="I37" s="142"/>
      <c r="J37" s="142"/>
      <c r="K37" s="73"/>
      <c r="L37" s="141"/>
    </row>
    <row r="38" spans="1:21" x14ac:dyDescent="0.25">
      <c r="A38" s="28"/>
      <c r="B38" s="27"/>
      <c r="C38" s="27"/>
      <c r="D38" s="6">
        <f t="shared" si="3"/>
        <v>0</v>
      </c>
      <c r="F38" s="71"/>
      <c r="G38" s="71"/>
      <c r="H38" s="72"/>
      <c r="I38" s="142"/>
      <c r="J38" s="142"/>
      <c r="K38" s="73"/>
    </row>
    <row r="39" spans="1:21" x14ac:dyDescent="0.25">
      <c r="A39" s="28"/>
      <c r="B39" s="27"/>
      <c r="C39" s="27"/>
      <c r="D39" s="6">
        <f t="shared" si="3"/>
        <v>0</v>
      </c>
      <c r="F39" s="71"/>
      <c r="G39" s="71"/>
      <c r="H39" s="72"/>
      <c r="I39" s="142"/>
      <c r="J39" s="142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2"/>
      <c r="J40" s="142"/>
      <c r="K40" s="73"/>
    </row>
    <row r="41" spans="1:21" ht="16.5" thickTop="1" thickBot="1" x14ac:dyDescent="0.3">
      <c r="A41" s="1"/>
      <c r="B41" s="10">
        <f>SUM(B4:B40)</f>
        <v>10454409.7905</v>
      </c>
      <c r="C41" s="136">
        <f>(D41*2000)/B41</f>
        <v>562.00737729518585</v>
      </c>
      <c r="D41" s="10">
        <f>SUM(D4:D40)</f>
        <v>2937727.7137640091</v>
      </c>
    </row>
    <row r="45" spans="1:21" x14ac:dyDescent="0.25">
      <c r="A45" s="71"/>
      <c r="B45" s="71"/>
      <c r="C45" s="72"/>
      <c r="D45" s="73"/>
    </row>
    <row r="46" spans="1:21" x14ac:dyDescent="0.25">
      <c r="A46" s="71"/>
      <c r="B46" s="71"/>
      <c r="C46" s="72"/>
      <c r="D46" s="7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H5" sqref="H5:I5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7" max="8" width="16" bestFit="1" customWidth="1"/>
  </cols>
  <sheetData>
    <row r="1" spans="1:10" s="151" customFormat="1" ht="15" customHeight="1" thickBot="1" x14ac:dyDescent="0.3">
      <c r="A1" s="146" t="s">
        <v>199</v>
      </c>
      <c r="B1" s="147">
        <v>2017</v>
      </c>
      <c r="G1" s="165"/>
      <c r="H1" s="165"/>
      <c r="I1" s="165"/>
      <c r="J1" s="165"/>
    </row>
    <row r="2" spans="1:10" s="151" customFormat="1" ht="15" customHeight="1" x14ac:dyDescent="0.35">
      <c r="A2" s="140"/>
      <c r="B2" s="166" t="s">
        <v>200</v>
      </c>
      <c r="C2" s="166"/>
      <c r="D2" s="166"/>
      <c r="E2" s="167"/>
      <c r="F2" s="33">
        <v>767</v>
      </c>
      <c r="G2" s="151" t="s">
        <v>201</v>
      </c>
      <c r="H2" s="148"/>
      <c r="I2" s="148"/>
      <c r="J2" s="148"/>
    </row>
    <row r="3" spans="1:10" s="151" customFormat="1" ht="15" customHeight="1" x14ac:dyDescent="0.35">
      <c r="E3" s="151" t="s">
        <v>202</v>
      </c>
      <c r="F3" s="143">
        <f>'Known Resources'!C41</f>
        <v>562.00737729518585</v>
      </c>
      <c r="G3" s="151" t="s">
        <v>201</v>
      </c>
    </row>
    <row r="4" spans="1:10" ht="49.5" customHeight="1" x14ac:dyDescent="0.25">
      <c r="A4" s="144" t="s">
        <v>170</v>
      </c>
      <c r="B4" s="144" t="s">
        <v>171</v>
      </c>
      <c r="D4" s="144" t="s">
        <v>170</v>
      </c>
      <c r="E4" s="144" t="s">
        <v>172</v>
      </c>
      <c r="F4" s="144" t="s">
        <v>203</v>
      </c>
      <c r="G4" s="145" t="s">
        <v>204</v>
      </c>
    </row>
    <row r="5" spans="1:10" ht="15" customHeight="1" x14ac:dyDescent="0.25">
      <c r="A5" s="149" t="s">
        <v>173</v>
      </c>
      <c r="B5" s="150">
        <v>102835</v>
      </c>
      <c r="D5" s="152" t="s">
        <v>173</v>
      </c>
      <c r="E5" s="153">
        <v>313261</v>
      </c>
      <c r="F5" s="154">
        <f>B5-E5</f>
        <v>-210426</v>
      </c>
      <c r="G5" s="156">
        <f>IF(F5&gt;0,F5*$F$2,F5*$F$3)</f>
        <v>-118260964.37471677</v>
      </c>
      <c r="H5" s="143"/>
      <c r="I5" s="151"/>
    </row>
    <row r="6" spans="1:10" ht="15" customHeight="1" x14ac:dyDescent="0.25">
      <c r="A6" s="149" t="s">
        <v>50</v>
      </c>
      <c r="B6" s="150">
        <v>600</v>
      </c>
      <c r="D6" s="152"/>
      <c r="E6" s="153"/>
      <c r="F6" s="154">
        <f t="shared" ref="F6:F61" si="0">B6-E6</f>
        <v>600</v>
      </c>
      <c r="G6" s="156">
        <f t="shared" ref="G6:G61" si="1">IF(F6&gt;0,F6*$F$2,F6*$F$3)</f>
        <v>460200</v>
      </c>
    </row>
    <row r="7" spans="1:10" ht="15" customHeight="1" x14ac:dyDescent="0.25">
      <c r="A7" s="149" t="s">
        <v>174</v>
      </c>
      <c r="B7" s="150">
        <v>1429214</v>
      </c>
      <c r="D7" s="152" t="s">
        <v>174</v>
      </c>
      <c r="E7" s="153">
        <v>87761</v>
      </c>
      <c r="F7" s="154">
        <f t="shared" si="0"/>
        <v>1341453</v>
      </c>
      <c r="G7" s="156">
        <f t="shared" si="1"/>
        <v>1028894451</v>
      </c>
    </row>
    <row r="8" spans="1:10" ht="15" customHeight="1" x14ac:dyDescent="0.25">
      <c r="A8" s="149" t="s">
        <v>51</v>
      </c>
      <c r="B8" s="150">
        <v>544</v>
      </c>
      <c r="C8" s="154"/>
      <c r="D8" s="152" t="s">
        <v>51</v>
      </c>
      <c r="E8" s="153">
        <v>442</v>
      </c>
      <c r="F8" s="154">
        <f t="shared" si="0"/>
        <v>102</v>
      </c>
      <c r="G8" s="156">
        <f t="shared" si="1"/>
        <v>78234</v>
      </c>
    </row>
    <row r="9" spans="1:10" ht="15" customHeight="1" x14ac:dyDescent="0.25">
      <c r="A9" s="149"/>
      <c r="B9" s="150"/>
      <c r="D9" s="152" t="s">
        <v>214</v>
      </c>
      <c r="E9" s="153">
        <v>10</v>
      </c>
      <c r="F9" s="154">
        <f t="shared" si="0"/>
        <v>-10</v>
      </c>
      <c r="G9" s="156">
        <f t="shared" si="1"/>
        <v>-5620.0737729518587</v>
      </c>
    </row>
    <row r="10" spans="1:10" ht="15" customHeight="1" x14ac:dyDescent="0.25">
      <c r="A10" s="149" t="s">
        <v>177</v>
      </c>
      <c r="B10" s="150">
        <v>1400</v>
      </c>
      <c r="D10" s="152" t="s">
        <v>175</v>
      </c>
      <c r="E10" s="153">
        <v>2361</v>
      </c>
      <c r="F10" s="154">
        <f t="shared" si="0"/>
        <v>-961</v>
      </c>
      <c r="G10" s="156">
        <f t="shared" si="1"/>
        <v>-540089.08958067361</v>
      </c>
    </row>
    <row r="11" spans="1:10" ht="15" customHeight="1" x14ac:dyDescent="0.25">
      <c r="A11" s="149" t="s">
        <v>176</v>
      </c>
      <c r="B11" s="150">
        <v>10097</v>
      </c>
      <c r="D11" s="152" t="s">
        <v>176</v>
      </c>
      <c r="E11" s="153">
        <v>151559</v>
      </c>
      <c r="F11" s="154">
        <f t="shared" si="0"/>
        <v>-141462</v>
      </c>
      <c r="G11" s="156">
        <f t="shared" si="1"/>
        <v>-79502687.606931582</v>
      </c>
    </row>
    <row r="12" spans="1:10" ht="15" customHeight="1" x14ac:dyDescent="0.25">
      <c r="A12" s="149" t="s">
        <v>205</v>
      </c>
      <c r="B12" s="150">
        <v>23683</v>
      </c>
      <c r="D12" s="152" t="s">
        <v>205</v>
      </c>
      <c r="E12" s="153">
        <v>36332</v>
      </c>
      <c r="F12" s="154">
        <f t="shared" si="0"/>
        <v>-12649</v>
      </c>
      <c r="G12" s="156">
        <f t="shared" si="1"/>
        <v>-7108831.3154068058</v>
      </c>
    </row>
    <row r="13" spans="1:10" ht="15" customHeight="1" x14ac:dyDescent="0.25">
      <c r="A13" s="149" t="s">
        <v>178</v>
      </c>
      <c r="B13" s="150">
        <v>2200</v>
      </c>
      <c r="D13" s="152" t="s">
        <v>178</v>
      </c>
      <c r="E13" s="153">
        <v>4800</v>
      </c>
      <c r="F13" s="154">
        <f t="shared" si="0"/>
        <v>-2600</v>
      </c>
      <c r="G13" s="156">
        <f t="shared" si="1"/>
        <v>-1461219.1809674832</v>
      </c>
    </row>
    <row r="14" spans="1:10" ht="15" customHeight="1" x14ac:dyDescent="0.25">
      <c r="A14" s="149" t="s">
        <v>179</v>
      </c>
      <c r="B14" s="150">
        <v>-20228</v>
      </c>
      <c r="D14" s="152" t="s">
        <v>179</v>
      </c>
      <c r="E14" s="153">
        <v>39205</v>
      </c>
      <c r="F14" s="154">
        <f t="shared" si="0"/>
        <v>-59433</v>
      </c>
      <c r="G14" s="156">
        <f t="shared" si="1"/>
        <v>-33401784.454784781</v>
      </c>
    </row>
    <row r="15" spans="1:10" ht="15" customHeight="1" x14ac:dyDescent="0.25">
      <c r="A15" s="149" t="s">
        <v>52</v>
      </c>
      <c r="B15" s="150">
        <v>23184</v>
      </c>
      <c r="D15" s="152" t="s">
        <v>52</v>
      </c>
      <c r="E15" s="153">
        <v>110784</v>
      </c>
      <c r="F15" s="154">
        <f t="shared" si="0"/>
        <v>-87600</v>
      </c>
      <c r="G15" s="156">
        <f t="shared" si="1"/>
        <v>-49231846.25105828</v>
      </c>
    </row>
    <row r="16" spans="1:10" ht="15" customHeight="1" x14ac:dyDescent="0.25">
      <c r="A16" s="149" t="s">
        <v>53</v>
      </c>
      <c r="B16" s="150">
        <v>5381</v>
      </c>
      <c r="D16" s="152" t="s">
        <v>53</v>
      </c>
      <c r="E16" s="153">
        <v>2275</v>
      </c>
      <c r="F16" s="154">
        <f t="shared" si="0"/>
        <v>3106</v>
      </c>
      <c r="G16" s="156">
        <f t="shared" si="1"/>
        <v>2382302</v>
      </c>
    </row>
    <row r="17" spans="1:7" ht="15" customHeight="1" x14ac:dyDescent="0.25">
      <c r="A17" s="149" t="s">
        <v>54</v>
      </c>
      <c r="B17" s="150">
        <v>773</v>
      </c>
      <c r="D17" s="152" t="s">
        <v>54</v>
      </c>
      <c r="E17" s="153">
        <v>2156</v>
      </c>
      <c r="F17" s="154">
        <f t="shared" si="0"/>
        <v>-1383</v>
      </c>
      <c r="G17" s="156">
        <f t="shared" si="1"/>
        <v>-777256.20279924199</v>
      </c>
    </row>
    <row r="18" spans="1:7" ht="15" customHeight="1" x14ac:dyDescent="0.25">
      <c r="A18" s="149" t="s">
        <v>206</v>
      </c>
      <c r="B18" s="150">
        <v>2000</v>
      </c>
      <c r="C18" s="154"/>
      <c r="D18" s="152" t="s">
        <v>206</v>
      </c>
      <c r="E18" s="153">
        <v>6000</v>
      </c>
      <c r="F18" s="154">
        <f t="shared" si="0"/>
        <v>-4000</v>
      </c>
      <c r="G18" s="156">
        <f t="shared" si="1"/>
        <v>-2248029.5091807432</v>
      </c>
    </row>
    <row r="19" spans="1:7" ht="15" customHeight="1" x14ac:dyDescent="0.25">
      <c r="A19" s="149"/>
      <c r="B19" s="150"/>
      <c r="D19" s="152" t="s">
        <v>215</v>
      </c>
      <c r="E19" s="153">
        <v>461430</v>
      </c>
      <c r="F19" s="154">
        <f t="shared" si="0"/>
        <v>-461430</v>
      </c>
      <c r="G19" s="156">
        <f t="shared" si="1"/>
        <v>-259327064.10531759</v>
      </c>
    </row>
    <row r="20" spans="1:7" ht="15" customHeight="1" x14ac:dyDescent="0.25">
      <c r="A20" s="149" t="s">
        <v>55</v>
      </c>
      <c r="B20" s="150">
        <v>13400</v>
      </c>
      <c r="D20" s="152" t="s">
        <v>180</v>
      </c>
      <c r="E20" s="153">
        <v>73977</v>
      </c>
      <c r="F20" s="154">
        <f t="shared" si="0"/>
        <v>-60577</v>
      </c>
      <c r="G20" s="156">
        <f t="shared" si="1"/>
        <v>-34044720.894410476</v>
      </c>
    </row>
    <row r="21" spans="1:7" ht="15" customHeight="1" x14ac:dyDescent="0.25">
      <c r="A21" s="149" t="s">
        <v>181</v>
      </c>
      <c r="B21" s="150">
        <v>327</v>
      </c>
      <c r="D21" s="152" t="s">
        <v>181</v>
      </c>
      <c r="E21" s="153">
        <v>1010</v>
      </c>
      <c r="F21" s="154">
        <f t="shared" si="0"/>
        <v>-683</v>
      </c>
      <c r="G21" s="156">
        <f t="shared" si="1"/>
        <v>-383851.03869261191</v>
      </c>
    </row>
    <row r="22" spans="1:7" ht="15" customHeight="1" x14ac:dyDescent="0.25">
      <c r="A22" s="149" t="s">
        <v>56</v>
      </c>
      <c r="B22" s="150">
        <v>21114</v>
      </c>
      <c r="D22" s="152" t="s">
        <v>56</v>
      </c>
      <c r="E22" s="153">
        <v>24357</v>
      </c>
      <c r="F22" s="154">
        <f t="shared" si="0"/>
        <v>-3243</v>
      </c>
      <c r="G22" s="156">
        <f t="shared" si="1"/>
        <v>-1822589.9245682878</v>
      </c>
    </row>
    <row r="23" spans="1:7" ht="15" customHeight="1" x14ac:dyDescent="0.25">
      <c r="A23" s="149" t="s">
        <v>182</v>
      </c>
      <c r="B23" s="150">
        <v>3935</v>
      </c>
      <c r="D23" s="152" t="s">
        <v>182</v>
      </c>
      <c r="E23" s="153">
        <v>24299</v>
      </c>
      <c r="F23" s="154">
        <f t="shared" si="0"/>
        <v>-20364</v>
      </c>
      <c r="G23" s="156">
        <f t="shared" si="1"/>
        <v>-11444718.231239164</v>
      </c>
    </row>
    <row r="24" spans="1:7" ht="15" customHeight="1" x14ac:dyDescent="0.25">
      <c r="A24" s="149" t="s">
        <v>57</v>
      </c>
      <c r="B24" s="150">
        <v>40208</v>
      </c>
      <c r="D24" s="152" t="s">
        <v>57</v>
      </c>
      <c r="E24" s="153">
        <v>23621</v>
      </c>
      <c r="F24" s="154">
        <f t="shared" si="0"/>
        <v>16587</v>
      </c>
      <c r="G24" s="156">
        <f t="shared" si="1"/>
        <v>12722229</v>
      </c>
    </row>
    <row r="25" spans="1:7" ht="15" customHeight="1" x14ac:dyDescent="0.25">
      <c r="A25" s="149" t="s">
        <v>58</v>
      </c>
      <c r="B25" s="150">
        <v>24</v>
      </c>
      <c r="D25" s="152" t="s">
        <v>58</v>
      </c>
      <c r="E25" s="153">
        <v>19</v>
      </c>
      <c r="F25" s="154">
        <f t="shared" si="0"/>
        <v>5</v>
      </c>
      <c r="G25" s="156">
        <f t="shared" si="1"/>
        <v>3835</v>
      </c>
    </row>
    <row r="26" spans="1:7" ht="15" customHeight="1" x14ac:dyDescent="0.25">
      <c r="A26" s="149" t="s">
        <v>183</v>
      </c>
      <c r="B26" s="150">
        <v>10</v>
      </c>
      <c r="D26" s="152" t="s">
        <v>183</v>
      </c>
      <c r="E26" s="153">
        <v>134</v>
      </c>
      <c r="F26" s="154">
        <f t="shared" si="0"/>
        <v>-124</v>
      </c>
      <c r="G26" s="156">
        <f t="shared" si="1"/>
        <v>-69688.914784603039</v>
      </c>
    </row>
    <row r="27" spans="1:7" ht="15" customHeight="1" x14ac:dyDescent="0.25">
      <c r="A27" s="149" t="s">
        <v>59</v>
      </c>
      <c r="B27" s="150">
        <v>2859</v>
      </c>
      <c r="F27" s="154">
        <f t="shared" si="0"/>
        <v>2859</v>
      </c>
      <c r="G27" s="156">
        <f t="shared" si="1"/>
        <v>2192853</v>
      </c>
    </row>
    <row r="28" spans="1:7" ht="15" customHeight="1" x14ac:dyDescent="0.25">
      <c r="A28" s="149" t="s">
        <v>60</v>
      </c>
      <c r="B28" s="150">
        <v>277625</v>
      </c>
      <c r="D28" s="152" t="s">
        <v>60</v>
      </c>
      <c r="E28" s="153">
        <v>42064</v>
      </c>
      <c r="F28" s="154">
        <f t="shared" si="0"/>
        <v>235561</v>
      </c>
      <c r="G28" s="156">
        <f t="shared" si="1"/>
        <v>180675287</v>
      </c>
    </row>
    <row r="29" spans="1:7" ht="15" customHeight="1" x14ac:dyDescent="0.25">
      <c r="A29" s="149" t="s">
        <v>184</v>
      </c>
      <c r="B29" s="150">
        <v>118</v>
      </c>
      <c r="F29" s="154">
        <f t="shared" si="0"/>
        <v>118</v>
      </c>
      <c r="G29" s="156">
        <f t="shared" si="1"/>
        <v>90506</v>
      </c>
    </row>
    <row r="30" spans="1:7" ht="15" customHeight="1" x14ac:dyDescent="0.25">
      <c r="A30" s="149" t="s">
        <v>61</v>
      </c>
      <c r="B30" s="150">
        <v>1540</v>
      </c>
      <c r="D30" s="152" t="s">
        <v>61</v>
      </c>
      <c r="E30" s="153">
        <v>1483</v>
      </c>
      <c r="F30" s="154">
        <f t="shared" si="0"/>
        <v>57</v>
      </c>
      <c r="G30" s="156">
        <f t="shared" si="1"/>
        <v>43719</v>
      </c>
    </row>
    <row r="31" spans="1:7" ht="15" customHeight="1" x14ac:dyDescent="0.25">
      <c r="A31" s="149" t="s">
        <v>62</v>
      </c>
      <c r="B31" s="150">
        <v>37975</v>
      </c>
      <c r="D31" s="152" t="s">
        <v>62</v>
      </c>
      <c r="E31" s="153">
        <v>53971</v>
      </c>
      <c r="F31" s="154">
        <f t="shared" si="0"/>
        <v>-15996</v>
      </c>
      <c r="G31" s="156">
        <f t="shared" si="1"/>
        <v>-8989870.0072137937</v>
      </c>
    </row>
    <row r="32" spans="1:7" ht="15" customHeight="1" x14ac:dyDescent="0.25">
      <c r="A32" s="149" t="s">
        <v>63</v>
      </c>
      <c r="B32" s="150">
        <v>54422</v>
      </c>
      <c r="D32" s="152" t="s">
        <v>63</v>
      </c>
      <c r="E32" s="153">
        <v>103557</v>
      </c>
      <c r="F32" s="154">
        <f t="shared" si="0"/>
        <v>-49135</v>
      </c>
      <c r="G32" s="156">
        <f t="shared" si="1"/>
        <v>-27614232.483398955</v>
      </c>
    </row>
    <row r="33" spans="1:7" ht="15" customHeight="1" x14ac:dyDescent="0.25">
      <c r="A33" s="149" t="s">
        <v>207</v>
      </c>
      <c r="B33" s="150">
        <v>2</v>
      </c>
      <c r="D33" s="152" t="s">
        <v>185</v>
      </c>
      <c r="E33" s="153">
        <v>9771</v>
      </c>
      <c r="F33" s="154">
        <f t="shared" si="0"/>
        <v>-9769</v>
      </c>
      <c r="G33" s="156">
        <f t="shared" si="1"/>
        <v>-5490250.068796671</v>
      </c>
    </row>
    <row r="34" spans="1:7" ht="15" customHeight="1" x14ac:dyDescent="0.25">
      <c r="A34" s="149" t="s">
        <v>64</v>
      </c>
      <c r="B34" s="150">
        <v>4635</v>
      </c>
      <c r="F34" s="154">
        <f t="shared" si="0"/>
        <v>4635</v>
      </c>
      <c r="G34" s="156">
        <f t="shared" si="1"/>
        <v>3555045</v>
      </c>
    </row>
    <row r="35" spans="1:7" ht="15" customHeight="1" x14ac:dyDescent="0.25">
      <c r="A35" s="149" t="s">
        <v>186</v>
      </c>
      <c r="B35" s="150">
        <v>23960</v>
      </c>
      <c r="C35" s="154"/>
      <c r="D35" s="152" t="s">
        <v>186</v>
      </c>
      <c r="E35" s="153">
        <v>34442</v>
      </c>
      <c r="F35" s="154">
        <f t="shared" si="0"/>
        <v>-10482</v>
      </c>
      <c r="G35" s="156">
        <f t="shared" si="1"/>
        <v>-5890961.3288081381</v>
      </c>
    </row>
    <row r="36" spans="1:7" ht="15" customHeight="1" x14ac:dyDescent="0.25">
      <c r="A36" s="149"/>
      <c r="B36" s="150"/>
      <c r="D36" s="152" t="s">
        <v>216</v>
      </c>
      <c r="E36" s="153">
        <v>55225</v>
      </c>
      <c r="F36" s="154">
        <f t="shared" si="0"/>
        <v>-55225</v>
      </c>
      <c r="G36" s="156">
        <f t="shared" si="1"/>
        <v>-31036857.41112664</v>
      </c>
    </row>
    <row r="37" spans="1:7" ht="15" customHeight="1" x14ac:dyDescent="0.25">
      <c r="A37" s="149" t="s">
        <v>65</v>
      </c>
      <c r="B37" s="150">
        <v>92213</v>
      </c>
      <c r="D37" s="152" t="s">
        <v>65</v>
      </c>
      <c r="E37" s="153">
        <v>212207</v>
      </c>
      <c r="F37" s="154">
        <f t="shared" si="0"/>
        <v>-119994</v>
      </c>
      <c r="G37" s="156">
        <f t="shared" si="1"/>
        <v>-67437513.231158525</v>
      </c>
    </row>
    <row r="38" spans="1:7" ht="15" customHeight="1" x14ac:dyDescent="0.25">
      <c r="A38" s="149" t="s">
        <v>187</v>
      </c>
      <c r="B38" s="150">
        <v>50215</v>
      </c>
      <c r="D38" s="152" t="s">
        <v>187</v>
      </c>
      <c r="E38" s="153">
        <v>123598</v>
      </c>
      <c r="F38" s="154">
        <f t="shared" si="0"/>
        <v>-73383</v>
      </c>
      <c r="G38" s="156">
        <f t="shared" si="1"/>
        <v>-41241787.368052624</v>
      </c>
    </row>
    <row r="39" spans="1:7" ht="15" customHeight="1" x14ac:dyDescent="0.25">
      <c r="A39" s="149" t="s">
        <v>66</v>
      </c>
      <c r="B39" s="150">
        <v>67485</v>
      </c>
      <c r="D39" s="152" t="s">
        <v>66</v>
      </c>
      <c r="E39" s="153">
        <v>127567</v>
      </c>
      <c r="F39" s="154">
        <f t="shared" si="0"/>
        <v>-60082</v>
      </c>
      <c r="G39" s="156">
        <f t="shared" si="1"/>
        <v>-33766527.242649354</v>
      </c>
    </row>
    <row r="40" spans="1:7" ht="15" customHeight="1" x14ac:dyDescent="0.25">
      <c r="D40" s="152" t="s">
        <v>188</v>
      </c>
      <c r="E40" s="153">
        <v>800</v>
      </c>
      <c r="F40" s="154">
        <f t="shared" si="0"/>
        <v>-800</v>
      </c>
      <c r="G40" s="156">
        <f t="shared" si="1"/>
        <v>-449605.9018361487</v>
      </c>
    </row>
    <row r="41" spans="1:7" ht="15" customHeight="1" x14ac:dyDescent="0.25">
      <c r="A41" s="149" t="s">
        <v>67</v>
      </c>
      <c r="B41" s="150">
        <v>54140</v>
      </c>
      <c r="D41" s="152" t="s">
        <v>67</v>
      </c>
      <c r="E41" s="153">
        <v>7290</v>
      </c>
      <c r="F41" s="154">
        <f t="shared" si="0"/>
        <v>46850</v>
      </c>
      <c r="G41" s="156">
        <f t="shared" si="1"/>
        <v>35933950</v>
      </c>
    </row>
    <row r="42" spans="1:7" ht="15" customHeight="1" x14ac:dyDescent="0.25">
      <c r="A42" s="149" t="s">
        <v>68</v>
      </c>
      <c r="B42" s="150">
        <v>13280</v>
      </c>
      <c r="D42" s="152" t="s">
        <v>68</v>
      </c>
      <c r="E42" s="153">
        <v>3240</v>
      </c>
      <c r="F42" s="154">
        <f t="shared" si="0"/>
        <v>10040</v>
      </c>
      <c r="G42" s="156">
        <f t="shared" si="1"/>
        <v>7700680</v>
      </c>
    </row>
    <row r="43" spans="1:7" ht="15" customHeight="1" x14ac:dyDescent="0.25">
      <c r="A43" s="149"/>
      <c r="B43" s="150"/>
      <c r="D43" s="152" t="s">
        <v>69</v>
      </c>
      <c r="E43" s="153">
        <v>289816</v>
      </c>
      <c r="F43" s="154">
        <f t="shared" si="0"/>
        <v>-289816</v>
      </c>
      <c r="G43" s="156">
        <f t="shared" si="1"/>
        <v>-162878730.05818158</v>
      </c>
    </row>
    <row r="44" spans="1:7" ht="15" customHeight="1" x14ac:dyDescent="0.25">
      <c r="A44" s="149" t="s">
        <v>70</v>
      </c>
      <c r="B44" s="150">
        <v>38788</v>
      </c>
      <c r="D44" s="152" t="s">
        <v>70</v>
      </c>
      <c r="E44" s="153">
        <v>28038</v>
      </c>
      <c r="F44" s="154">
        <f t="shared" si="0"/>
        <v>10750</v>
      </c>
      <c r="G44" s="156">
        <f t="shared" si="1"/>
        <v>8245250</v>
      </c>
    </row>
    <row r="45" spans="1:7" ht="15" customHeight="1" x14ac:dyDescent="0.25">
      <c r="A45" s="149" t="s">
        <v>189</v>
      </c>
      <c r="B45" s="150">
        <v>86171</v>
      </c>
      <c r="D45" s="152" t="s">
        <v>189</v>
      </c>
      <c r="E45" s="153">
        <v>162760</v>
      </c>
      <c r="F45" s="154">
        <f t="shared" si="0"/>
        <v>-76589</v>
      </c>
      <c r="G45" s="156">
        <f t="shared" si="1"/>
        <v>-43043583.019660987</v>
      </c>
    </row>
    <row r="46" spans="1:7" ht="15" customHeight="1" x14ac:dyDescent="0.25">
      <c r="A46" s="149" t="s">
        <v>208</v>
      </c>
      <c r="B46" s="150">
        <v>8576</v>
      </c>
      <c r="D46" s="152" t="s">
        <v>71</v>
      </c>
      <c r="E46" s="153">
        <v>7481</v>
      </c>
      <c r="F46" s="154">
        <f t="shared" si="0"/>
        <v>1095</v>
      </c>
      <c r="G46" s="156">
        <f t="shared" si="1"/>
        <v>839865</v>
      </c>
    </row>
    <row r="47" spans="1:7" ht="15" customHeight="1" x14ac:dyDescent="0.25">
      <c r="A47" s="149" t="s">
        <v>190</v>
      </c>
      <c r="B47" s="150">
        <v>5</v>
      </c>
      <c r="D47" s="152"/>
      <c r="E47" s="153"/>
      <c r="F47" s="154">
        <f t="shared" si="0"/>
        <v>5</v>
      </c>
      <c r="G47" s="156">
        <f t="shared" si="1"/>
        <v>3835</v>
      </c>
    </row>
    <row r="48" spans="1:7" ht="15" customHeight="1" x14ac:dyDescent="0.25">
      <c r="A48" s="149" t="s">
        <v>73</v>
      </c>
      <c r="B48" s="150">
        <v>31174</v>
      </c>
      <c r="D48" s="152" t="s">
        <v>73</v>
      </c>
      <c r="E48" s="153">
        <v>16571</v>
      </c>
      <c r="F48" s="154">
        <f t="shared" si="0"/>
        <v>14603</v>
      </c>
      <c r="G48" s="156">
        <f t="shared" si="1"/>
        <v>11200501</v>
      </c>
    </row>
    <row r="49" spans="1:7" ht="15" customHeight="1" x14ac:dyDescent="0.25">
      <c r="A49" s="149" t="s">
        <v>74</v>
      </c>
      <c r="B49" s="150">
        <v>170399</v>
      </c>
      <c r="D49" s="152" t="s">
        <v>74</v>
      </c>
      <c r="E49" s="153">
        <v>191588</v>
      </c>
      <c r="F49" s="154">
        <f t="shared" si="0"/>
        <v>-21189</v>
      </c>
      <c r="G49" s="156">
        <f t="shared" si="1"/>
        <v>-11908374.317507694</v>
      </c>
    </row>
    <row r="50" spans="1:7" ht="15" customHeight="1" x14ac:dyDescent="0.25">
      <c r="A50" s="149"/>
      <c r="B50" s="150"/>
      <c r="D50" s="152" t="s">
        <v>191</v>
      </c>
      <c r="E50" s="153">
        <v>9</v>
      </c>
      <c r="F50" s="154">
        <f t="shared" si="0"/>
        <v>-9</v>
      </c>
      <c r="G50" s="156">
        <f t="shared" si="1"/>
        <v>-5058.0663956566723</v>
      </c>
    </row>
    <row r="51" spans="1:7" ht="15" customHeight="1" x14ac:dyDescent="0.25">
      <c r="A51" s="149" t="s">
        <v>75</v>
      </c>
      <c r="B51" s="150">
        <v>150</v>
      </c>
      <c r="D51" s="152" t="s">
        <v>75</v>
      </c>
      <c r="E51" s="153">
        <v>48</v>
      </c>
      <c r="F51" s="154">
        <f t="shared" si="0"/>
        <v>102</v>
      </c>
      <c r="G51" s="156">
        <f t="shared" si="1"/>
        <v>78234</v>
      </c>
    </row>
    <row r="52" spans="1:7" ht="15" customHeight="1" x14ac:dyDescent="0.25">
      <c r="A52" s="149" t="s">
        <v>76</v>
      </c>
      <c r="B52" s="150">
        <v>8182</v>
      </c>
      <c r="D52" s="152" t="s">
        <v>76</v>
      </c>
      <c r="E52" s="153">
        <v>11475</v>
      </c>
      <c r="F52" s="154">
        <f t="shared" si="0"/>
        <v>-3293</v>
      </c>
      <c r="G52" s="156">
        <f t="shared" si="1"/>
        <v>-1850690.2934330469</v>
      </c>
    </row>
    <row r="53" spans="1:7" ht="15" customHeight="1" x14ac:dyDescent="0.25">
      <c r="A53" s="149" t="s">
        <v>230</v>
      </c>
      <c r="B53" s="150">
        <v>115875</v>
      </c>
      <c r="D53" s="152"/>
      <c r="E53" s="153"/>
      <c r="F53" s="154">
        <f t="shared" si="0"/>
        <v>115875</v>
      </c>
      <c r="G53" s="156">
        <f t="shared" si="1"/>
        <v>88876125</v>
      </c>
    </row>
    <row r="54" spans="1:7" ht="15" customHeight="1" x14ac:dyDescent="0.25">
      <c r="A54" s="149" t="s">
        <v>77</v>
      </c>
      <c r="B54" s="150">
        <v>19567</v>
      </c>
      <c r="C54" s="154"/>
      <c r="D54" s="152" t="s">
        <v>77</v>
      </c>
      <c r="E54" s="153">
        <v>10037</v>
      </c>
      <c r="F54" s="154">
        <f t="shared" si="0"/>
        <v>9530</v>
      </c>
      <c r="G54" s="156">
        <f t="shared" si="1"/>
        <v>7309510</v>
      </c>
    </row>
    <row r="55" spans="1:7" ht="15" customHeight="1" x14ac:dyDescent="0.25">
      <c r="A55" s="149" t="s">
        <v>78</v>
      </c>
      <c r="B55" s="150">
        <v>7277</v>
      </c>
      <c r="D55" s="152" t="s">
        <v>192</v>
      </c>
      <c r="E55" s="153">
        <v>6866</v>
      </c>
      <c r="F55" s="154">
        <f t="shared" si="0"/>
        <v>411</v>
      </c>
      <c r="G55" s="156">
        <f t="shared" si="1"/>
        <v>315237</v>
      </c>
    </row>
    <row r="56" spans="1:7" ht="15" customHeight="1" x14ac:dyDescent="0.25">
      <c r="A56" s="149"/>
      <c r="B56" s="150"/>
      <c r="D56" s="152" t="s">
        <v>217</v>
      </c>
      <c r="E56" s="153">
        <v>16457</v>
      </c>
      <c r="F56" s="154">
        <f t="shared" si="0"/>
        <v>-16457</v>
      </c>
      <c r="G56" s="156">
        <f t="shared" si="1"/>
        <v>-9248955.4081468731</v>
      </c>
    </row>
    <row r="57" spans="1:7" ht="15" customHeight="1" x14ac:dyDescent="0.25">
      <c r="C57" s="154"/>
      <c r="D57" s="152" t="s">
        <v>218</v>
      </c>
      <c r="E57" s="153">
        <v>3571</v>
      </c>
      <c r="F57" s="154">
        <f t="shared" si="0"/>
        <v>-3571</v>
      </c>
      <c r="G57" s="156">
        <f t="shared" si="1"/>
        <v>-2006928.3443211087</v>
      </c>
    </row>
    <row r="58" spans="1:7" ht="15" customHeight="1" x14ac:dyDescent="0.25">
      <c r="A58" s="149" t="s">
        <v>193</v>
      </c>
      <c r="B58" s="150">
        <v>104309</v>
      </c>
      <c r="D58" s="152" t="s">
        <v>193</v>
      </c>
      <c r="E58" s="153">
        <v>169354</v>
      </c>
      <c r="F58" s="154">
        <f t="shared" si="0"/>
        <v>-65045</v>
      </c>
      <c r="G58" s="156">
        <f t="shared" si="1"/>
        <v>-36555769.856165364</v>
      </c>
    </row>
    <row r="59" spans="1:7" ht="15" customHeight="1" x14ac:dyDescent="0.25">
      <c r="D59" s="152" t="s">
        <v>194</v>
      </c>
      <c r="E59" s="153">
        <v>400</v>
      </c>
      <c r="F59" s="154">
        <f t="shared" si="0"/>
        <v>-400</v>
      </c>
      <c r="G59" s="156">
        <f t="shared" si="1"/>
        <v>-224802.95091807435</v>
      </c>
    </row>
    <row r="60" spans="1:7" ht="15" customHeight="1" x14ac:dyDescent="0.25">
      <c r="A60" s="149" t="s">
        <v>195</v>
      </c>
      <c r="B60" s="150">
        <v>11800</v>
      </c>
      <c r="D60" s="152" t="s">
        <v>219</v>
      </c>
      <c r="E60" s="153">
        <v>14600</v>
      </c>
      <c r="F60" s="154">
        <f t="shared" si="0"/>
        <v>-2800</v>
      </c>
      <c r="G60" s="156">
        <f t="shared" si="1"/>
        <v>-1573620.6564265203</v>
      </c>
    </row>
    <row r="61" spans="1:7" ht="15" customHeight="1" x14ac:dyDescent="0.25">
      <c r="A61" s="149" t="s">
        <v>209</v>
      </c>
      <c r="B61" s="150">
        <v>1</v>
      </c>
      <c r="D61" s="152"/>
      <c r="E61" s="153"/>
      <c r="F61" s="154">
        <f t="shared" si="0"/>
        <v>1</v>
      </c>
      <c r="G61" s="156">
        <f t="shared" si="1"/>
        <v>767</v>
      </c>
    </row>
    <row r="63" spans="1:7" ht="15" customHeight="1" x14ac:dyDescent="0.25">
      <c r="A63" s="149"/>
      <c r="B63" s="150"/>
      <c r="D63" s="152"/>
      <c r="E63" s="153"/>
      <c r="F63" s="154">
        <f>SUM(F5:F61)</f>
        <v>-126635</v>
      </c>
      <c r="G63" s="143">
        <f>SUM(G5:G61)/2000</f>
        <v>150378.76790879515</v>
      </c>
    </row>
    <row r="64" spans="1:7" ht="15" customHeight="1" x14ac:dyDescent="0.25">
      <c r="A64" s="149"/>
      <c r="B64" s="150"/>
    </row>
    <row r="67" spans="1:7" ht="15" customHeight="1" x14ac:dyDescent="0.25">
      <c r="G67" s="154"/>
    </row>
    <row r="69" spans="1:7" ht="15" customHeight="1" x14ac:dyDescent="0.25">
      <c r="A69" s="149"/>
      <c r="B69" s="150"/>
      <c r="D69" s="152"/>
      <c r="E69" s="153"/>
    </row>
    <row r="70" spans="1:7" ht="15" customHeight="1" x14ac:dyDescent="0.25">
      <c r="G70" s="154"/>
    </row>
    <row r="71" spans="1:7" ht="15" customHeight="1" x14ac:dyDescent="0.25">
      <c r="A71" s="148"/>
      <c r="B71" s="148"/>
    </row>
    <row r="74" spans="1:7" ht="15" customHeight="1" x14ac:dyDescent="0.25">
      <c r="A74" s="149"/>
      <c r="B74" s="150"/>
      <c r="D74" s="152"/>
      <c r="E74" s="153"/>
    </row>
    <row r="75" spans="1:7" ht="15" customHeight="1" x14ac:dyDescent="0.25">
      <c r="G75" s="154"/>
    </row>
    <row r="76" spans="1:7" ht="15" customHeight="1" x14ac:dyDescent="0.25">
      <c r="A76" s="149"/>
      <c r="B76" s="150"/>
      <c r="D76" s="152"/>
      <c r="E76" s="153"/>
    </row>
    <row r="85" spans="1:7" ht="15" customHeight="1" x14ac:dyDescent="0.25">
      <c r="A85" s="149"/>
      <c r="B85" s="150"/>
      <c r="D85" s="152"/>
      <c r="E85" s="153"/>
    </row>
    <row r="86" spans="1:7" ht="15" customHeight="1" x14ac:dyDescent="0.25">
      <c r="A86" s="149"/>
      <c r="B86" s="150"/>
      <c r="D86" s="152"/>
      <c r="E86" s="153"/>
    </row>
    <row r="87" spans="1:7" ht="15" customHeight="1" x14ac:dyDescent="0.25">
      <c r="G87" s="154"/>
    </row>
    <row r="92" spans="1:7" ht="15" customHeight="1" x14ac:dyDescent="0.25">
      <c r="F92" s="154"/>
    </row>
    <row r="95" spans="1:7" ht="15" customHeight="1" x14ac:dyDescent="0.25">
      <c r="D95" s="152"/>
      <c r="E95" s="153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5ACBED0A5954D99537522F0B04AD6" ma:contentTypeVersion="7" ma:contentTypeDescription="" ma:contentTypeScope="" ma:versionID="a1b8b3cb5c3431fe1ff44b5d45c15557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2019-07-10T07:00:00+00:00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64072-B188-40C4-A3DD-127F596B5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10D4A44A-A6A8-4F38-B006-E6940C2B21E7}"/>
</file>

<file path=customXml/itemProps5.xml><?xml version="1.0" encoding="utf-8"?>
<ds:datastoreItem xmlns:ds="http://schemas.openxmlformats.org/officeDocument/2006/customXml" ds:itemID="{C8354435-DDDD-480A-BCAB-5482011C8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2019-07-09T20:52:54Z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