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19425" windowHeight="6105" tabRatio="827"/>
  </bookViews>
  <sheets>
    <sheet name="REDACTED VERSION" sheetId="44" r:id="rId1"/>
    <sheet name="Description" sheetId="45" r:id="rId2"/>
    <sheet name="Final Summary" sheetId="43" r:id="rId3"/>
    <sheet name="RB &amp; Dep" sheetId="31" r:id="rId4"/>
    <sheet name="Summary Budget" sheetId="13" r:id="rId5"/>
    <sheet name="Capex Summary" sheetId="22" r:id="rId6"/>
    <sheet name="1. E&amp;O " sheetId="10" r:id="rId7"/>
    <sheet name="2. Residential (R)" sheetId="11" r:id="rId8"/>
    <sheet name="3. Public (R)" sheetId="12" r:id="rId9"/>
    <sheet name="4. Workplace (R)" sheetId="14" r:id="rId10"/>
    <sheet name="5. Multi-Family (R)" sheetId="15" r:id="rId11"/>
    <sheet name="6. Low Income" sheetId="16" r:id="rId12"/>
    <sheet name="EV Dep Sch Combined" sheetId="32" r:id="rId13"/>
    <sheet name="EV Dep Sch Y1" sheetId="33" r:id="rId14"/>
    <sheet name="EV Dep Sch Y2" sheetId="34" r:id="rId15"/>
    <sheet name="EV Dep Sch Y3" sheetId="35" r:id="rId16"/>
    <sheet name="EV Dep Sch Y4" sheetId="36" r:id="rId17"/>
    <sheet name="EV Dep Sch Y5" sheetId="37" r:id="rId18"/>
    <sheet name="EV Dep Sch Y6" sheetId="38" r:id="rId19"/>
    <sheet name="EV Dep Sch Y7" sheetId="39" r:id="rId20"/>
    <sheet name="EV Capex Summary" sheetId="40" r:id="rId21"/>
    <sheet name="MACRS W 50% BONUS" sheetId="41" r:id="rId22"/>
    <sheet name="ERF ROR" sheetId="42" r:id="rId23"/>
  </sheets>
  <externalReferences>
    <externalReference r:id="rId24"/>
  </externalReferences>
  <definedNames>
    <definedName name="__123Graph_ECURRENT" localSheetId="2" hidden="1">[1]ConsolidatingPL!#REF!</definedName>
    <definedName name="__123Graph_ECURRENT" hidden="1">[1]ConsolidatingPL!#REF!</definedName>
    <definedName name="_six6" hidden="1">{#N/A,#N/A,FALSE,"CRPT";#N/A,#N/A,FALSE,"TREND";#N/A,#N/A,FALSE,"%Curve"}</definedName>
    <definedName name="a" hidden="1">{#N/A,#N/A,FALSE,"Coversheet";#N/A,#N/A,FALSE,"QA"}</definedName>
    <definedName name="b" hidden="1">{#N/A,#N/A,FALSE,"Coversheet";#N/A,#N/A,FALSE,"QA"}</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new" hidden="1">{#N/A,#N/A,FALSE,"Summ";#N/A,#N/A,FALSE,"General"}</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45621"/>
</workbook>
</file>

<file path=xl/calcChain.xml><?xml version="1.0" encoding="utf-8"?>
<calcChain xmlns="http://schemas.openxmlformats.org/spreadsheetml/2006/main">
  <c r="C15" i="43" l="1"/>
  <c r="C14" i="43"/>
  <c r="C13" i="43"/>
  <c r="C12" i="43"/>
  <c r="C11" i="43"/>
  <c r="C10" i="43"/>
  <c r="C9" i="43"/>
  <c r="B15" i="43"/>
  <c r="B14" i="43"/>
  <c r="B13" i="43"/>
  <c r="B12" i="43"/>
  <c r="B11" i="43"/>
  <c r="B10" i="43"/>
  <c r="B9" i="43"/>
  <c r="E21" i="42"/>
  <c r="D21" i="42"/>
  <c r="C21" i="42"/>
  <c r="D20" i="42"/>
  <c r="C20" i="42"/>
  <c r="C22" i="42" s="1"/>
  <c r="C17" i="42"/>
  <c r="E16" i="42"/>
  <c r="E17" i="42" s="1"/>
  <c r="D4" i="31" s="1"/>
  <c r="D15" i="42"/>
  <c r="BA27" i="41"/>
  <c r="AZ27" i="41"/>
  <c r="AV27" i="41"/>
  <c r="AU27" i="41"/>
  <c r="AQ27" i="41"/>
  <c r="AP27" i="41"/>
  <c r="AL27" i="41"/>
  <c r="AG27" i="41"/>
  <c r="AF27" i="41"/>
  <c r="AB27" i="41"/>
  <c r="AA27" i="41"/>
  <c r="W27" i="41"/>
  <c r="V27" i="41"/>
  <c r="R27" i="41"/>
  <c r="Q27" i="41"/>
  <c r="M27" i="41"/>
  <c r="L27" i="41"/>
  <c r="H27" i="41"/>
  <c r="G27" i="41"/>
  <c r="C27" i="41"/>
  <c r="B27" i="41"/>
  <c r="E26" i="41"/>
  <c r="D26" i="41"/>
  <c r="E25" i="41"/>
  <c r="D25" i="41"/>
  <c r="E24" i="41"/>
  <c r="D24" i="41"/>
  <c r="E23" i="41"/>
  <c r="D23" i="41"/>
  <c r="E22" i="41"/>
  <c r="D22" i="41"/>
  <c r="J21" i="41"/>
  <c r="I21" i="41"/>
  <c r="E21" i="41"/>
  <c r="D21" i="41"/>
  <c r="J20" i="41"/>
  <c r="I20" i="41"/>
  <c r="E20" i="41"/>
  <c r="D20" i="41"/>
  <c r="J19" i="41"/>
  <c r="I19" i="41"/>
  <c r="E19" i="41"/>
  <c r="D19" i="41"/>
  <c r="BC18" i="41"/>
  <c r="BB18" i="41"/>
  <c r="O18" i="41"/>
  <c r="N18" i="41"/>
  <c r="J18" i="41"/>
  <c r="I18" i="41"/>
  <c r="E18" i="41"/>
  <c r="D18" i="41"/>
  <c r="BC17" i="41"/>
  <c r="BB17" i="41"/>
  <c r="O17" i="41"/>
  <c r="N17" i="41"/>
  <c r="J17" i="41"/>
  <c r="I17" i="41"/>
  <c r="E17" i="41"/>
  <c r="D17" i="41"/>
  <c r="BC16" i="41"/>
  <c r="BB16" i="41"/>
  <c r="AX16" i="41"/>
  <c r="AW16" i="41"/>
  <c r="AI16" i="41"/>
  <c r="AH16" i="41"/>
  <c r="O16" i="41"/>
  <c r="N16" i="41"/>
  <c r="J16" i="41"/>
  <c r="I16" i="41"/>
  <c r="E16" i="41"/>
  <c r="D16" i="41"/>
  <c r="BC15" i="41"/>
  <c r="BB15" i="41"/>
  <c r="AX15" i="41"/>
  <c r="AW15" i="41"/>
  <c r="AS15" i="41"/>
  <c r="AR15" i="41"/>
  <c r="AI15" i="41"/>
  <c r="AH15" i="41"/>
  <c r="O15" i="41"/>
  <c r="N15" i="41"/>
  <c r="J15" i="41"/>
  <c r="I15" i="41"/>
  <c r="E15" i="41"/>
  <c r="D15" i="41"/>
  <c r="BC14" i="41"/>
  <c r="BB14" i="41"/>
  <c r="AX14" i="41"/>
  <c r="AW14" i="41"/>
  <c r="AS14" i="41"/>
  <c r="AR14" i="41"/>
  <c r="AI14" i="41"/>
  <c r="AH14" i="41"/>
  <c r="O14" i="41"/>
  <c r="N14" i="41"/>
  <c r="J14" i="41"/>
  <c r="I14" i="41"/>
  <c r="E14" i="41"/>
  <c r="D14" i="41"/>
  <c r="BC13" i="41"/>
  <c r="BB13" i="41"/>
  <c r="AX13" i="41"/>
  <c r="AW13" i="41"/>
  <c r="AS13" i="41"/>
  <c r="AR13" i="41"/>
  <c r="AI13" i="41"/>
  <c r="AH13" i="41"/>
  <c r="T13" i="41"/>
  <c r="S13" i="41"/>
  <c r="O13" i="41"/>
  <c r="N13" i="41"/>
  <c r="J13" i="41"/>
  <c r="I13" i="41"/>
  <c r="E13" i="41"/>
  <c r="D13" i="41"/>
  <c r="BC12" i="41"/>
  <c r="BB12" i="41"/>
  <c r="AX12" i="41"/>
  <c r="AW12" i="41"/>
  <c r="AS12" i="41"/>
  <c r="AR12" i="41"/>
  <c r="AI12" i="41"/>
  <c r="AH12" i="41"/>
  <c r="T12" i="41"/>
  <c r="S12" i="41"/>
  <c r="O12" i="41"/>
  <c r="N12" i="41"/>
  <c r="J12" i="41"/>
  <c r="I12" i="41"/>
  <c r="E12" i="41"/>
  <c r="D12" i="41"/>
  <c r="BC11" i="41"/>
  <c r="BB11" i="41"/>
  <c r="AX11" i="41"/>
  <c r="AW11" i="41"/>
  <c r="AS11" i="41"/>
  <c r="AR11" i="41"/>
  <c r="AI11" i="41"/>
  <c r="AH11" i="41"/>
  <c r="Y11" i="41"/>
  <c r="X11" i="41"/>
  <c r="T11" i="41"/>
  <c r="S11" i="41"/>
  <c r="O11" i="41"/>
  <c r="N11" i="41"/>
  <c r="J11" i="41"/>
  <c r="I11" i="41"/>
  <c r="E11" i="41"/>
  <c r="D11" i="41"/>
  <c r="BC10" i="41"/>
  <c r="BB10" i="41"/>
  <c r="AX10" i="41"/>
  <c r="AW10" i="41"/>
  <c r="AS10" i="41"/>
  <c r="AR10" i="41"/>
  <c r="AI10" i="41"/>
  <c r="AH10" i="41"/>
  <c r="Y10" i="41"/>
  <c r="X10" i="41"/>
  <c r="T10" i="41"/>
  <c r="S10" i="41"/>
  <c r="O10" i="41"/>
  <c r="N10" i="41"/>
  <c r="J10" i="41"/>
  <c r="I10" i="41"/>
  <c r="E10" i="41"/>
  <c r="D10" i="41"/>
  <c r="BC9" i="41"/>
  <c r="BB9" i="41"/>
  <c r="AX9" i="41"/>
  <c r="AW9" i="41"/>
  <c r="AS9" i="41"/>
  <c r="AR9" i="41"/>
  <c r="AK9" i="41"/>
  <c r="AM9" i="41" s="1"/>
  <c r="AN9" i="41" s="1"/>
  <c r="AH9" i="41"/>
  <c r="AI9" i="41" s="1"/>
  <c r="AC9" i="41"/>
  <c r="AD9" i="41" s="1"/>
  <c r="X9" i="41"/>
  <c r="Y9" i="41" s="1"/>
  <c r="S9" i="41"/>
  <c r="T9" i="41" s="1"/>
  <c r="N9" i="41"/>
  <c r="O9" i="41" s="1"/>
  <c r="I9" i="41"/>
  <c r="J9" i="41" s="1"/>
  <c r="D9" i="41"/>
  <c r="E9" i="41" s="1"/>
  <c r="BB8" i="41"/>
  <c r="BC8" i="41" s="1"/>
  <c r="AW8" i="41"/>
  <c r="AX8" i="41" s="1"/>
  <c r="AR8" i="41"/>
  <c r="AS8" i="41" s="1"/>
  <c r="AM8" i="41"/>
  <c r="AN8" i="41" s="1"/>
  <c r="AK8" i="41"/>
  <c r="AI8" i="41"/>
  <c r="AH8" i="41"/>
  <c r="AD8" i="41"/>
  <c r="AC8" i="41"/>
  <c r="Y8" i="41"/>
  <c r="X8" i="41"/>
  <c r="T8" i="41"/>
  <c r="S8" i="41"/>
  <c r="O8" i="41"/>
  <c r="N8" i="41"/>
  <c r="J8" i="41"/>
  <c r="I8" i="41"/>
  <c r="E8" i="41"/>
  <c r="D8" i="41"/>
  <c r="BC7" i="41"/>
  <c r="BB7" i="41"/>
  <c r="AX7" i="41"/>
  <c r="AW7" i="41"/>
  <c r="AS7" i="41"/>
  <c r="AR7" i="41"/>
  <c r="AN7" i="41"/>
  <c r="AK7" i="41"/>
  <c r="AM7" i="41" s="1"/>
  <c r="AH7" i="41"/>
  <c r="AI7" i="41" s="1"/>
  <c r="AC7" i="41"/>
  <c r="AD7" i="41" s="1"/>
  <c r="X7" i="41"/>
  <c r="Y7" i="41" s="1"/>
  <c r="S7" i="41"/>
  <c r="T7" i="41" s="1"/>
  <c r="N7" i="41"/>
  <c r="O7" i="41" s="1"/>
  <c r="I7" i="41"/>
  <c r="J7" i="41" s="1"/>
  <c r="D7" i="41"/>
  <c r="E7" i="41" s="1"/>
  <c r="BB6" i="41"/>
  <c r="AW6" i="41"/>
  <c r="AR6" i="41"/>
  <c r="AR27" i="41" s="1"/>
  <c r="AM6" i="41"/>
  <c r="AK6" i="41"/>
  <c r="AI6" i="41"/>
  <c r="AH6" i="41"/>
  <c r="AH27" i="41" s="1"/>
  <c r="AD6" i="41"/>
  <c r="AD27" i="41" s="1"/>
  <c r="AC6" i="41"/>
  <c r="AC27" i="41" s="1"/>
  <c r="Y6" i="41"/>
  <c r="X6" i="41"/>
  <c r="T6" i="41"/>
  <c r="T27" i="41" s="1"/>
  <c r="S6" i="41"/>
  <c r="O6" i="41"/>
  <c r="N6" i="41"/>
  <c r="N27" i="41" s="1"/>
  <c r="J6" i="41"/>
  <c r="J27" i="41" s="1"/>
  <c r="I6" i="41"/>
  <c r="I27" i="41" s="1"/>
  <c r="E6" i="41"/>
  <c r="D6" i="41"/>
  <c r="BB5" i="41"/>
  <c r="H55" i="40"/>
  <c r="H57" i="40" s="1"/>
  <c r="N54" i="40"/>
  <c r="M54" i="40"/>
  <c r="L54" i="40"/>
  <c r="K54" i="40"/>
  <c r="J54" i="40"/>
  <c r="I54" i="40"/>
  <c r="H54" i="40"/>
  <c r="G54" i="40"/>
  <c r="F54" i="40"/>
  <c r="E54" i="40"/>
  <c r="N53" i="40"/>
  <c r="M53" i="40"/>
  <c r="L53" i="40"/>
  <c r="K53" i="40"/>
  <c r="J53" i="40"/>
  <c r="I53" i="40"/>
  <c r="H53" i="40"/>
  <c r="G53" i="40"/>
  <c r="F53" i="40"/>
  <c r="E53" i="40"/>
  <c r="N52" i="40"/>
  <c r="M52" i="40"/>
  <c r="L52" i="40"/>
  <c r="K52" i="40"/>
  <c r="J52" i="40"/>
  <c r="I52" i="40"/>
  <c r="H52" i="40"/>
  <c r="G52" i="40"/>
  <c r="F52" i="40"/>
  <c r="E52" i="40"/>
  <c r="N51" i="40"/>
  <c r="M51" i="40"/>
  <c r="L51" i="40"/>
  <c r="K51" i="40"/>
  <c r="J51" i="40"/>
  <c r="I51" i="40"/>
  <c r="H51" i="40"/>
  <c r="G51" i="40"/>
  <c r="F51" i="40"/>
  <c r="E51" i="40"/>
  <c r="N47" i="40"/>
  <c r="M47" i="40"/>
  <c r="L47" i="40"/>
  <c r="K47" i="40"/>
  <c r="J47" i="40"/>
  <c r="I47" i="40"/>
  <c r="H47" i="40"/>
  <c r="G47" i="40"/>
  <c r="F47" i="40"/>
  <c r="E47" i="40"/>
  <c r="N46" i="40"/>
  <c r="M46" i="40"/>
  <c r="L46" i="40"/>
  <c r="K46" i="40"/>
  <c r="J46" i="40"/>
  <c r="I46" i="40"/>
  <c r="H46" i="40"/>
  <c r="G46" i="40"/>
  <c r="F46" i="40"/>
  <c r="E46" i="40"/>
  <c r="N45" i="40"/>
  <c r="M45" i="40"/>
  <c r="L45" i="40"/>
  <c r="K45" i="40"/>
  <c r="J45" i="40"/>
  <c r="I45" i="40"/>
  <c r="H45" i="40"/>
  <c r="G45" i="40"/>
  <c r="F45" i="40"/>
  <c r="E45" i="40"/>
  <c r="N44" i="40"/>
  <c r="N48" i="40" s="1"/>
  <c r="M44" i="40"/>
  <c r="M48" i="40" s="1"/>
  <c r="L44" i="40"/>
  <c r="L48" i="40" s="1"/>
  <c r="K44" i="40"/>
  <c r="K48" i="40" s="1"/>
  <c r="J44" i="40"/>
  <c r="J48" i="40" s="1"/>
  <c r="I44" i="40"/>
  <c r="I48" i="40" s="1"/>
  <c r="H44" i="40"/>
  <c r="H48" i="40" s="1"/>
  <c r="G44" i="40"/>
  <c r="G48" i="40" s="1"/>
  <c r="F44" i="40"/>
  <c r="F48" i="40" s="1"/>
  <c r="E44" i="40"/>
  <c r="E48" i="40" s="1"/>
  <c r="N41" i="40"/>
  <c r="M41" i="40"/>
  <c r="L41" i="40"/>
  <c r="K41" i="40"/>
  <c r="J41" i="40"/>
  <c r="I41" i="40"/>
  <c r="H41" i="40"/>
  <c r="G41" i="40"/>
  <c r="F41" i="40"/>
  <c r="E41" i="40"/>
  <c r="N34" i="40"/>
  <c r="M34" i="40"/>
  <c r="L34" i="40"/>
  <c r="K34" i="40"/>
  <c r="J34" i="40"/>
  <c r="I34" i="40"/>
  <c r="H34" i="40"/>
  <c r="G34" i="40"/>
  <c r="F34" i="40"/>
  <c r="E34" i="40"/>
  <c r="N27" i="40"/>
  <c r="M27" i="40"/>
  <c r="L27" i="40"/>
  <c r="K27" i="40"/>
  <c r="J27" i="40"/>
  <c r="I27" i="40"/>
  <c r="H27" i="40"/>
  <c r="G27" i="40"/>
  <c r="F27" i="40"/>
  <c r="E27" i="40"/>
  <c r="N20" i="40"/>
  <c r="M20" i="40"/>
  <c r="L20" i="40"/>
  <c r="K20" i="40"/>
  <c r="J20" i="40"/>
  <c r="I20" i="40"/>
  <c r="H20" i="40"/>
  <c r="G20" i="40"/>
  <c r="F20" i="40"/>
  <c r="E20" i="40"/>
  <c r="N13" i="40"/>
  <c r="N55" i="40" s="1"/>
  <c r="M13" i="40"/>
  <c r="M55" i="40" s="1"/>
  <c r="L13" i="40"/>
  <c r="L55" i="40" s="1"/>
  <c r="L57" i="40" s="1"/>
  <c r="K13" i="40"/>
  <c r="K55" i="40" s="1"/>
  <c r="K57" i="40" s="1"/>
  <c r="J13" i="40"/>
  <c r="J55" i="40" s="1"/>
  <c r="I13" i="40"/>
  <c r="I55" i="40" s="1"/>
  <c r="H13" i="40"/>
  <c r="G13" i="40"/>
  <c r="G55" i="40" s="1"/>
  <c r="G57" i="40" s="1"/>
  <c r="F13" i="40"/>
  <c r="F55" i="40" s="1"/>
  <c r="E13" i="40"/>
  <c r="E55" i="40" s="1"/>
  <c r="F6" i="40"/>
  <c r="G6" i="40" s="1"/>
  <c r="H6" i="40" s="1"/>
  <c r="I6" i="40" s="1"/>
  <c r="J6" i="40" s="1"/>
  <c r="K6" i="40" s="1"/>
  <c r="L6" i="40" s="1"/>
  <c r="M6" i="40" s="1"/>
  <c r="N6" i="40" s="1"/>
  <c r="E6" i="40"/>
  <c r="M119" i="39"/>
  <c r="A23" i="39"/>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22" i="39"/>
  <c r="A21" i="39"/>
  <c r="E12" i="39"/>
  <c r="E8" i="39"/>
  <c r="B8" i="39" a="1"/>
  <c r="D8" i="39" s="1"/>
  <c r="M5" i="39"/>
  <c r="F5" i="39"/>
  <c r="B5" i="39"/>
  <c r="B5" i="39" a="1"/>
  <c r="G5" i="39" s="1"/>
  <c r="K4" i="39"/>
  <c r="L4" i="39" s="1"/>
  <c r="M4" i="39" s="1"/>
  <c r="N4" i="39" s="1"/>
  <c r="O4" i="39" s="1"/>
  <c r="P4" i="39" s="1"/>
  <c r="B7" i="39" s="1"/>
  <c r="C7" i="39" s="1"/>
  <c r="D7" i="39" s="1"/>
  <c r="E7" i="39" s="1"/>
  <c r="F7" i="39" s="1"/>
  <c r="G7" i="39" s="1"/>
  <c r="G4" i="39"/>
  <c r="H4" i="39" s="1"/>
  <c r="I4" i="39" s="1"/>
  <c r="J4" i="39" s="1"/>
  <c r="F4" i="39"/>
  <c r="C4" i="39"/>
  <c r="D4" i="39" s="1"/>
  <c r="E4" i="39" s="1"/>
  <c r="M131" i="38"/>
  <c r="A28" i="38"/>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23" i="38"/>
  <c r="A24" i="38" s="1"/>
  <c r="A25" i="38" s="1"/>
  <c r="A26" i="38" s="1"/>
  <c r="A27" i="38" s="1"/>
  <c r="C22" i="38"/>
  <c r="G21" i="38"/>
  <c r="E21" i="38"/>
  <c r="C21" i="38"/>
  <c r="B21" i="38" s="1"/>
  <c r="A21" i="38"/>
  <c r="A22" i="38" s="1"/>
  <c r="I20" i="38"/>
  <c r="C20" i="38"/>
  <c r="B20" i="38"/>
  <c r="E12" i="38"/>
  <c r="E20" i="38" s="1"/>
  <c r="G20" i="38" s="1"/>
  <c r="F8" i="38"/>
  <c r="B8" i="38"/>
  <c r="B8" i="38" a="1"/>
  <c r="C7" i="38"/>
  <c r="D7" i="38" s="1"/>
  <c r="E7" i="38" s="1"/>
  <c r="F7" i="38" s="1"/>
  <c r="G7" i="38" s="1"/>
  <c r="P5" i="38"/>
  <c r="O5" i="38"/>
  <c r="N5" i="38"/>
  <c r="L5" i="38"/>
  <c r="K5" i="38"/>
  <c r="J5" i="38"/>
  <c r="H5" i="38"/>
  <c r="G5" i="38"/>
  <c r="F5" i="38"/>
  <c r="D5" i="38"/>
  <c r="C5" i="38"/>
  <c r="B5" i="38"/>
  <c r="B5" i="38" a="1"/>
  <c r="M5" i="38" s="1"/>
  <c r="J4" i="38"/>
  <c r="K4" i="38" s="1"/>
  <c r="L4" i="38" s="1"/>
  <c r="M4" i="38" s="1"/>
  <c r="N4" i="38" s="1"/>
  <c r="O4" i="38" s="1"/>
  <c r="P4" i="38" s="1"/>
  <c r="B7" i="38" s="1"/>
  <c r="C4" i="38"/>
  <c r="D4" i="38" s="1"/>
  <c r="E4" i="38" s="1"/>
  <c r="F4" i="38" s="1"/>
  <c r="G4" i="38" s="1"/>
  <c r="H4" i="38" s="1"/>
  <c r="I4" i="38" s="1"/>
  <c r="M143" i="37"/>
  <c r="A27" i="37"/>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23" i="37"/>
  <c r="A24" i="37" s="1"/>
  <c r="A25" i="37" s="1"/>
  <c r="A26" i="37" s="1"/>
  <c r="A22" i="37"/>
  <c r="A21" i="37"/>
  <c r="E12" i="37"/>
  <c r="G8" i="37"/>
  <c r="D8" i="37"/>
  <c r="C8" i="37"/>
  <c r="B8" i="37" a="1"/>
  <c r="F8" i="37" s="1"/>
  <c r="B5" i="37" a="1"/>
  <c r="E4" i="37"/>
  <c r="F4" i="37" s="1"/>
  <c r="G4" i="37" s="1"/>
  <c r="H4" i="37" s="1"/>
  <c r="I4" i="37" s="1"/>
  <c r="J4" i="37" s="1"/>
  <c r="K4" i="37" s="1"/>
  <c r="L4" i="37" s="1"/>
  <c r="M4" i="37" s="1"/>
  <c r="N4" i="37" s="1"/>
  <c r="O4" i="37" s="1"/>
  <c r="P4" i="37" s="1"/>
  <c r="B7" i="37" s="1"/>
  <c r="C7" i="37" s="1"/>
  <c r="D7" i="37" s="1"/>
  <c r="E7" i="37" s="1"/>
  <c r="F7" i="37" s="1"/>
  <c r="G7" i="37" s="1"/>
  <c r="C4" i="37"/>
  <c r="D4" i="37" s="1"/>
  <c r="A21" i="36"/>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E12" i="36"/>
  <c r="E8" i="36"/>
  <c r="D8" i="36"/>
  <c r="B8" i="36" a="1"/>
  <c r="G7" i="36"/>
  <c r="K5" i="36"/>
  <c r="B5" i="36" a="1"/>
  <c r="F4" i="36"/>
  <c r="G4" i="36" s="1"/>
  <c r="H4" i="36" s="1"/>
  <c r="I4" i="36" s="1"/>
  <c r="J4" i="36" s="1"/>
  <c r="K4" i="36" s="1"/>
  <c r="L4" i="36" s="1"/>
  <c r="M4" i="36" s="1"/>
  <c r="N4" i="36" s="1"/>
  <c r="O4" i="36" s="1"/>
  <c r="P4" i="36" s="1"/>
  <c r="B7" i="36" s="1"/>
  <c r="C7" i="36" s="1"/>
  <c r="D7" i="36" s="1"/>
  <c r="E7" i="36" s="1"/>
  <c r="F7" i="36" s="1"/>
  <c r="E4" i="36"/>
  <c r="C4" i="36"/>
  <c r="D4" i="36" s="1"/>
  <c r="C23" i="35"/>
  <c r="E22" i="35"/>
  <c r="A22" i="35"/>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C21" i="35"/>
  <c r="C22" i="35" s="1"/>
  <c r="B22" i="35" s="1"/>
  <c r="B21" i="35"/>
  <c r="A21" i="35"/>
  <c r="C20" i="35"/>
  <c r="B20" i="35"/>
  <c r="E12" i="35"/>
  <c r="G8" i="35"/>
  <c r="F8" i="35"/>
  <c r="D8" i="35"/>
  <c r="C8" i="35"/>
  <c r="B8" i="35"/>
  <c r="B8" i="35" a="1"/>
  <c r="E8" i="35" s="1"/>
  <c r="P5" i="35"/>
  <c r="J5" i="35"/>
  <c r="E5" i="35"/>
  <c r="B5" i="35" a="1"/>
  <c r="N5" i="35" s="1"/>
  <c r="J4" i="35"/>
  <c r="K4" i="35" s="1"/>
  <c r="L4" i="35" s="1"/>
  <c r="M4" i="35" s="1"/>
  <c r="N4" i="35" s="1"/>
  <c r="O4" i="35" s="1"/>
  <c r="P4" i="35" s="1"/>
  <c r="B7" i="35" s="1"/>
  <c r="C7" i="35" s="1"/>
  <c r="D7" i="35" s="1"/>
  <c r="E7" i="35" s="1"/>
  <c r="F7" i="35" s="1"/>
  <c r="G7" i="35" s="1"/>
  <c r="E4" i="35"/>
  <c r="F4" i="35" s="1"/>
  <c r="G4" i="35" s="1"/>
  <c r="H4" i="35" s="1"/>
  <c r="I4" i="35" s="1"/>
  <c r="D4" i="35"/>
  <c r="C4" i="35"/>
  <c r="M179" i="34"/>
  <c r="A22" i="34"/>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C21" i="34"/>
  <c r="B21" i="34" s="1"/>
  <c r="A21" i="34"/>
  <c r="C20" i="34"/>
  <c r="B20" i="34" s="1"/>
  <c r="E12" i="34"/>
  <c r="E20" i="34" s="1"/>
  <c r="G20" i="34" s="1"/>
  <c r="E8" i="34"/>
  <c r="D8" i="34"/>
  <c r="C8" i="34"/>
  <c r="B8" i="34" a="1"/>
  <c r="O5" i="34"/>
  <c r="N5" i="34"/>
  <c r="J5" i="34"/>
  <c r="I5" i="34"/>
  <c r="E5" i="34"/>
  <c r="C5" i="34"/>
  <c r="B5" i="34" a="1"/>
  <c r="E4" i="34"/>
  <c r="F4" i="34" s="1"/>
  <c r="G4" i="34" s="1"/>
  <c r="H4" i="34" s="1"/>
  <c r="I4" i="34" s="1"/>
  <c r="J4" i="34" s="1"/>
  <c r="K4" i="34" s="1"/>
  <c r="L4" i="34" s="1"/>
  <c r="M4" i="34" s="1"/>
  <c r="N4" i="34" s="1"/>
  <c r="O4" i="34" s="1"/>
  <c r="P4" i="34" s="1"/>
  <c r="B7" i="34" s="1"/>
  <c r="C7" i="34" s="1"/>
  <c r="D7" i="34" s="1"/>
  <c r="E7" i="34" s="1"/>
  <c r="F7" i="34" s="1"/>
  <c r="G7" i="34" s="1"/>
  <c r="C4" i="34"/>
  <c r="D4" i="34" s="1"/>
  <c r="M187" i="33"/>
  <c r="A21" i="33"/>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E12" i="33"/>
  <c r="B8" i="33" a="1"/>
  <c r="E8" i="33" s="1"/>
  <c r="P5" i="33"/>
  <c r="O5" i="33"/>
  <c r="N5" i="33"/>
  <c r="L5" i="33"/>
  <c r="K5" i="33"/>
  <c r="J5" i="33"/>
  <c r="H5" i="33"/>
  <c r="G5" i="33"/>
  <c r="F5" i="33"/>
  <c r="D5" i="33"/>
  <c r="C5" i="33"/>
  <c r="B5" i="33"/>
  <c r="B5" i="33" a="1"/>
  <c r="M5" i="33" s="1"/>
  <c r="C4" i="33"/>
  <c r="D4" i="33" s="1"/>
  <c r="E4" i="33" s="1"/>
  <c r="F4" i="33" s="1"/>
  <c r="G4" i="33" s="1"/>
  <c r="H4" i="33" s="1"/>
  <c r="I4" i="33" s="1"/>
  <c r="J4" i="33" s="1"/>
  <c r="K4" i="33" s="1"/>
  <c r="L4" i="33" s="1"/>
  <c r="M4" i="33" s="1"/>
  <c r="N4" i="33" s="1"/>
  <c r="O4" i="33" s="1"/>
  <c r="P4" i="33" s="1"/>
  <c r="B7" i="33" s="1"/>
  <c r="C7" i="33" s="1"/>
  <c r="D7" i="33" s="1"/>
  <c r="E7" i="33" s="1"/>
  <c r="F7" i="33" s="1"/>
  <c r="G7" i="33" s="1"/>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7" i="32"/>
  <c r="E156" i="32"/>
  <c r="E155" i="32"/>
  <c r="E154" i="32"/>
  <c r="A20" i="32"/>
  <c r="A21" i="32" s="1"/>
  <c r="E12" i="32"/>
  <c r="E8" i="32"/>
  <c r="B8" i="32" a="1"/>
  <c r="P5" i="32"/>
  <c r="O5" i="32"/>
  <c r="N5" i="32"/>
  <c r="L5" i="32"/>
  <c r="K5" i="32"/>
  <c r="J5" i="32"/>
  <c r="H5" i="32"/>
  <c r="G5" i="32"/>
  <c r="F5" i="32"/>
  <c r="D5" i="32"/>
  <c r="C5" i="32"/>
  <c r="B5" i="32"/>
  <c r="B5" i="32" a="1"/>
  <c r="M5" i="32" s="1"/>
  <c r="G4" i="32"/>
  <c r="H4" i="32" s="1"/>
  <c r="I4" i="32" s="1"/>
  <c r="J4" i="32" s="1"/>
  <c r="K4" i="32" s="1"/>
  <c r="L4" i="32" s="1"/>
  <c r="M4" i="32" s="1"/>
  <c r="N4" i="32" s="1"/>
  <c r="O4" i="32" s="1"/>
  <c r="P4" i="32" s="1"/>
  <c r="B7" i="32" s="1"/>
  <c r="C7" i="32" s="1"/>
  <c r="D7" i="32" s="1"/>
  <c r="E7" i="32" s="1"/>
  <c r="F7" i="32" s="1"/>
  <c r="G7" i="32" s="1"/>
  <c r="C4" i="32"/>
  <c r="D4" i="32" s="1"/>
  <c r="E4" i="32" s="1"/>
  <c r="F4" i="32" s="1"/>
  <c r="D5" i="31"/>
  <c r="A22" i="32" l="1"/>
  <c r="G8" i="32"/>
  <c r="C8" i="32"/>
  <c r="F8" i="32"/>
  <c r="B8" i="32"/>
  <c r="D8" i="32"/>
  <c r="G8" i="33"/>
  <c r="C8" i="33"/>
  <c r="F8" i="33"/>
  <c r="B8" i="33"/>
  <c r="D8" i="33"/>
  <c r="AM27" i="41"/>
  <c r="AN6" i="41"/>
  <c r="AN27" i="41" s="1"/>
  <c r="B23" i="35"/>
  <c r="C24" i="35"/>
  <c r="E23" i="35"/>
  <c r="P5" i="36"/>
  <c r="L5" i="36"/>
  <c r="H5" i="36"/>
  <c r="D5" i="36"/>
  <c r="N5" i="36"/>
  <c r="I5" i="36"/>
  <c r="C5" i="36"/>
  <c r="M5" i="36"/>
  <c r="G5" i="36"/>
  <c r="B5" i="36"/>
  <c r="F5" i="36"/>
  <c r="O5" i="36"/>
  <c r="E5" i="36"/>
  <c r="J5" i="36"/>
  <c r="P5" i="34"/>
  <c r="L5" i="34"/>
  <c r="H5" i="34"/>
  <c r="D5" i="34"/>
  <c r="F5" i="34"/>
  <c r="K5" i="34"/>
  <c r="E21" i="34"/>
  <c r="G21" i="34" s="1"/>
  <c r="C21" i="39"/>
  <c r="C20" i="39"/>
  <c r="E5" i="32"/>
  <c r="H8" i="32" s="1"/>
  <c r="I5" i="32"/>
  <c r="E5" i="33"/>
  <c r="H8" i="33" s="1"/>
  <c r="I5" i="33"/>
  <c r="B5" i="34"/>
  <c r="G5" i="34"/>
  <c r="M5" i="34"/>
  <c r="F8" i="34"/>
  <c r="B8" i="34"/>
  <c r="G8" i="34"/>
  <c r="I20" i="34"/>
  <c r="C22" i="34"/>
  <c r="D5" i="35"/>
  <c r="I5" i="35"/>
  <c r="I20" i="35"/>
  <c r="E20" i="35"/>
  <c r="G20" i="35" s="1"/>
  <c r="O5" i="35"/>
  <c r="K5" i="35"/>
  <c r="G5" i="35"/>
  <c r="C5" i="35"/>
  <c r="F5" i="35"/>
  <c r="L5" i="35"/>
  <c r="P5" i="37"/>
  <c r="L5" i="37"/>
  <c r="H5" i="37"/>
  <c r="D5" i="37"/>
  <c r="O5" i="37"/>
  <c r="K5" i="37"/>
  <c r="G5" i="37"/>
  <c r="C5" i="37"/>
  <c r="M5" i="37"/>
  <c r="E5" i="37"/>
  <c r="J5" i="37"/>
  <c r="B5" i="37"/>
  <c r="N5" i="37"/>
  <c r="F5" i="37"/>
  <c r="B5" i="35"/>
  <c r="H5" i="35"/>
  <c r="M5" i="35"/>
  <c r="E21" i="35"/>
  <c r="I5" i="37"/>
  <c r="F8" i="36"/>
  <c r="B8" i="36"/>
  <c r="G8" i="36"/>
  <c r="C8" i="36"/>
  <c r="E22" i="38"/>
  <c r="G22" i="38" s="1"/>
  <c r="B22" i="38"/>
  <c r="C23" i="38"/>
  <c r="E8" i="37"/>
  <c r="B8" i="37"/>
  <c r="G8" i="38"/>
  <c r="C8" i="38"/>
  <c r="E8" i="38"/>
  <c r="D8" i="38"/>
  <c r="I21" i="38"/>
  <c r="E5" i="38"/>
  <c r="H8" i="38" s="1"/>
  <c r="I5" i="38"/>
  <c r="P5" i="39"/>
  <c r="L5" i="39"/>
  <c r="H5" i="39"/>
  <c r="D5" i="39"/>
  <c r="N5" i="39"/>
  <c r="I5" i="39"/>
  <c r="C5" i="39"/>
  <c r="H8" i="39" s="1"/>
  <c r="O5" i="39"/>
  <c r="J5" i="39"/>
  <c r="E5" i="39"/>
  <c r="K5" i="39"/>
  <c r="F8" i="39"/>
  <c r="B8" i="39"/>
  <c r="G8" i="39"/>
  <c r="C8" i="39"/>
  <c r="F57" i="40"/>
  <c r="J57" i="40"/>
  <c r="N57" i="40"/>
  <c r="I57" i="40"/>
  <c r="M57" i="40"/>
  <c r="S27" i="41"/>
  <c r="AK27" i="41"/>
  <c r="BB27" i="41"/>
  <c r="D27" i="41"/>
  <c r="X27" i="41"/>
  <c r="E27" i="41"/>
  <c r="O27" i="41"/>
  <c r="Y27" i="41"/>
  <c r="AI27" i="41"/>
  <c r="AW27" i="41"/>
  <c r="AX6" i="41"/>
  <c r="AX27" i="41" s="1"/>
  <c r="AS6" i="41"/>
  <c r="AS27" i="41" s="1"/>
  <c r="BC6" i="41"/>
  <c r="BC27" i="41" s="1"/>
  <c r="E20" i="42"/>
  <c r="E22" i="42" s="1"/>
  <c r="I22" i="38" l="1"/>
  <c r="G22" i="34"/>
  <c r="I21" i="34"/>
  <c r="C21" i="37"/>
  <c r="C20" i="37"/>
  <c r="E21" i="39"/>
  <c r="B21" i="39"/>
  <c r="H8" i="35"/>
  <c r="B20" i="39"/>
  <c r="E20" i="39"/>
  <c r="G20" i="39" s="1"/>
  <c r="I20" i="39" s="1"/>
  <c r="C22" i="39"/>
  <c r="H8" i="36"/>
  <c r="E24" i="35"/>
  <c r="B24" i="35"/>
  <c r="C25" i="35"/>
  <c r="A23" i="32"/>
  <c r="C24" i="38"/>
  <c r="E23" i="38"/>
  <c r="G23" i="38" s="1"/>
  <c r="B23" i="38"/>
  <c r="C20" i="33"/>
  <c r="C21" i="33"/>
  <c r="C22" i="33"/>
  <c r="H8" i="34"/>
  <c r="C20" i="36"/>
  <c r="H8" i="37"/>
  <c r="G21" i="35"/>
  <c r="C23" i="34"/>
  <c r="B22" i="34"/>
  <c r="E22" i="34"/>
  <c r="I23" i="38" l="1"/>
  <c r="E22" i="39"/>
  <c r="B22" i="39"/>
  <c r="C23" i="39"/>
  <c r="G22" i="35"/>
  <c r="I21" i="35"/>
  <c r="B20" i="36"/>
  <c r="E20" i="36"/>
  <c r="G20" i="36" s="1"/>
  <c r="I20" i="36"/>
  <c r="C21" i="36"/>
  <c r="E22" i="33"/>
  <c r="E22" i="32" s="1"/>
  <c r="C22" i="32"/>
  <c r="B22" i="33"/>
  <c r="C23" i="33"/>
  <c r="C26" i="35"/>
  <c r="E25" i="35"/>
  <c r="B25" i="35"/>
  <c r="E21" i="37"/>
  <c r="B21" i="37"/>
  <c r="I22" i="34"/>
  <c r="B21" i="33"/>
  <c r="E21" i="33"/>
  <c r="E21" i="32" s="1"/>
  <c r="C21" i="32"/>
  <c r="B20" i="33"/>
  <c r="C20" i="32"/>
  <c r="E20" i="33"/>
  <c r="C22" i="37"/>
  <c r="C24" i="34"/>
  <c r="E23" i="34"/>
  <c r="G23" i="34" s="1"/>
  <c r="B23" i="34"/>
  <c r="B24" i="38"/>
  <c r="C25" i="38"/>
  <c r="E24" i="38"/>
  <c r="G24" i="38" s="1"/>
  <c r="A24" i="32"/>
  <c r="G21" i="39"/>
  <c r="B20" i="37"/>
  <c r="E20" i="37"/>
  <c r="G20" i="37" s="1"/>
  <c r="G21" i="37" s="1"/>
  <c r="I21" i="37" s="1"/>
  <c r="I24" i="38" l="1"/>
  <c r="I23" i="34"/>
  <c r="A25" i="32"/>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G20" i="33"/>
  <c r="E20" i="32"/>
  <c r="B26" i="35"/>
  <c r="C27" i="35"/>
  <c r="E26" i="35"/>
  <c r="I20" i="37"/>
  <c r="B25" i="38"/>
  <c r="C26" i="38"/>
  <c r="E25" i="38"/>
  <c r="G25" i="38" s="1"/>
  <c r="B24" i="34"/>
  <c r="C25" i="34"/>
  <c r="E24" i="34"/>
  <c r="G24" i="34" s="1"/>
  <c r="E22" i="37"/>
  <c r="I22" i="37"/>
  <c r="B22" i="37"/>
  <c r="C23" i="37"/>
  <c r="B20" i="32"/>
  <c r="B21" i="32"/>
  <c r="B22" i="32"/>
  <c r="B21" i="36"/>
  <c r="I21" i="36"/>
  <c r="E21" i="36"/>
  <c r="C22" i="36"/>
  <c r="G22" i="37"/>
  <c r="G21" i="36"/>
  <c r="B23" i="39"/>
  <c r="E23" i="39"/>
  <c r="C24" i="39"/>
  <c r="G22" i="39"/>
  <c r="I21" i="39"/>
  <c r="G23" i="35"/>
  <c r="I22" i="35"/>
  <c r="C23" i="32"/>
  <c r="E23" i="33"/>
  <c r="E23" i="32" s="1"/>
  <c r="B23" i="33"/>
  <c r="C24" i="33"/>
  <c r="I25" i="38" l="1"/>
  <c r="I24" i="34"/>
  <c r="E25" i="34"/>
  <c r="G25" i="34" s="1"/>
  <c r="B25" i="34"/>
  <c r="C26" i="34"/>
  <c r="B23" i="37"/>
  <c r="E23" i="37"/>
  <c r="C24" i="37"/>
  <c r="B27" i="35"/>
  <c r="C28" i="35"/>
  <c r="E27" i="35"/>
  <c r="G21" i="33"/>
  <c r="G20" i="32"/>
  <c r="I20" i="33"/>
  <c r="B24" i="33"/>
  <c r="C24" i="32"/>
  <c r="E24" i="33"/>
  <c r="E24" i="32" s="1"/>
  <c r="C25" i="33"/>
  <c r="G23" i="39"/>
  <c r="I22" i="39"/>
  <c r="B22" i="36"/>
  <c r="E22" i="36"/>
  <c r="C23" i="36"/>
  <c r="E26" i="38"/>
  <c r="G26" i="38" s="1"/>
  <c r="B26" i="38"/>
  <c r="C27" i="38"/>
  <c r="B23" i="32"/>
  <c r="G24" i="35"/>
  <c r="I23" i="35"/>
  <c r="B24" i="39"/>
  <c r="E24" i="39"/>
  <c r="C25" i="39"/>
  <c r="G22" i="36"/>
  <c r="G23" i="37"/>
  <c r="I26" i="38" l="1"/>
  <c r="G26" i="34"/>
  <c r="I25" i="34"/>
  <c r="B24" i="37"/>
  <c r="E24" i="37"/>
  <c r="C25" i="37"/>
  <c r="E25" i="39"/>
  <c r="B25" i="39"/>
  <c r="C26" i="39"/>
  <c r="G24" i="37"/>
  <c r="G25" i="35"/>
  <c r="I24" i="35"/>
  <c r="B25" i="33"/>
  <c r="E25" i="33"/>
  <c r="E25" i="32" s="1"/>
  <c r="C25" i="32"/>
  <c r="C26" i="33"/>
  <c r="B24" i="32"/>
  <c r="G22" i="33"/>
  <c r="G21" i="32"/>
  <c r="I21" i="33"/>
  <c r="D20" i="35"/>
  <c r="F20" i="35" s="1"/>
  <c r="I22" i="36"/>
  <c r="I20" i="32"/>
  <c r="B23" i="36"/>
  <c r="E23" i="36"/>
  <c r="G23" i="36" s="1"/>
  <c r="C24" i="36"/>
  <c r="G24" i="39"/>
  <c r="I23" i="39"/>
  <c r="C28" i="38"/>
  <c r="E27" i="38"/>
  <c r="G27" i="38" s="1"/>
  <c r="B27" i="38"/>
  <c r="E28" i="35"/>
  <c r="C29" i="35"/>
  <c r="B28" i="35"/>
  <c r="I23" i="37"/>
  <c r="C27" i="34"/>
  <c r="E26" i="34"/>
  <c r="B26" i="34"/>
  <c r="I26" i="34"/>
  <c r="I27" i="38" l="1"/>
  <c r="G24" i="36"/>
  <c r="I23" i="36"/>
  <c r="D21" i="35"/>
  <c r="D28" i="35"/>
  <c r="B28" i="38"/>
  <c r="C29" i="38"/>
  <c r="E28" i="38"/>
  <c r="G28" i="38" s="1"/>
  <c r="G26" i="35"/>
  <c r="I25" i="35"/>
  <c r="E26" i="39"/>
  <c r="B26" i="39"/>
  <c r="C27" i="39"/>
  <c r="E25" i="37"/>
  <c r="G25" i="37" s="1"/>
  <c r="B25" i="37"/>
  <c r="C26" i="37"/>
  <c r="D20" i="38"/>
  <c r="F20" i="38" s="1"/>
  <c r="I21" i="32"/>
  <c r="C30" i="35"/>
  <c r="B29" i="35"/>
  <c r="E29" i="35"/>
  <c r="G25" i="39"/>
  <c r="I24" i="39"/>
  <c r="E26" i="33"/>
  <c r="E26" i="32" s="1"/>
  <c r="C26" i="32"/>
  <c r="B26" i="33"/>
  <c r="C27" i="33"/>
  <c r="B25" i="32"/>
  <c r="I24" i="37"/>
  <c r="B27" i="34"/>
  <c r="C28" i="34"/>
  <c r="E27" i="34"/>
  <c r="G27" i="34" s="1"/>
  <c r="B24" i="36"/>
  <c r="E24" i="36"/>
  <c r="I24" i="36"/>
  <c r="C25" i="36"/>
  <c r="F21" i="35"/>
  <c r="H20" i="35"/>
  <c r="J20" i="35" s="1"/>
  <c r="K20" i="35" s="1"/>
  <c r="G22" i="32"/>
  <c r="G23" i="33"/>
  <c r="I22" i="33"/>
  <c r="I28" i="38" l="1"/>
  <c r="G28" i="34"/>
  <c r="I27" i="34"/>
  <c r="I25" i="37"/>
  <c r="C28" i="33"/>
  <c r="C27" i="32"/>
  <c r="E27" i="33"/>
  <c r="E27" i="32" s="1"/>
  <c r="B27" i="33"/>
  <c r="B25" i="36"/>
  <c r="E25" i="36"/>
  <c r="C26" i="36"/>
  <c r="G26" i="39"/>
  <c r="I25" i="39"/>
  <c r="C31" i="35"/>
  <c r="E30" i="35"/>
  <c r="B30" i="35"/>
  <c r="L20" i="35"/>
  <c r="M20" i="35"/>
  <c r="G25" i="36"/>
  <c r="H21" i="35"/>
  <c r="J21" i="35" s="1"/>
  <c r="K21" i="35" s="1"/>
  <c r="B28" i="34"/>
  <c r="C29" i="34"/>
  <c r="E28" i="34"/>
  <c r="B26" i="32"/>
  <c r="H20" i="38"/>
  <c r="J20" i="38" s="1"/>
  <c r="K20" i="38" s="1"/>
  <c r="B26" i="37"/>
  <c r="E26" i="37"/>
  <c r="G26" i="37" s="1"/>
  <c r="C27" i="37"/>
  <c r="B27" i="39"/>
  <c r="E27" i="39"/>
  <c r="C28" i="39"/>
  <c r="B29" i="38"/>
  <c r="C30" i="38"/>
  <c r="E29" i="38"/>
  <c r="G29" i="38" s="1"/>
  <c r="I22" i="32"/>
  <c r="G24" i="33"/>
  <c r="G23" i="32"/>
  <c r="I23" i="33"/>
  <c r="D20" i="34"/>
  <c r="F20" i="34" s="1"/>
  <c r="D29" i="35"/>
  <c r="D22" i="35"/>
  <c r="F22" i="35" s="1"/>
  <c r="G27" i="35"/>
  <c r="I26" i="35"/>
  <c r="D28" i="38"/>
  <c r="D21" i="38"/>
  <c r="F21" i="38" s="1"/>
  <c r="I26" i="37" l="1"/>
  <c r="G30" i="38"/>
  <c r="I29" i="38"/>
  <c r="H21" i="38"/>
  <c r="J21" i="38" s="1"/>
  <c r="K21" i="38" s="1"/>
  <c r="F23" i="35"/>
  <c r="H22" i="35"/>
  <c r="J22" i="35" s="1"/>
  <c r="K22" i="35" s="1"/>
  <c r="E30" i="38"/>
  <c r="B30" i="38"/>
  <c r="C31" i="38"/>
  <c r="B28" i="39"/>
  <c r="E28" i="39"/>
  <c r="C29" i="39"/>
  <c r="B26" i="36"/>
  <c r="E26" i="36"/>
  <c r="G26" i="36" s="1"/>
  <c r="C27" i="36"/>
  <c r="C29" i="33"/>
  <c r="C28" i="32"/>
  <c r="E28" i="33"/>
  <c r="E28" i="32" s="1"/>
  <c r="G28" i="35"/>
  <c r="I27" i="35"/>
  <c r="G25" i="33"/>
  <c r="G24" i="32"/>
  <c r="I24" i="33"/>
  <c r="G27" i="39"/>
  <c r="I26" i="39"/>
  <c r="B27" i="37"/>
  <c r="E27" i="37"/>
  <c r="G27" i="37" s="1"/>
  <c r="C28" i="37"/>
  <c r="C30" i="34"/>
  <c r="E29" i="34"/>
  <c r="G29" i="34" s="1"/>
  <c r="B29" i="34"/>
  <c r="B28" i="33"/>
  <c r="B27" i="32"/>
  <c r="D20" i="33"/>
  <c r="I23" i="32"/>
  <c r="D29" i="38"/>
  <c r="D22" i="38"/>
  <c r="F22" i="38" s="1"/>
  <c r="D28" i="34"/>
  <c r="D21" i="34"/>
  <c r="B31" i="35"/>
  <c r="C32" i="35"/>
  <c r="E31" i="35"/>
  <c r="L20" i="38"/>
  <c r="M20" i="38"/>
  <c r="F21" i="34"/>
  <c r="H20" i="34"/>
  <c r="J20" i="34" s="1"/>
  <c r="K20" i="34" s="1"/>
  <c r="D20" i="39"/>
  <c r="F20" i="39" s="1"/>
  <c r="I28" i="34"/>
  <c r="L21" i="35"/>
  <c r="M21" i="35"/>
  <c r="D30" i="35"/>
  <c r="D23" i="35"/>
  <c r="I25" i="36"/>
  <c r="I27" i="37" l="1"/>
  <c r="G30" i="34"/>
  <c r="I29" i="34"/>
  <c r="I26" i="36"/>
  <c r="H22" i="38"/>
  <c r="J22" i="38" s="1"/>
  <c r="K22" i="38" s="1"/>
  <c r="H20" i="39"/>
  <c r="J20" i="39" s="1"/>
  <c r="K20" i="39" s="1"/>
  <c r="B29" i="33"/>
  <c r="B28" i="32"/>
  <c r="D28" i="33"/>
  <c r="D28" i="32" s="1"/>
  <c r="D21" i="33"/>
  <c r="D21" i="32" s="1"/>
  <c r="F22" i="34"/>
  <c r="H21" i="34"/>
  <c r="J21" i="34" s="1"/>
  <c r="K21" i="34" s="1"/>
  <c r="G28" i="39"/>
  <c r="I27" i="39"/>
  <c r="G26" i="33"/>
  <c r="G25" i="32"/>
  <c r="I25" i="33"/>
  <c r="E29" i="39"/>
  <c r="B29" i="39"/>
  <c r="C30" i="39"/>
  <c r="C32" i="38"/>
  <c r="B31" i="38"/>
  <c r="E31" i="38"/>
  <c r="L22" i="35"/>
  <c r="M22" i="35"/>
  <c r="H23" i="35"/>
  <c r="J23" i="35" s="1"/>
  <c r="K23" i="35" s="1"/>
  <c r="C31" i="34"/>
  <c r="B30" i="34"/>
  <c r="E30" i="34"/>
  <c r="D20" i="37"/>
  <c r="F20" i="37" s="1"/>
  <c r="I24" i="32"/>
  <c r="G29" i="35"/>
  <c r="I28" i="35"/>
  <c r="E29" i="33"/>
  <c r="E29" i="32" s="1"/>
  <c r="C30" i="33"/>
  <c r="C29" i="32"/>
  <c r="L21" i="38"/>
  <c r="M21" i="38"/>
  <c r="B32" i="35"/>
  <c r="D31" i="35"/>
  <c r="D24" i="35"/>
  <c r="F24" i="35" s="1"/>
  <c r="D23" i="38"/>
  <c r="F23" i="38" s="1"/>
  <c r="D30" i="38"/>
  <c r="G31" i="38"/>
  <c r="L20" i="34"/>
  <c r="M20" i="34"/>
  <c r="E32" i="35"/>
  <c r="C33" i="35"/>
  <c r="F20" i="33"/>
  <c r="D20" i="32"/>
  <c r="D22" i="34"/>
  <c r="D29" i="34"/>
  <c r="B28" i="37"/>
  <c r="E28" i="37"/>
  <c r="G28" i="37" s="1"/>
  <c r="C29" i="37"/>
  <c r="B27" i="36"/>
  <c r="E27" i="36"/>
  <c r="G27" i="36" s="1"/>
  <c r="C28" i="36"/>
  <c r="D21" i="39"/>
  <c r="F21" i="39" s="1"/>
  <c r="D28" i="39"/>
  <c r="I30" i="38"/>
  <c r="H21" i="39" l="1"/>
  <c r="J21" i="39" s="1"/>
  <c r="K21" i="39" s="1"/>
  <c r="G29" i="37"/>
  <c r="I28" i="37"/>
  <c r="H23" i="38"/>
  <c r="J23" i="38" s="1"/>
  <c r="K23" i="38" s="1"/>
  <c r="G28" i="36"/>
  <c r="I28" i="36" s="1"/>
  <c r="I27" i="36"/>
  <c r="H24" i="35"/>
  <c r="J24" i="35" s="1"/>
  <c r="K24" i="35" s="1"/>
  <c r="D20" i="36"/>
  <c r="F20" i="36" s="1"/>
  <c r="C34" i="35"/>
  <c r="E33" i="35"/>
  <c r="E29" i="37"/>
  <c r="B29" i="37"/>
  <c r="C30" i="37"/>
  <c r="F21" i="33"/>
  <c r="F20" i="32"/>
  <c r="H20" i="33"/>
  <c r="D25" i="35"/>
  <c r="F25" i="35" s="1"/>
  <c r="B33" i="35"/>
  <c r="D32" i="35"/>
  <c r="E30" i="33"/>
  <c r="E30" i="32" s="1"/>
  <c r="C31" i="33"/>
  <c r="C30" i="32"/>
  <c r="G30" i="35"/>
  <c r="I29" i="35"/>
  <c r="H20" i="37"/>
  <c r="J20" i="37" s="1"/>
  <c r="K20" i="37" s="1"/>
  <c r="D30" i="34"/>
  <c r="D23" i="34"/>
  <c r="D31" i="38"/>
  <c r="D24" i="38"/>
  <c r="F24" i="38" s="1"/>
  <c r="B32" i="38"/>
  <c r="G26" i="32"/>
  <c r="G27" i="33"/>
  <c r="I26" i="33"/>
  <c r="L21" i="34"/>
  <c r="M21" i="34"/>
  <c r="L22" i="38"/>
  <c r="M22" i="38"/>
  <c r="B31" i="34"/>
  <c r="E31" i="34"/>
  <c r="C32" i="34"/>
  <c r="C33" i="38"/>
  <c r="E32" i="38"/>
  <c r="F23" i="34"/>
  <c r="H22" i="34"/>
  <c r="J22" i="34" s="1"/>
  <c r="K22" i="34" s="1"/>
  <c r="B28" i="36"/>
  <c r="E28" i="36"/>
  <c r="C29" i="36"/>
  <c r="G29" i="39"/>
  <c r="I28" i="39"/>
  <c r="L20" i="39"/>
  <c r="M20" i="39"/>
  <c r="D22" i="33"/>
  <c r="D22" i="32" s="1"/>
  <c r="B30" i="33"/>
  <c r="B29" i="32"/>
  <c r="D29" i="33"/>
  <c r="D29" i="32" s="1"/>
  <c r="G31" i="34"/>
  <c r="G32" i="38"/>
  <c r="L23" i="35"/>
  <c r="M23" i="35"/>
  <c r="B30" i="39"/>
  <c r="E30" i="39"/>
  <c r="C31" i="39"/>
  <c r="I25" i="32"/>
  <c r="D21" i="37"/>
  <c r="F21" i="37" s="1"/>
  <c r="D28" i="37"/>
  <c r="I30" i="34"/>
  <c r="I31" i="38"/>
  <c r="D22" i="39"/>
  <c r="F22" i="39" s="1"/>
  <c r="D29" i="39"/>
  <c r="H21" i="37" l="1"/>
  <c r="J21" i="37" s="1"/>
  <c r="K21" i="37" s="1"/>
  <c r="H22" i="39"/>
  <c r="J22" i="39" s="1"/>
  <c r="K22" i="39" s="1"/>
  <c r="H24" i="38"/>
  <c r="J24" i="38" s="1"/>
  <c r="K24" i="38" s="1"/>
  <c r="H25" i="35"/>
  <c r="J25" i="35" s="1"/>
  <c r="K25" i="35" s="1"/>
  <c r="B29" i="36"/>
  <c r="I29" i="36"/>
  <c r="E29" i="36"/>
  <c r="C30" i="36"/>
  <c r="D24" i="34"/>
  <c r="D31" i="34"/>
  <c r="G28" i="33"/>
  <c r="G27" i="32"/>
  <c r="I27" i="33"/>
  <c r="C32" i="39"/>
  <c r="E31" i="39"/>
  <c r="B31" i="39"/>
  <c r="G30" i="39"/>
  <c r="I29" i="39"/>
  <c r="D21" i="36"/>
  <c r="D28" i="36"/>
  <c r="I26" i="32"/>
  <c r="D33" i="35"/>
  <c r="D26" i="35"/>
  <c r="F26" i="35" s="1"/>
  <c r="B34" i="35"/>
  <c r="F22" i="33"/>
  <c r="F21" i="32"/>
  <c r="H21" i="33"/>
  <c r="I29" i="37"/>
  <c r="C34" i="38"/>
  <c r="E33" i="38"/>
  <c r="E30" i="37"/>
  <c r="G30" i="37" s="1"/>
  <c r="B30" i="37"/>
  <c r="C31" i="37"/>
  <c r="F21" i="36"/>
  <c r="H20" i="36"/>
  <c r="D23" i="33"/>
  <c r="D23" i="32" s="1"/>
  <c r="D30" i="33"/>
  <c r="D30" i="32" s="1"/>
  <c r="B31" i="33"/>
  <c r="B30" i="32"/>
  <c r="F24" i="34"/>
  <c r="H23" i="34"/>
  <c r="J23" i="34" s="1"/>
  <c r="K23" i="34" s="1"/>
  <c r="E32" i="34"/>
  <c r="B32" i="34"/>
  <c r="C33" i="34"/>
  <c r="L20" i="37"/>
  <c r="M20" i="37"/>
  <c r="H20" i="32"/>
  <c r="J20" i="33"/>
  <c r="D22" i="37"/>
  <c r="F22" i="37" s="1"/>
  <c r="D29" i="37"/>
  <c r="L24" i="35"/>
  <c r="M24" i="35"/>
  <c r="L23" i="38"/>
  <c r="M23" i="38"/>
  <c r="L21" i="39"/>
  <c r="M21" i="39"/>
  <c r="L22" i="34"/>
  <c r="M22" i="34"/>
  <c r="G31" i="35"/>
  <c r="I30" i="35"/>
  <c r="G29" i="36"/>
  <c r="G32" i="34"/>
  <c r="D30" i="39"/>
  <c r="D23" i="39"/>
  <c r="F23" i="39" s="1"/>
  <c r="G33" i="38"/>
  <c r="I33" i="38" s="1"/>
  <c r="I32" i="38"/>
  <c r="I31" i="34"/>
  <c r="B33" i="38"/>
  <c r="D32" i="38"/>
  <c r="D25" i="38"/>
  <c r="F25" i="38" s="1"/>
  <c r="C32" i="33"/>
  <c r="C31" i="32"/>
  <c r="E31" i="33"/>
  <c r="E31" i="32" s="1"/>
  <c r="C35" i="35"/>
  <c r="E34" i="35"/>
  <c r="I30" i="37" l="1"/>
  <c r="F24" i="39"/>
  <c r="H23" i="39"/>
  <c r="J23" i="39" s="1"/>
  <c r="K23" i="39" s="1"/>
  <c r="H26" i="35"/>
  <c r="J26" i="35" s="1"/>
  <c r="K26" i="35" s="1"/>
  <c r="F26" i="38"/>
  <c r="H25" i="38"/>
  <c r="J25" i="38" s="1"/>
  <c r="K25" i="38" s="1"/>
  <c r="H22" i="37"/>
  <c r="J22" i="37" s="1"/>
  <c r="K22" i="37" s="1"/>
  <c r="D32" i="34"/>
  <c r="D25" i="34"/>
  <c r="G32" i="35"/>
  <c r="I31" i="35"/>
  <c r="K20" i="33"/>
  <c r="J20" i="32"/>
  <c r="C34" i="34"/>
  <c r="E33" i="34"/>
  <c r="G33" i="34" s="1"/>
  <c r="B33" i="34"/>
  <c r="L23" i="34"/>
  <c r="M23" i="34"/>
  <c r="J20" i="36"/>
  <c r="K20" i="36" s="1"/>
  <c r="I34" i="38"/>
  <c r="E34" i="38"/>
  <c r="C35" i="38"/>
  <c r="B35" i="35"/>
  <c r="D34" i="35"/>
  <c r="D27" i="35"/>
  <c r="F27" i="35" s="1"/>
  <c r="L25" i="35"/>
  <c r="M25" i="35"/>
  <c r="L22" i="39"/>
  <c r="M22" i="39"/>
  <c r="H21" i="36"/>
  <c r="H21" i="32"/>
  <c r="J21" i="33"/>
  <c r="I27" i="32"/>
  <c r="C36" i="35"/>
  <c r="E35" i="35"/>
  <c r="B34" i="38"/>
  <c r="D33" i="38"/>
  <c r="D26" i="38"/>
  <c r="B31" i="37"/>
  <c r="C32" i="37"/>
  <c r="E31" i="37"/>
  <c r="G31" i="37" s="1"/>
  <c r="B32" i="39"/>
  <c r="D31" i="39"/>
  <c r="D24" i="39"/>
  <c r="G12" i="31"/>
  <c r="D29" i="36"/>
  <c r="D22" i="36"/>
  <c r="F22" i="36" s="1"/>
  <c r="L24" i="38"/>
  <c r="M24" i="38"/>
  <c r="L21" i="37"/>
  <c r="M21" i="37"/>
  <c r="F25" i="34"/>
  <c r="H24" i="34"/>
  <c r="J24" i="34" s="1"/>
  <c r="K24" i="34" s="1"/>
  <c r="G31" i="39"/>
  <c r="I30" i="39"/>
  <c r="C33" i="39"/>
  <c r="E32" i="39"/>
  <c r="C33" i="33"/>
  <c r="C32" i="32"/>
  <c r="E32" i="33"/>
  <c r="E32" i="32" s="1"/>
  <c r="G34" i="38"/>
  <c r="I32" i="34"/>
  <c r="D31" i="33"/>
  <c r="D31" i="32" s="1"/>
  <c r="B32" i="33"/>
  <c r="B31" i="32"/>
  <c r="D24" i="33"/>
  <c r="D24" i="32" s="1"/>
  <c r="D30" i="37"/>
  <c r="D23" i="37"/>
  <c r="F23" i="37" s="1"/>
  <c r="F23" i="33"/>
  <c r="F22" i="32"/>
  <c r="H22" i="33"/>
  <c r="G29" i="33"/>
  <c r="G28" i="32"/>
  <c r="I28" i="33"/>
  <c r="B30" i="36"/>
  <c r="E30" i="36"/>
  <c r="G30" i="36" s="1"/>
  <c r="C31" i="36"/>
  <c r="H22" i="36" l="1"/>
  <c r="G34" i="34"/>
  <c r="I33" i="34"/>
  <c r="I31" i="37"/>
  <c r="F28" i="35"/>
  <c r="H27" i="35"/>
  <c r="J27" i="35" s="1"/>
  <c r="K27" i="35" s="1"/>
  <c r="I30" i="36"/>
  <c r="F24" i="37"/>
  <c r="H23" i="37"/>
  <c r="J23" i="37" s="1"/>
  <c r="K23" i="37" s="1"/>
  <c r="G30" i="33"/>
  <c r="G29" i="32"/>
  <c r="I29" i="33"/>
  <c r="H25" i="34"/>
  <c r="J25" i="34" s="1"/>
  <c r="K25" i="34" s="1"/>
  <c r="E32" i="37"/>
  <c r="G32" i="37" s="1"/>
  <c r="C33" i="37"/>
  <c r="B36" i="35"/>
  <c r="D35" i="35"/>
  <c r="L22" i="37"/>
  <c r="M22" i="37"/>
  <c r="L25" i="38"/>
  <c r="M25" i="38"/>
  <c r="L23" i="39"/>
  <c r="M23" i="39"/>
  <c r="D30" i="36"/>
  <c r="D23" i="36"/>
  <c r="F23" i="36" s="1"/>
  <c r="E33" i="33"/>
  <c r="E33" i="32" s="1"/>
  <c r="C34" i="33"/>
  <c r="C33" i="32"/>
  <c r="B33" i="39"/>
  <c r="D32" i="39"/>
  <c r="D25" i="39"/>
  <c r="G33" i="35"/>
  <c r="I32" i="35"/>
  <c r="H26" i="38"/>
  <c r="J26" i="38" s="1"/>
  <c r="K26" i="38" s="1"/>
  <c r="B31" i="36"/>
  <c r="E31" i="36"/>
  <c r="G31" i="36" s="1"/>
  <c r="C32" i="36"/>
  <c r="I28" i="32"/>
  <c r="G32" i="39"/>
  <c r="I31" i="39"/>
  <c r="B32" i="37"/>
  <c r="D24" i="37"/>
  <c r="D31" i="37"/>
  <c r="D27" i="38"/>
  <c r="F27" i="38" s="1"/>
  <c r="B35" i="38"/>
  <c r="D34" i="38"/>
  <c r="D33" i="34"/>
  <c r="D26" i="34"/>
  <c r="F26" i="34" s="1"/>
  <c r="L26" i="35"/>
  <c r="M26" i="35"/>
  <c r="H22" i="32"/>
  <c r="J22" i="33"/>
  <c r="B33" i="33"/>
  <c r="B32" i="32"/>
  <c r="D32" i="33"/>
  <c r="D32" i="32" s="1"/>
  <c r="D25" i="33"/>
  <c r="D25" i="32" s="1"/>
  <c r="E36" i="35"/>
  <c r="C37" i="35"/>
  <c r="J21" i="36"/>
  <c r="K21" i="36" s="1"/>
  <c r="C35" i="34"/>
  <c r="B34" i="34"/>
  <c r="E34" i="34"/>
  <c r="F25" i="39"/>
  <c r="H24" i="39"/>
  <c r="J24" i="39" s="1"/>
  <c r="K24" i="39" s="1"/>
  <c r="F23" i="32"/>
  <c r="F24" i="33"/>
  <c r="H23" i="33"/>
  <c r="G35" i="38"/>
  <c r="I35" i="38" s="1"/>
  <c r="E33" i="39"/>
  <c r="C34" i="39"/>
  <c r="L24" i="34"/>
  <c r="M24" i="34"/>
  <c r="K21" i="33"/>
  <c r="J21" i="32"/>
  <c r="C36" i="38"/>
  <c r="E35" i="38"/>
  <c r="L20" i="36"/>
  <c r="L20" i="33"/>
  <c r="L20" i="32" s="1"/>
  <c r="K20" i="32"/>
  <c r="M20" i="32" s="1"/>
  <c r="M20" i="33"/>
  <c r="I31" i="36" l="1"/>
  <c r="F28" i="38"/>
  <c r="H27" i="38"/>
  <c r="J27" i="38" s="1"/>
  <c r="K27" i="38" s="1"/>
  <c r="I32" i="37"/>
  <c r="H26" i="34"/>
  <c r="J26" i="34" s="1"/>
  <c r="K26" i="34" s="1"/>
  <c r="H23" i="36"/>
  <c r="L24" i="39"/>
  <c r="M24" i="39"/>
  <c r="D25" i="37"/>
  <c r="F25" i="37" s="1"/>
  <c r="D32" i="37"/>
  <c r="B33" i="37"/>
  <c r="D26" i="39"/>
  <c r="F26" i="39" s="1"/>
  <c r="B34" i="39"/>
  <c r="D33" i="39"/>
  <c r="L25" i="34"/>
  <c r="M25" i="34"/>
  <c r="H24" i="37"/>
  <c r="J24" i="37" s="1"/>
  <c r="K24" i="37" s="1"/>
  <c r="D26" i="33"/>
  <c r="D26" i="32" s="1"/>
  <c r="B34" i="33"/>
  <c r="B33" i="32"/>
  <c r="D33" i="33"/>
  <c r="D33" i="32" s="1"/>
  <c r="D35" i="38"/>
  <c r="B36" i="38"/>
  <c r="E34" i="33"/>
  <c r="E34" i="32" s="1"/>
  <c r="C35" i="33"/>
  <c r="C34" i="32"/>
  <c r="B37" i="35"/>
  <c r="D36" i="35"/>
  <c r="L23" i="37"/>
  <c r="M23" i="37"/>
  <c r="L27" i="35"/>
  <c r="M27" i="35"/>
  <c r="C37" i="38"/>
  <c r="E36" i="38"/>
  <c r="G35" i="34"/>
  <c r="I35" i="34" s="1"/>
  <c r="C35" i="39"/>
  <c r="E34" i="39"/>
  <c r="H23" i="32"/>
  <c r="J23" i="33"/>
  <c r="H25" i="39"/>
  <c r="J25" i="39" s="1"/>
  <c r="K25" i="39" s="1"/>
  <c r="B35" i="34"/>
  <c r="C36" i="34"/>
  <c r="E35" i="34"/>
  <c r="L21" i="36"/>
  <c r="B32" i="36"/>
  <c r="D24" i="36"/>
  <c r="F24" i="36" s="1"/>
  <c r="D31" i="36"/>
  <c r="G34" i="35"/>
  <c r="I33" i="35"/>
  <c r="E33" i="37"/>
  <c r="G33" i="37" s="1"/>
  <c r="C34" i="37"/>
  <c r="J22" i="36"/>
  <c r="K22" i="36" s="1"/>
  <c r="G36" i="38"/>
  <c r="D34" i="34"/>
  <c r="D27" i="34"/>
  <c r="F27" i="34" s="1"/>
  <c r="K22" i="33"/>
  <c r="J22" i="32"/>
  <c r="I29" i="32"/>
  <c r="F29" i="35"/>
  <c r="H28" i="35"/>
  <c r="J28" i="35" s="1"/>
  <c r="K28" i="35" s="1"/>
  <c r="K21" i="32"/>
  <c r="M21" i="32" s="1"/>
  <c r="L21" i="33"/>
  <c r="L21" i="32" s="1"/>
  <c r="M21" i="33"/>
  <c r="F25" i="33"/>
  <c r="F24" i="32"/>
  <c r="H24" i="33"/>
  <c r="I34" i="34"/>
  <c r="C38" i="35"/>
  <c r="E37" i="35"/>
  <c r="G33" i="39"/>
  <c r="I32" i="39"/>
  <c r="E32" i="36"/>
  <c r="G32" i="36" s="1"/>
  <c r="C33" i="36"/>
  <c r="L26" i="38"/>
  <c r="M26" i="38"/>
  <c r="G31" i="33"/>
  <c r="G30" i="32"/>
  <c r="I30" i="33"/>
  <c r="G33" i="36" l="1"/>
  <c r="I32" i="36"/>
  <c r="H26" i="39"/>
  <c r="J26" i="39" s="1"/>
  <c r="K26" i="39" s="1"/>
  <c r="G34" i="37"/>
  <c r="I33" i="37"/>
  <c r="H24" i="36"/>
  <c r="J24" i="36" s="1"/>
  <c r="K24" i="36" s="1"/>
  <c r="F28" i="34"/>
  <c r="H27" i="34"/>
  <c r="J27" i="34" s="1"/>
  <c r="K27" i="34" s="1"/>
  <c r="H25" i="37"/>
  <c r="J25" i="37" s="1"/>
  <c r="K25" i="37" s="1"/>
  <c r="D35" i="34"/>
  <c r="G34" i="39"/>
  <c r="I33" i="39"/>
  <c r="F30" i="35"/>
  <c r="H29" i="35"/>
  <c r="J29" i="35" s="1"/>
  <c r="K29" i="35" s="1"/>
  <c r="K22" i="32"/>
  <c r="M22" i="32" s="1"/>
  <c r="L22" i="33"/>
  <c r="L22" i="32" s="1"/>
  <c r="M22" i="33"/>
  <c r="K23" i="33"/>
  <c r="J23" i="32"/>
  <c r="C36" i="39"/>
  <c r="E35" i="39"/>
  <c r="C38" i="38"/>
  <c r="E37" i="38"/>
  <c r="G37" i="38" s="1"/>
  <c r="D37" i="35"/>
  <c r="B38" i="35"/>
  <c r="D27" i="33"/>
  <c r="D27" i="32" s="1"/>
  <c r="D34" i="33"/>
  <c r="D34" i="32" s="1"/>
  <c r="B35" i="33"/>
  <c r="B34" i="32"/>
  <c r="D34" i="39"/>
  <c r="D27" i="39"/>
  <c r="F27" i="39" s="1"/>
  <c r="B35" i="39"/>
  <c r="J23" i="36"/>
  <c r="K23" i="36" s="1"/>
  <c r="L27" i="38"/>
  <c r="M27" i="38"/>
  <c r="G35" i="35"/>
  <c r="I34" i="35"/>
  <c r="I36" i="38"/>
  <c r="B37" i="38"/>
  <c r="D36" i="38"/>
  <c r="L24" i="37"/>
  <c r="M24" i="37"/>
  <c r="L26" i="34"/>
  <c r="M26" i="34"/>
  <c r="G32" i="33"/>
  <c r="G31" i="32"/>
  <c r="I31" i="33"/>
  <c r="E33" i="36"/>
  <c r="C34" i="36"/>
  <c r="I33" i="36"/>
  <c r="H24" i="32"/>
  <c r="J24" i="33"/>
  <c r="F29" i="38"/>
  <c r="H28" i="38"/>
  <c r="J28" i="38" s="1"/>
  <c r="K28" i="38" s="1"/>
  <c r="L22" i="36"/>
  <c r="C35" i="37"/>
  <c r="I34" i="37"/>
  <c r="E34" i="37"/>
  <c r="B33" i="36"/>
  <c r="D25" i="36"/>
  <c r="F25" i="36" s="1"/>
  <c r="D32" i="36"/>
  <c r="L25" i="39"/>
  <c r="M25" i="39"/>
  <c r="I30" i="32"/>
  <c r="E38" i="35"/>
  <c r="C39" i="35"/>
  <c r="F26" i="33"/>
  <c r="F25" i="32"/>
  <c r="H25" i="33"/>
  <c r="L28" i="35"/>
  <c r="M28" i="35"/>
  <c r="E36" i="34"/>
  <c r="G36" i="34" s="1"/>
  <c r="B36" i="34"/>
  <c r="C37" i="34"/>
  <c r="C36" i="33"/>
  <c r="C35" i="32"/>
  <c r="E35" i="33"/>
  <c r="E35" i="32" s="1"/>
  <c r="D26" i="37"/>
  <c r="F26" i="37" s="1"/>
  <c r="D33" i="37"/>
  <c r="B34" i="37"/>
  <c r="I37" i="38" l="1"/>
  <c r="I36" i="34"/>
  <c r="H25" i="36"/>
  <c r="J25" i="36" s="1"/>
  <c r="K25" i="36" s="1"/>
  <c r="L25" i="36" s="1"/>
  <c r="F27" i="37"/>
  <c r="H26" i="37"/>
  <c r="J26" i="37" s="1"/>
  <c r="K26" i="37" s="1"/>
  <c r="F28" i="39"/>
  <c r="H27" i="39"/>
  <c r="J27" i="39" s="1"/>
  <c r="K27" i="39" s="1"/>
  <c r="D36" i="34"/>
  <c r="D34" i="37"/>
  <c r="B35" i="37"/>
  <c r="D27" i="37"/>
  <c r="C38" i="34"/>
  <c r="E37" i="34"/>
  <c r="G37" i="34" s="1"/>
  <c r="B37" i="34"/>
  <c r="F27" i="33"/>
  <c r="F26" i="32"/>
  <c r="H26" i="33"/>
  <c r="L28" i="38"/>
  <c r="M28" i="38"/>
  <c r="I31" i="32"/>
  <c r="B38" i="38"/>
  <c r="D37" i="38"/>
  <c r="B36" i="39"/>
  <c r="D35" i="39"/>
  <c r="L29" i="35"/>
  <c r="M29" i="35"/>
  <c r="L27" i="34"/>
  <c r="M27" i="34"/>
  <c r="D35" i="33"/>
  <c r="D35" i="32" s="1"/>
  <c r="B36" i="33"/>
  <c r="B35" i="32"/>
  <c r="C37" i="39"/>
  <c r="E36" i="39"/>
  <c r="F31" i="35"/>
  <c r="H30" i="35"/>
  <c r="J30" i="35" s="1"/>
  <c r="K30" i="35" s="1"/>
  <c r="G35" i="37"/>
  <c r="D33" i="36"/>
  <c r="B34" i="36"/>
  <c r="D26" i="36"/>
  <c r="F26" i="36" s="1"/>
  <c r="L25" i="37"/>
  <c r="M25" i="37"/>
  <c r="L24" i="36"/>
  <c r="L26" i="39"/>
  <c r="M26" i="39"/>
  <c r="E39" i="35"/>
  <c r="C40" i="35"/>
  <c r="E35" i="37"/>
  <c r="C36" i="37"/>
  <c r="F30" i="38"/>
  <c r="H29" i="38"/>
  <c r="J29" i="38" s="1"/>
  <c r="K29" i="38" s="1"/>
  <c r="B39" i="35"/>
  <c r="D38" i="35"/>
  <c r="E38" i="38"/>
  <c r="G38" i="38" s="1"/>
  <c r="C39" i="38"/>
  <c r="G35" i="39"/>
  <c r="I34" i="39"/>
  <c r="F29" i="34"/>
  <c r="H28" i="34"/>
  <c r="J28" i="34" s="1"/>
  <c r="K28" i="34" s="1"/>
  <c r="H25" i="32"/>
  <c r="J25" i="33"/>
  <c r="C35" i="36"/>
  <c r="E34" i="36"/>
  <c r="G34" i="36" s="1"/>
  <c r="G33" i="33"/>
  <c r="G32" i="32"/>
  <c r="I32" i="33"/>
  <c r="C37" i="33"/>
  <c r="C36" i="32"/>
  <c r="E36" i="33"/>
  <c r="E36" i="32" s="1"/>
  <c r="K24" i="33"/>
  <c r="J24" i="32"/>
  <c r="G36" i="35"/>
  <c r="I35" i="35"/>
  <c r="L23" i="36"/>
  <c r="L23" i="33"/>
  <c r="L23" i="32" s="1"/>
  <c r="K23" i="32"/>
  <c r="M23" i="32" s="1"/>
  <c r="M23" i="33"/>
  <c r="H26" i="36" l="1"/>
  <c r="J26" i="36" s="1"/>
  <c r="K26" i="36" s="1"/>
  <c r="L26" i="36" s="1"/>
  <c r="I38" i="38"/>
  <c r="I34" i="36"/>
  <c r="G38" i="34"/>
  <c r="I37" i="34"/>
  <c r="E35" i="36"/>
  <c r="G35" i="36" s="1"/>
  <c r="C36" i="36"/>
  <c r="G37" i="35"/>
  <c r="I36" i="35"/>
  <c r="K25" i="33"/>
  <c r="J25" i="32"/>
  <c r="F30" i="34"/>
  <c r="H29" i="34"/>
  <c r="J29" i="34" s="1"/>
  <c r="K29" i="34" s="1"/>
  <c r="B40" i="35"/>
  <c r="D39" i="35"/>
  <c r="L29" i="38"/>
  <c r="M29" i="38"/>
  <c r="B37" i="33"/>
  <c r="B36" i="32"/>
  <c r="D36" i="33"/>
  <c r="D36" i="32" s="1"/>
  <c r="D37" i="34"/>
  <c r="L26" i="37"/>
  <c r="M26" i="37"/>
  <c r="I32" i="32"/>
  <c r="E40" i="35"/>
  <c r="C41" i="35"/>
  <c r="E37" i="39"/>
  <c r="C38" i="39"/>
  <c r="H26" i="32"/>
  <c r="J26" i="33"/>
  <c r="F28" i="37"/>
  <c r="H27" i="37"/>
  <c r="J27" i="37" s="1"/>
  <c r="K27" i="37" s="1"/>
  <c r="E37" i="33"/>
  <c r="E37" i="32" s="1"/>
  <c r="C38" i="33"/>
  <c r="C37" i="32"/>
  <c r="L30" i="35"/>
  <c r="M30" i="35"/>
  <c r="B37" i="39"/>
  <c r="D36" i="39"/>
  <c r="L27" i="39"/>
  <c r="M27" i="39"/>
  <c r="F31" i="38"/>
  <c r="H30" i="38"/>
  <c r="J30" i="38" s="1"/>
  <c r="K30" i="38" s="1"/>
  <c r="B39" i="38"/>
  <c r="D38" i="38"/>
  <c r="B36" i="37"/>
  <c r="D35" i="37"/>
  <c r="L24" i="33"/>
  <c r="L24" i="32" s="1"/>
  <c r="K24" i="32"/>
  <c r="M24" i="32" s="1"/>
  <c r="M24" i="33"/>
  <c r="G36" i="39"/>
  <c r="I35" i="39"/>
  <c r="I35" i="37"/>
  <c r="D34" i="36"/>
  <c r="B35" i="36"/>
  <c r="D27" i="36"/>
  <c r="F27" i="36" s="1"/>
  <c r="G33" i="32"/>
  <c r="G34" i="33"/>
  <c r="I33" i="33"/>
  <c r="L28" i="34"/>
  <c r="M28" i="34"/>
  <c r="C40" i="38"/>
  <c r="E39" i="38"/>
  <c r="G39" i="38" s="1"/>
  <c r="E36" i="37"/>
  <c r="G36" i="37" s="1"/>
  <c r="C37" i="37"/>
  <c r="F32" i="35"/>
  <c r="H31" i="35"/>
  <c r="J31" i="35" s="1"/>
  <c r="K31" i="35" s="1"/>
  <c r="F27" i="32"/>
  <c r="F28" i="33"/>
  <c r="H27" i="33"/>
  <c r="B38" i="34"/>
  <c r="C39" i="34"/>
  <c r="E38" i="34"/>
  <c r="F29" i="39"/>
  <c r="H28" i="39"/>
  <c r="J28" i="39" s="1"/>
  <c r="K28" i="39" s="1"/>
  <c r="I39" i="38" l="1"/>
  <c r="G37" i="37"/>
  <c r="I36" i="37"/>
  <c r="F28" i="36"/>
  <c r="H27" i="36"/>
  <c r="J27" i="36" s="1"/>
  <c r="K27" i="36" s="1"/>
  <c r="L27" i="36" s="1"/>
  <c r="G36" i="36"/>
  <c r="I35" i="36"/>
  <c r="L28" i="39"/>
  <c r="M28" i="39"/>
  <c r="B39" i="34"/>
  <c r="I39" i="34"/>
  <c r="E39" i="34"/>
  <c r="C40" i="34"/>
  <c r="I37" i="37"/>
  <c r="E37" i="37"/>
  <c r="C38" i="37"/>
  <c r="I33" i="32"/>
  <c r="D39" i="38"/>
  <c r="B40" i="38"/>
  <c r="L27" i="37"/>
  <c r="M27" i="37"/>
  <c r="C39" i="39"/>
  <c r="E38" i="39"/>
  <c r="C42" i="35"/>
  <c r="E41" i="35"/>
  <c r="F31" i="34"/>
  <c r="H30" i="34"/>
  <c r="J30" i="34" s="1"/>
  <c r="K30" i="34" s="1"/>
  <c r="G38" i="35"/>
  <c r="I37" i="35"/>
  <c r="F30" i="39"/>
  <c r="H29" i="39"/>
  <c r="J29" i="39" s="1"/>
  <c r="K29" i="39" s="1"/>
  <c r="G35" i="33"/>
  <c r="G34" i="32"/>
  <c r="I34" i="33"/>
  <c r="B37" i="37"/>
  <c r="D36" i="37"/>
  <c r="B38" i="39"/>
  <c r="D37" i="39"/>
  <c r="G39" i="34"/>
  <c r="L31" i="35"/>
  <c r="M31" i="35"/>
  <c r="D40" i="35"/>
  <c r="B41" i="35"/>
  <c r="L25" i="33"/>
  <c r="L25" i="32" s="1"/>
  <c r="K25" i="32"/>
  <c r="M25" i="32" s="1"/>
  <c r="M25" i="33"/>
  <c r="D38" i="34"/>
  <c r="C41" i="38"/>
  <c r="E40" i="38"/>
  <c r="G40" i="38" s="1"/>
  <c r="L30" i="38"/>
  <c r="M30" i="38"/>
  <c r="E38" i="33"/>
  <c r="E38" i="32" s="1"/>
  <c r="C39" i="33"/>
  <c r="C38" i="32"/>
  <c r="F29" i="37"/>
  <c r="H28" i="37"/>
  <c r="J28" i="37" s="1"/>
  <c r="K28" i="37" s="1"/>
  <c r="B38" i="33"/>
  <c r="B37" i="32"/>
  <c r="D37" i="33"/>
  <c r="D37" i="32" s="1"/>
  <c r="C37" i="36"/>
  <c r="E36" i="36"/>
  <c r="H27" i="32"/>
  <c r="J27" i="33"/>
  <c r="D35" i="36"/>
  <c r="B36" i="36"/>
  <c r="F32" i="38"/>
  <c r="H31" i="38"/>
  <c r="J31" i="38" s="1"/>
  <c r="K31" i="38" s="1"/>
  <c r="J26" i="32"/>
  <c r="K26" i="33"/>
  <c r="I38" i="34"/>
  <c r="F29" i="33"/>
  <c r="F28" i="32"/>
  <c r="H28" i="33"/>
  <c r="F33" i="35"/>
  <c r="H32" i="35"/>
  <c r="J32" i="35" s="1"/>
  <c r="K32" i="35" s="1"/>
  <c r="G37" i="39"/>
  <c r="I36" i="39"/>
  <c r="L29" i="34"/>
  <c r="M29" i="34"/>
  <c r="I40" i="38" l="1"/>
  <c r="L31" i="38"/>
  <c r="M31" i="38"/>
  <c r="L32" i="35"/>
  <c r="M32" i="35"/>
  <c r="F30" i="33"/>
  <c r="F29" i="32"/>
  <c r="H29" i="33"/>
  <c r="F30" i="37"/>
  <c r="H29" i="37"/>
  <c r="J29" i="37" s="1"/>
  <c r="K29" i="37" s="1"/>
  <c r="C42" i="38"/>
  <c r="E41" i="38"/>
  <c r="G41" i="38" s="1"/>
  <c r="D41" i="35"/>
  <c r="B42" i="35"/>
  <c r="D37" i="37"/>
  <c r="B38" i="37"/>
  <c r="I34" i="32"/>
  <c r="F31" i="39"/>
  <c r="H30" i="39"/>
  <c r="J30" i="39" s="1"/>
  <c r="K30" i="39" s="1"/>
  <c r="F32" i="34"/>
  <c r="H31" i="34"/>
  <c r="J31" i="34" s="1"/>
  <c r="K31" i="34" s="1"/>
  <c r="G37" i="36"/>
  <c r="G36" i="33"/>
  <c r="G35" i="32"/>
  <c r="I35" i="33"/>
  <c r="G39" i="35"/>
  <c r="I38" i="35"/>
  <c r="C40" i="39"/>
  <c r="E39" i="39"/>
  <c r="E40" i="34"/>
  <c r="C41" i="34"/>
  <c r="B40" i="34"/>
  <c r="F34" i="35"/>
  <c r="H33" i="35"/>
  <c r="J33" i="35" s="1"/>
  <c r="K33" i="35" s="1"/>
  <c r="E37" i="36"/>
  <c r="C38" i="36"/>
  <c r="I37" i="36"/>
  <c r="D38" i="39"/>
  <c r="B39" i="39"/>
  <c r="B41" i="38"/>
  <c r="D40" i="38"/>
  <c r="D39" i="34"/>
  <c r="G38" i="37"/>
  <c r="H28" i="32"/>
  <c r="J28" i="33"/>
  <c r="F33" i="38"/>
  <c r="H32" i="38"/>
  <c r="J32" i="38" s="1"/>
  <c r="K32" i="38" s="1"/>
  <c r="J27" i="32"/>
  <c r="K27" i="33"/>
  <c r="I36" i="36"/>
  <c r="D38" i="33"/>
  <c r="D38" i="32" s="1"/>
  <c r="B39" i="33"/>
  <c r="B38" i="32"/>
  <c r="C40" i="33"/>
  <c r="C39" i="32"/>
  <c r="E39" i="33"/>
  <c r="E39" i="32" s="1"/>
  <c r="G38" i="39"/>
  <c r="I37" i="39"/>
  <c r="K26" i="32"/>
  <c r="M26" i="32" s="1"/>
  <c r="L26" i="33"/>
  <c r="L26" i="32" s="1"/>
  <c r="M26" i="33"/>
  <c r="D36" i="36"/>
  <c r="B37" i="36"/>
  <c r="L28" i="37"/>
  <c r="M28" i="37"/>
  <c r="G40" i="34"/>
  <c r="L29" i="39"/>
  <c r="M29" i="39"/>
  <c r="L30" i="34"/>
  <c r="M30" i="34"/>
  <c r="C43" i="35"/>
  <c r="E42" i="35"/>
  <c r="C39" i="37"/>
  <c r="E38" i="37"/>
  <c r="F29" i="36"/>
  <c r="H28" i="36"/>
  <c r="J28" i="36" s="1"/>
  <c r="K28" i="36" s="1"/>
  <c r="L28" i="36" s="1"/>
  <c r="I41" i="38" l="1"/>
  <c r="I39" i="37"/>
  <c r="C40" i="37"/>
  <c r="E39" i="37"/>
  <c r="D39" i="33"/>
  <c r="D39" i="32" s="1"/>
  <c r="B40" i="33"/>
  <c r="B39" i="32"/>
  <c r="L27" i="33"/>
  <c r="L27" i="32" s="1"/>
  <c r="K27" i="32"/>
  <c r="M27" i="32" s="1"/>
  <c r="B12" i="31" s="1"/>
  <c r="M27" i="33"/>
  <c r="K28" i="33"/>
  <c r="J28" i="32"/>
  <c r="G39" i="37"/>
  <c r="L33" i="35"/>
  <c r="M33" i="35"/>
  <c r="D40" i="34"/>
  <c r="G40" i="35"/>
  <c r="I39" i="35"/>
  <c r="G38" i="36"/>
  <c r="F32" i="39"/>
  <c r="H31" i="39"/>
  <c r="J31" i="39" s="1"/>
  <c r="K31" i="39" s="1"/>
  <c r="D38" i="37"/>
  <c r="B39" i="37"/>
  <c r="E42" i="38"/>
  <c r="G42" i="38" s="1"/>
  <c r="C43" i="38"/>
  <c r="C42" i="34"/>
  <c r="E41" i="34"/>
  <c r="G41" i="34" s="1"/>
  <c r="B41" i="34"/>
  <c r="I35" i="32"/>
  <c r="F31" i="33"/>
  <c r="F30" i="32"/>
  <c r="H30" i="33"/>
  <c r="B40" i="39"/>
  <c r="D39" i="39"/>
  <c r="F33" i="34"/>
  <c r="H32" i="34"/>
  <c r="J32" i="34" s="1"/>
  <c r="K32" i="34" s="1"/>
  <c r="F31" i="37"/>
  <c r="H30" i="37"/>
  <c r="J30" i="37" s="1"/>
  <c r="K30" i="37" s="1"/>
  <c r="F30" i="36"/>
  <c r="H29" i="36"/>
  <c r="J29" i="36" s="1"/>
  <c r="K29" i="36" s="1"/>
  <c r="L29" i="36" s="1"/>
  <c r="F35" i="35"/>
  <c r="H34" i="35"/>
  <c r="J34" i="35" s="1"/>
  <c r="K34" i="35" s="1"/>
  <c r="C41" i="39"/>
  <c r="E40" i="39"/>
  <c r="L31" i="34"/>
  <c r="M31" i="34"/>
  <c r="L29" i="37"/>
  <c r="M29" i="37"/>
  <c r="I38" i="37"/>
  <c r="G39" i="39"/>
  <c r="I38" i="39"/>
  <c r="C41" i="33"/>
  <c r="C40" i="32"/>
  <c r="E40" i="33"/>
  <c r="E40" i="32" s="1"/>
  <c r="L32" i="38"/>
  <c r="M32" i="38"/>
  <c r="I38" i="36"/>
  <c r="C39" i="36"/>
  <c r="E38" i="36"/>
  <c r="E43" i="35"/>
  <c r="C44" i="35"/>
  <c r="D37" i="36"/>
  <c r="B38" i="36"/>
  <c r="F34" i="38"/>
  <c r="H33" i="38"/>
  <c r="J33" i="38" s="1"/>
  <c r="K33" i="38" s="1"/>
  <c r="B42" i="38"/>
  <c r="D41" i="38"/>
  <c r="I40" i="34"/>
  <c r="G37" i="33"/>
  <c r="G36" i="32"/>
  <c r="I36" i="33"/>
  <c r="L30" i="39"/>
  <c r="M30" i="39"/>
  <c r="B43" i="35"/>
  <c r="D42" i="35"/>
  <c r="H29" i="32"/>
  <c r="J29" i="33"/>
  <c r="I42" i="38" l="1"/>
  <c r="I41" i="34"/>
  <c r="E44" i="35"/>
  <c r="C45" i="35"/>
  <c r="E39" i="36"/>
  <c r="C40" i="36"/>
  <c r="L32" i="34"/>
  <c r="M32" i="34"/>
  <c r="B41" i="39"/>
  <c r="D40" i="39"/>
  <c r="D41" i="34"/>
  <c r="B40" i="37"/>
  <c r="D39" i="37"/>
  <c r="F33" i="39"/>
  <c r="H32" i="39"/>
  <c r="J32" i="39" s="1"/>
  <c r="K32" i="39" s="1"/>
  <c r="D12" i="31"/>
  <c r="C12" i="31"/>
  <c r="E12" i="31" s="1"/>
  <c r="F12" i="31" s="1"/>
  <c r="E40" i="37"/>
  <c r="G40" i="37" s="1"/>
  <c r="C41" i="37"/>
  <c r="I36" i="32"/>
  <c r="H30" i="32"/>
  <c r="J30" i="33"/>
  <c r="K29" i="33"/>
  <c r="J29" i="32"/>
  <c r="L28" i="33"/>
  <c r="L28" i="32" s="1"/>
  <c r="K28" i="32"/>
  <c r="M28" i="32" s="1"/>
  <c r="M28" i="33"/>
  <c r="B43" i="38"/>
  <c r="D42" i="38"/>
  <c r="D38" i="36"/>
  <c r="B39" i="36"/>
  <c r="G40" i="39"/>
  <c r="I39" i="39"/>
  <c r="E41" i="39"/>
  <c r="C42" i="39"/>
  <c r="F34" i="34"/>
  <c r="H33" i="34"/>
  <c r="J33" i="34" s="1"/>
  <c r="K33" i="34" s="1"/>
  <c r="C44" i="38"/>
  <c r="E43" i="38"/>
  <c r="G43" i="38" s="1"/>
  <c r="G39" i="36"/>
  <c r="D43" i="35"/>
  <c r="B44" i="35"/>
  <c r="L33" i="38"/>
  <c r="M33" i="38"/>
  <c r="L34" i="35"/>
  <c r="M34" i="35"/>
  <c r="L30" i="37"/>
  <c r="M30" i="37"/>
  <c r="G38" i="33"/>
  <c r="G37" i="32"/>
  <c r="I37" i="33"/>
  <c r="F35" i="38"/>
  <c r="H34" i="38"/>
  <c r="J34" i="38" s="1"/>
  <c r="K34" i="38" s="1"/>
  <c r="E41" i="33"/>
  <c r="E41" i="32" s="1"/>
  <c r="C42" i="33"/>
  <c r="C41" i="32"/>
  <c r="F36" i="35"/>
  <c r="H35" i="35"/>
  <c r="J35" i="35" s="1"/>
  <c r="K35" i="35" s="1"/>
  <c r="F31" i="36"/>
  <c r="H30" i="36"/>
  <c r="J30" i="36" s="1"/>
  <c r="K30" i="36" s="1"/>
  <c r="L30" i="36" s="1"/>
  <c r="F32" i="37"/>
  <c r="H31" i="37"/>
  <c r="J31" i="37" s="1"/>
  <c r="K31" i="37" s="1"/>
  <c r="F32" i="33"/>
  <c r="F31" i="32"/>
  <c r="H31" i="33"/>
  <c r="B42" i="34"/>
  <c r="C43" i="34"/>
  <c r="E42" i="34"/>
  <c r="G42" i="34" s="1"/>
  <c r="L31" i="39"/>
  <c r="M31" i="39"/>
  <c r="G41" i="35"/>
  <c r="I40" i="35"/>
  <c r="B41" i="33"/>
  <c r="B40" i="32"/>
  <c r="D40" i="33"/>
  <c r="D40" i="32" s="1"/>
  <c r="I42" i="34" l="1"/>
  <c r="G44" i="38"/>
  <c r="I43" i="38"/>
  <c r="I40" i="37"/>
  <c r="G42" i="35"/>
  <c r="I41" i="35"/>
  <c r="L34" i="38"/>
  <c r="M34" i="38"/>
  <c r="G40" i="36"/>
  <c r="H31" i="32"/>
  <c r="J31" i="33"/>
  <c r="F33" i="37"/>
  <c r="H32" i="37"/>
  <c r="J32" i="37" s="1"/>
  <c r="K32" i="37" s="1"/>
  <c r="F37" i="35"/>
  <c r="H36" i="35"/>
  <c r="J36" i="35" s="1"/>
  <c r="K36" i="35" s="1"/>
  <c r="D44" i="35"/>
  <c r="B45" i="35"/>
  <c r="I44" i="38"/>
  <c r="E44" i="38"/>
  <c r="C45" i="38"/>
  <c r="C43" i="39"/>
  <c r="E42" i="39"/>
  <c r="G41" i="39"/>
  <c r="I40" i="39"/>
  <c r="L29" i="33"/>
  <c r="L29" i="32" s="1"/>
  <c r="K29" i="32"/>
  <c r="M29" i="32" s="1"/>
  <c r="M29" i="33"/>
  <c r="L32" i="39"/>
  <c r="M32" i="39"/>
  <c r="D40" i="37"/>
  <c r="B41" i="37"/>
  <c r="C46" i="35"/>
  <c r="E45" i="35"/>
  <c r="B43" i="34"/>
  <c r="E43" i="34"/>
  <c r="G43" i="34" s="1"/>
  <c r="C44" i="34"/>
  <c r="F33" i="33"/>
  <c r="F32" i="32"/>
  <c r="H32" i="33"/>
  <c r="F32" i="36"/>
  <c r="H31" i="36"/>
  <c r="J31" i="36" s="1"/>
  <c r="K31" i="36" s="1"/>
  <c r="L31" i="36" s="1"/>
  <c r="E42" i="33"/>
  <c r="E42" i="32" s="1"/>
  <c r="C43" i="33"/>
  <c r="C42" i="32"/>
  <c r="F36" i="38"/>
  <c r="H35" i="38"/>
  <c r="J35" i="38" s="1"/>
  <c r="K35" i="38" s="1"/>
  <c r="L33" i="34"/>
  <c r="M33" i="34"/>
  <c r="D39" i="36"/>
  <c r="B40" i="36"/>
  <c r="D43" i="38"/>
  <c r="B44" i="38"/>
  <c r="E41" i="37"/>
  <c r="G41" i="37" s="1"/>
  <c r="C42" i="37"/>
  <c r="I40" i="36"/>
  <c r="C41" i="36"/>
  <c r="E40" i="36"/>
  <c r="G39" i="33"/>
  <c r="G38" i="32"/>
  <c r="I38" i="33"/>
  <c r="K30" i="33"/>
  <c r="J30" i="32"/>
  <c r="F34" i="39"/>
  <c r="H33" i="39"/>
  <c r="J33" i="39" s="1"/>
  <c r="K33" i="39" s="1"/>
  <c r="B42" i="39"/>
  <c r="D41" i="39"/>
  <c r="B42" i="33"/>
  <c r="B41" i="32"/>
  <c r="D41" i="33"/>
  <c r="D41" i="32" s="1"/>
  <c r="D42" i="34"/>
  <c r="L31" i="37"/>
  <c r="M31" i="37"/>
  <c r="L35" i="35"/>
  <c r="M35" i="35"/>
  <c r="I37" i="32"/>
  <c r="F35" i="34"/>
  <c r="H34" i="34"/>
  <c r="J34" i="34" s="1"/>
  <c r="K34" i="34" s="1"/>
  <c r="I39" i="36"/>
  <c r="I43" i="34" l="1"/>
  <c r="G42" i="37"/>
  <c r="I41" i="37"/>
  <c r="F36" i="34"/>
  <c r="H35" i="34"/>
  <c r="J35" i="34" s="1"/>
  <c r="K35" i="34" s="1"/>
  <c r="L30" i="33"/>
  <c r="L30" i="32" s="1"/>
  <c r="K30" i="32"/>
  <c r="M30" i="32" s="1"/>
  <c r="M30" i="33"/>
  <c r="B45" i="38"/>
  <c r="D44" i="38"/>
  <c r="L35" i="38"/>
  <c r="M35" i="38"/>
  <c r="H32" i="32"/>
  <c r="J32" i="33"/>
  <c r="L34" i="34"/>
  <c r="M34" i="34"/>
  <c r="D42" i="39"/>
  <c r="B43" i="39"/>
  <c r="G40" i="33"/>
  <c r="G39" i="32"/>
  <c r="I39" i="33"/>
  <c r="E41" i="36"/>
  <c r="G41" i="36" s="1"/>
  <c r="C42" i="36"/>
  <c r="D40" i="36"/>
  <c r="B41" i="36"/>
  <c r="C44" i="33"/>
  <c r="C43" i="32"/>
  <c r="E43" i="33"/>
  <c r="E43" i="32" s="1"/>
  <c r="F33" i="36"/>
  <c r="H32" i="36"/>
  <c r="J32" i="36" s="1"/>
  <c r="K32" i="36" s="1"/>
  <c r="L32" i="36" s="1"/>
  <c r="E44" i="34"/>
  <c r="G44" i="34" s="1"/>
  <c r="C45" i="34"/>
  <c r="B44" i="34"/>
  <c r="F34" i="37"/>
  <c r="H33" i="37"/>
  <c r="J33" i="37" s="1"/>
  <c r="K33" i="37" s="1"/>
  <c r="L36" i="35"/>
  <c r="M36" i="35"/>
  <c r="G43" i="35"/>
  <c r="I42" i="35"/>
  <c r="D42" i="33"/>
  <c r="D42" i="32" s="1"/>
  <c r="B42" i="32"/>
  <c r="B43" i="33"/>
  <c r="L33" i="39"/>
  <c r="M33" i="39"/>
  <c r="I38" i="32"/>
  <c r="C43" i="37"/>
  <c r="E42" i="37"/>
  <c r="F37" i="38"/>
  <c r="H36" i="38"/>
  <c r="J36" i="38" s="1"/>
  <c r="K36" i="38" s="1"/>
  <c r="E46" i="35"/>
  <c r="C47" i="35"/>
  <c r="D41" i="37"/>
  <c r="B42" i="37"/>
  <c r="C44" i="39"/>
  <c r="E43" i="39"/>
  <c r="D45" i="35"/>
  <c r="B46" i="35"/>
  <c r="F38" i="35"/>
  <c r="H37" i="35"/>
  <c r="J37" i="35" s="1"/>
  <c r="K37" i="35" s="1"/>
  <c r="J31" i="32"/>
  <c r="K31" i="33"/>
  <c r="F35" i="39"/>
  <c r="H34" i="39"/>
  <c r="J34" i="39" s="1"/>
  <c r="K34" i="39" s="1"/>
  <c r="F34" i="33"/>
  <c r="F33" i="32"/>
  <c r="H33" i="33"/>
  <c r="D43" i="34"/>
  <c r="G42" i="39"/>
  <c r="I41" i="39"/>
  <c r="C46" i="38"/>
  <c r="E45" i="38"/>
  <c r="G45" i="38" s="1"/>
  <c r="L32" i="37"/>
  <c r="M32" i="37"/>
  <c r="I44" i="34" l="1"/>
  <c r="I45" i="38"/>
  <c r="I41" i="36"/>
  <c r="L36" i="38"/>
  <c r="M36" i="38"/>
  <c r="E43" i="37"/>
  <c r="C44" i="37"/>
  <c r="I43" i="37"/>
  <c r="G44" i="35"/>
  <c r="I43" i="35"/>
  <c r="C46" i="34"/>
  <c r="E45" i="34"/>
  <c r="G45" i="34" s="1"/>
  <c r="B45" i="34"/>
  <c r="F34" i="36"/>
  <c r="H33" i="36"/>
  <c r="J33" i="36" s="1"/>
  <c r="K33" i="36" s="1"/>
  <c r="L33" i="36" s="1"/>
  <c r="C45" i="33"/>
  <c r="C44" i="32"/>
  <c r="E44" i="33"/>
  <c r="E44" i="32" s="1"/>
  <c r="K32" i="33"/>
  <c r="J32" i="32"/>
  <c r="L31" i="33"/>
  <c r="L31" i="32" s="1"/>
  <c r="K31" i="32"/>
  <c r="M31" i="32" s="1"/>
  <c r="M31" i="33"/>
  <c r="L34" i="39"/>
  <c r="M34" i="39"/>
  <c r="F38" i="38"/>
  <c r="H37" i="38"/>
  <c r="J37" i="38" s="1"/>
  <c r="K37" i="38" s="1"/>
  <c r="L33" i="37"/>
  <c r="M33" i="37"/>
  <c r="G41" i="33"/>
  <c r="G40" i="32"/>
  <c r="I40" i="33"/>
  <c r="D42" i="37"/>
  <c r="B43" i="37"/>
  <c r="F35" i="37"/>
  <c r="H34" i="37"/>
  <c r="J34" i="37" s="1"/>
  <c r="K34" i="37" s="1"/>
  <c r="B44" i="39"/>
  <c r="D43" i="39"/>
  <c r="D45" i="38"/>
  <c r="B46" i="38"/>
  <c r="L35" i="34"/>
  <c r="M35" i="34"/>
  <c r="F35" i="33"/>
  <c r="F34" i="32"/>
  <c r="H34" i="33"/>
  <c r="L37" i="35"/>
  <c r="M37" i="35"/>
  <c r="E46" i="38"/>
  <c r="G46" i="38" s="1"/>
  <c r="C47" i="38"/>
  <c r="F39" i="35"/>
  <c r="H38" i="35"/>
  <c r="J38" i="35" s="1"/>
  <c r="K38" i="35" s="1"/>
  <c r="E47" i="35"/>
  <c r="C48" i="35"/>
  <c r="D41" i="36"/>
  <c r="B42" i="36"/>
  <c r="C43" i="36"/>
  <c r="E42" i="36"/>
  <c r="G42" i="36" s="1"/>
  <c r="G43" i="37"/>
  <c r="H33" i="32"/>
  <c r="J33" i="33"/>
  <c r="F36" i="39"/>
  <c r="H35" i="39"/>
  <c r="J35" i="39" s="1"/>
  <c r="K35" i="39" s="1"/>
  <c r="B47" i="35"/>
  <c r="D46" i="35"/>
  <c r="C45" i="39"/>
  <c r="E44" i="39"/>
  <c r="D43" i="33"/>
  <c r="D43" i="32" s="1"/>
  <c r="B44" i="33"/>
  <c r="B43" i="32"/>
  <c r="G43" i="39"/>
  <c r="I42" i="39"/>
  <c r="I42" i="37"/>
  <c r="D44" i="34"/>
  <c r="I39" i="32"/>
  <c r="F37" i="34"/>
  <c r="H36" i="34"/>
  <c r="J36" i="34" s="1"/>
  <c r="K36" i="34" s="1"/>
  <c r="I46" i="38" l="1"/>
  <c r="G46" i="34"/>
  <c r="I45" i="34"/>
  <c r="I42" i="36"/>
  <c r="K33" i="33"/>
  <c r="J33" i="32"/>
  <c r="E43" i="36"/>
  <c r="G43" i="36" s="1"/>
  <c r="C44" i="36"/>
  <c r="H34" i="32"/>
  <c r="J34" i="33"/>
  <c r="B45" i="39"/>
  <c r="D44" i="39"/>
  <c r="I40" i="32"/>
  <c r="E45" i="33"/>
  <c r="E45" i="32" s="1"/>
  <c r="C46" i="33"/>
  <c r="C45" i="32"/>
  <c r="G45" i="35"/>
  <c r="I44" i="35"/>
  <c r="F38" i="34"/>
  <c r="H37" i="34"/>
  <c r="J37" i="34" s="1"/>
  <c r="K37" i="34" s="1"/>
  <c r="B45" i="33"/>
  <c r="B44" i="32"/>
  <c r="D44" i="33"/>
  <c r="D44" i="32" s="1"/>
  <c r="L38" i="35"/>
  <c r="M38" i="35"/>
  <c r="L35" i="39"/>
  <c r="M35" i="39"/>
  <c r="F36" i="37"/>
  <c r="H35" i="37"/>
  <c r="J35" i="37" s="1"/>
  <c r="K35" i="37" s="1"/>
  <c r="G42" i="33"/>
  <c r="G41" i="32"/>
  <c r="I41" i="33"/>
  <c r="F39" i="38"/>
  <c r="H38" i="38"/>
  <c r="J38" i="38" s="1"/>
  <c r="K38" i="38" s="1"/>
  <c r="F35" i="36"/>
  <c r="H34" i="36"/>
  <c r="J34" i="36" s="1"/>
  <c r="K34" i="36" s="1"/>
  <c r="L34" i="36" s="1"/>
  <c r="B46" i="34"/>
  <c r="C47" i="34"/>
  <c r="E46" i="34"/>
  <c r="E44" i="37"/>
  <c r="C45" i="37"/>
  <c r="L36" i="34"/>
  <c r="M36" i="34"/>
  <c r="B48" i="35"/>
  <c r="D47" i="35"/>
  <c r="L34" i="37"/>
  <c r="M34" i="37"/>
  <c r="L37" i="38"/>
  <c r="M37" i="38"/>
  <c r="E45" i="39"/>
  <c r="C46" i="39"/>
  <c r="G44" i="37"/>
  <c r="D42" i="36"/>
  <c r="B43" i="36"/>
  <c r="E48" i="35"/>
  <c r="C49" i="35"/>
  <c r="F40" i="35"/>
  <c r="H39" i="35"/>
  <c r="J39" i="35" s="1"/>
  <c r="K39" i="35" s="1"/>
  <c r="F36" i="33"/>
  <c r="F35" i="32"/>
  <c r="H35" i="33"/>
  <c r="G44" i="39"/>
  <c r="I43" i="39"/>
  <c r="F37" i="39"/>
  <c r="H36" i="39"/>
  <c r="J36" i="39" s="1"/>
  <c r="K36" i="39" s="1"/>
  <c r="C48" i="38"/>
  <c r="E47" i="38"/>
  <c r="G47" i="38" s="1"/>
  <c r="B47" i="38"/>
  <c r="D46" i="38"/>
  <c r="B44" i="37"/>
  <c r="D43" i="37"/>
  <c r="L32" i="33"/>
  <c r="L32" i="32" s="1"/>
  <c r="K32" i="32"/>
  <c r="M32" i="32" s="1"/>
  <c r="M32" i="33"/>
  <c r="D45" i="34"/>
  <c r="I47" i="38" l="1"/>
  <c r="I43" i="36"/>
  <c r="L39" i="35"/>
  <c r="M39" i="35"/>
  <c r="F40" i="38"/>
  <c r="H39" i="38"/>
  <c r="J39" i="38" s="1"/>
  <c r="K39" i="38" s="1"/>
  <c r="E48" i="38"/>
  <c r="G48" i="38" s="1"/>
  <c r="C49" i="38"/>
  <c r="G45" i="39"/>
  <c r="I44" i="39"/>
  <c r="F37" i="33"/>
  <c r="F36" i="32"/>
  <c r="H36" i="33"/>
  <c r="B47" i="34"/>
  <c r="E47" i="34"/>
  <c r="G47" i="34" s="1"/>
  <c r="C48" i="34"/>
  <c r="L38" i="38"/>
  <c r="M38" i="38"/>
  <c r="G43" i="33"/>
  <c r="G42" i="32"/>
  <c r="I42" i="33"/>
  <c r="F39" i="34"/>
  <c r="H38" i="34"/>
  <c r="J38" i="34" s="1"/>
  <c r="K38" i="34" s="1"/>
  <c r="G46" i="35"/>
  <c r="I45" i="35"/>
  <c r="L36" i="39"/>
  <c r="M36" i="39"/>
  <c r="D46" i="34"/>
  <c r="C45" i="36"/>
  <c r="E44" i="36"/>
  <c r="G44" i="36" s="1"/>
  <c r="L33" i="33"/>
  <c r="L33" i="32" s="1"/>
  <c r="K33" i="32"/>
  <c r="M33" i="32" s="1"/>
  <c r="M33" i="33"/>
  <c r="D43" i="36"/>
  <c r="B44" i="36"/>
  <c r="I41" i="32"/>
  <c r="F37" i="37"/>
  <c r="H36" i="37"/>
  <c r="J36" i="37" s="1"/>
  <c r="K36" i="37" s="1"/>
  <c r="B46" i="33"/>
  <c r="B45" i="32"/>
  <c r="D45" i="33"/>
  <c r="D45" i="32" s="1"/>
  <c r="E46" i="33"/>
  <c r="E46" i="32" s="1"/>
  <c r="C47" i="33"/>
  <c r="C46" i="32"/>
  <c r="D47" i="38"/>
  <c r="B48" i="38"/>
  <c r="I44" i="37"/>
  <c r="L35" i="37"/>
  <c r="M35" i="37"/>
  <c r="B46" i="39"/>
  <c r="D45" i="39"/>
  <c r="B45" i="37"/>
  <c r="D44" i="37"/>
  <c r="F38" i="39"/>
  <c r="H37" i="39"/>
  <c r="J37" i="39" s="1"/>
  <c r="K37" i="39" s="1"/>
  <c r="H35" i="32"/>
  <c r="J35" i="33"/>
  <c r="F41" i="35"/>
  <c r="H40" i="35"/>
  <c r="J40" i="35" s="1"/>
  <c r="K40" i="35" s="1"/>
  <c r="E46" i="39"/>
  <c r="C47" i="39"/>
  <c r="C50" i="35"/>
  <c r="E49" i="35"/>
  <c r="D48" i="35"/>
  <c r="B49" i="35"/>
  <c r="E45" i="37"/>
  <c r="G45" i="37" s="1"/>
  <c r="C46" i="37"/>
  <c r="I46" i="34"/>
  <c r="F36" i="36"/>
  <c r="H35" i="36"/>
  <c r="J35" i="36" s="1"/>
  <c r="K35" i="36" s="1"/>
  <c r="L35" i="36" s="1"/>
  <c r="L37" i="34"/>
  <c r="M37" i="34"/>
  <c r="K34" i="33"/>
  <c r="J34" i="32"/>
  <c r="I47" i="34" l="1"/>
  <c r="I48" i="38"/>
  <c r="I45" i="37"/>
  <c r="G45" i="36"/>
  <c r="I44" i="36"/>
  <c r="D46" i="33"/>
  <c r="D46" i="32" s="1"/>
  <c r="B47" i="33"/>
  <c r="B46" i="32"/>
  <c r="C50" i="38"/>
  <c r="E49" i="38"/>
  <c r="G49" i="38" s="1"/>
  <c r="D49" i="35"/>
  <c r="B50" i="35"/>
  <c r="C48" i="39"/>
  <c r="E47" i="39"/>
  <c r="F42" i="35"/>
  <c r="H41" i="35"/>
  <c r="J41" i="35" s="1"/>
  <c r="K41" i="35" s="1"/>
  <c r="F39" i="39"/>
  <c r="H38" i="39"/>
  <c r="J38" i="39" s="1"/>
  <c r="K38" i="39" s="1"/>
  <c r="G47" i="35"/>
  <c r="I46" i="35"/>
  <c r="E48" i="34"/>
  <c r="G48" i="34" s="1"/>
  <c r="C49" i="34"/>
  <c r="B48" i="34"/>
  <c r="H36" i="32"/>
  <c r="J36" i="33"/>
  <c r="G46" i="39"/>
  <c r="I45" i="39"/>
  <c r="L39" i="38"/>
  <c r="M39" i="38"/>
  <c r="C47" i="37"/>
  <c r="E46" i="37"/>
  <c r="G46" i="37" s="1"/>
  <c r="G44" i="33"/>
  <c r="G43" i="32"/>
  <c r="I43" i="33"/>
  <c r="F41" i="38"/>
  <c r="H40" i="38"/>
  <c r="J40" i="38" s="1"/>
  <c r="K40" i="38" s="1"/>
  <c r="D45" i="37"/>
  <c r="B46" i="37"/>
  <c r="L36" i="37"/>
  <c r="M36" i="37"/>
  <c r="E45" i="36"/>
  <c r="C46" i="36"/>
  <c r="I45" i="36"/>
  <c r="F40" i="34"/>
  <c r="H39" i="34"/>
  <c r="J39" i="34" s="1"/>
  <c r="K39" i="34" s="1"/>
  <c r="F38" i="33"/>
  <c r="F37" i="32"/>
  <c r="H37" i="33"/>
  <c r="L34" i="33"/>
  <c r="L34" i="32" s="1"/>
  <c r="K34" i="32"/>
  <c r="M34" i="32" s="1"/>
  <c r="M34" i="33"/>
  <c r="C51" i="35"/>
  <c r="E50" i="35"/>
  <c r="K35" i="33"/>
  <c r="J35" i="32"/>
  <c r="L38" i="34"/>
  <c r="M38" i="34"/>
  <c r="F37" i="36"/>
  <c r="H36" i="36"/>
  <c r="J36" i="36" s="1"/>
  <c r="K36" i="36" s="1"/>
  <c r="L36" i="36" s="1"/>
  <c r="L40" i="35"/>
  <c r="M40" i="35"/>
  <c r="L37" i="39"/>
  <c r="M37" i="39"/>
  <c r="D46" i="39"/>
  <c r="B47" i="39"/>
  <c r="B49" i="38"/>
  <c r="D48" i="38"/>
  <c r="C48" i="33"/>
  <c r="C47" i="32"/>
  <c r="E47" i="33"/>
  <c r="E47" i="32" s="1"/>
  <c r="F38" i="37"/>
  <c r="H37" i="37"/>
  <c r="J37" i="37" s="1"/>
  <c r="K37" i="37" s="1"/>
  <c r="D44" i="36"/>
  <c r="B45" i="36"/>
  <c r="I42" i="32"/>
  <c r="D47" i="34"/>
  <c r="I46" i="37" l="1"/>
  <c r="G50" i="38"/>
  <c r="I49" i="38"/>
  <c r="I48" i="34"/>
  <c r="I43" i="32"/>
  <c r="K36" i="33"/>
  <c r="J36" i="32"/>
  <c r="L38" i="39"/>
  <c r="M38" i="39"/>
  <c r="L37" i="37"/>
  <c r="M37" i="37"/>
  <c r="D49" i="38"/>
  <c r="B50" i="38"/>
  <c r="E51" i="35"/>
  <c r="C52" i="35"/>
  <c r="F39" i="33"/>
  <c r="F38" i="32"/>
  <c r="H38" i="33"/>
  <c r="F40" i="39"/>
  <c r="H39" i="39"/>
  <c r="J39" i="39" s="1"/>
  <c r="K39" i="39" s="1"/>
  <c r="D47" i="39"/>
  <c r="B48" i="39"/>
  <c r="H37" i="32"/>
  <c r="J37" i="33"/>
  <c r="F41" i="34"/>
  <c r="H40" i="34"/>
  <c r="J40" i="34" s="1"/>
  <c r="K40" i="34" s="1"/>
  <c r="D46" i="37"/>
  <c r="B47" i="37"/>
  <c r="F42" i="38"/>
  <c r="H41" i="38"/>
  <c r="J41" i="38" s="1"/>
  <c r="K41" i="38" s="1"/>
  <c r="G47" i="39"/>
  <c r="I46" i="39"/>
  <c r="C50" i="34"/>
  <c r="E49" i="34"/>
  <c r="G49" i="34" s="1"/>
  <c r="B49" i="34"/>
  <c r="G48" i="35"/>
  <c r="I47" i="35"/>
  <c r="F43" i="35"/>
  <c r="H42" i="35"/>
  <c r="J42" i="35" s="1"/>
  <c r="K42" i="35" s="1"/>
  <c r="B51" i="35"/>
  <c r="D50" i="35"/>
  <c r="D47" i="33"/>
  <c r="D47" i="32" s="1"/>
  <c r="B48" i="33"/>
  <c r="B47" i="32"/>
  <c r="C47" i="36"/>
  <c r="E46" i="36"/>
  <c r="G46" i="36" s="1"/>
  <c r="D45" i="36"/>
  <c r="B46" i="36"/>
  <c r="F39" i="37"/>
  <c r="H38" i="37"/>
  <c r="J38" i="37" s="1"/>
  <c r="K38" i="37" s="1"/>
  <c r="C49" i="33"/>
  <c r="C48" i="32"/>
  <c r="E48" i="33"/>
  <c r="E48" i="32" s="1"/>
  <c r="F38" i="36"/>
  <c r="H37" i="36"/>
  <c r="J37" i="36" s="1"/>
  <c r="K37" i="36" s="1"/>
  <c r="L37" i="36" s="1"/>
  <c r="L35" i="33"/>
  <c r="L35" i="32" s="1"/>
  <c r="K35" i="32"/>
  <c r="M35" i="32" s="1"/>
  <c r="M35" i="33"/>
  <c r="L39" i="34"/>
  <c r="M39" i="34"/>
  <c r="L40" i="38"/>
  <c r="M40" i="38"/>
  <c r="G45" i="33"/>
  <c r="G44" i="32"/>
  <c r="I44" i="33"/>
  <c r="C48" i="37"/>
  <c r="E47" i="37"/>
  <c r="G47" i="37" s="1"/>
  <c r="D48" i="34"/>
  <c r="L41" i="35"/>
  <c r="M41" i="35"/>
  <c r="E48" i="39"/>
  <c r="C49" i="39"/>
  <c r="E50" i="38"/>
  <c r="C51" i="38"/>
  <c r="I46" i="36" l="1"/>
  <c r="G48" i="37"/>
  <c r="I47" i="37"/>
  <c r="I49" i="34"/>
  <c r="I48" i="37"/>
  <c r="E48" i="37"/>
  <c r="C49" i="37"/>
  <c r="G46" i="33"/>
  <c r="G45" i="32"/>
  <c r="I45" i="33"/>
  <c r="D46" i="36"/>
  <c r="B47" i="36"/>
  <c r="D49" i="34"/>
  <c r="F42" i="34"/>
  <c r="H41" i="34"/>
  <c r="J41" i="34" s="1"/>
  <c r="K41" i="34" s="1"/>
  <c r="F40" i="33"/>
  <c r="F39" i="32"/>
  <c r="H39" i="33"/>
  <c r="B51" i="38"/>
  <c r="D50" i="38"/>
  <c r="C52" i="38"/>
  <c r="E51" i="38"/>
  <c r="G51" i="38" s="1"/>
  <c r="F39" i="36"/>
  <c r="H38" i="36"/>
  <c r="J38" i="36" s="1"/>
  <c r="K38" i="36" s="1"/>
  <c r="L38" i="36" s="1"/>
  <c r="E49" i="33"/>
  <c r="E49" i="32" s="1"/>
  <c r="C50" i="33"/>
  <c r="C49" i="32"/>
  <c r="F44" i="35"/>
  <c r="H43" i="35"/>
  <c r="J43" i="35" s="1"/>
  <c r="K43" i="35" s="1"/>
  <c r="G48" i="39"/>
  <c r="I47" i="39"/>
  <c r="K37" i="33"/>
  <c r="J37" i="32"/>
  <c r="F41" i="39"/>
  <c r="H40" i="39"/>
  <c r="J40" i="39" s="1"/>
  <c r="K40" i="39" s="1"/>
  <c r="E52" i="35"/>
  <c r="C53" i="35"/>
  <c r="I50" i="38"/>
  <c r="F40" i="37"/>
  <c r="H39" i="37"/>
  <c r="J39" i="37" s="1"/>
  <c r="K39" i="37" s="1"/>
  <c r="D51" i="35"/>
  <c r="B52" i="35"/>
  <c r="G49" i="35"/>
  <c r="I48" i="35"/>
  <c r="B50" i="34"/>
  <c r="C51" i="34"/>
  <c r="E50" i="34"/>
  <c r="G50" i="34" s="1"/>
  <c r="F43" i="38"/>
  <c r="H42" i="38"/>
  <c r="J42" i="38" s="1"/>
  <c r="K42" i="38" s="1"/>
  <c r="L40" i="34"/>
  <c r="M40" i="34"/>
  <c r="B49" i="39"/>
  <c r="D48" i="39"/>
  <c r="B48" i="37"/>
  <c r="D47" i="37"/>
  <c r="L42" i="35"/>
  <c r="M42" i="35"/>
  <c r="L39" i="39"/>
  <c r="M39" i="39"/>
  <c r="C50" i="39"/>
  <c r="E49" i="39"/>
  <c r="L36" i="33"/>
  <c r="L36" i="32" s="1"/>
  <c r="K36" i="32"/>
  <c r="M36" i="32" s="1"/>
  <c r="M36" i="33"/>
  <c r="I44" i="32"/>
  <c r="L38" i="37"/>
  <c r="M38" i="37"/>
  <c r="E47" i="36"/>
  <c r="G47" i="36" s="1"/>
  <c r="C48" i="36"/>
  <c r="B49" i="33"/>
  <c r="B48" i="32"/>
  <c r="D48" i="33"/>
  <c r="D48" i="32" s="1"/>
  <c r="L41" i="38"/>
  <c r="M41" i="38"/>
  <c r="H38" i="32"/>
  <c r="J38" i="33"/>
  <c r="I47" i="36" l="1"/>
  <c r="G51" i="34"/>
  <c r="I50" i="34"/>
  <c r="I51" i="38"/>
  <c r="D50" i="34"/>
  <c r="D47" i="36"/>
  <c r="B48" i="36"/>
  <c r="K38" i="33"/>
  <c r="J38" i="32"/>
  <c r="D48" i="37"/>
  <c r="B49" i="37"/>
  <c r="L42" i="38"/>
  <c r="M42" i="38"/>
  <c r="B51" i="34"/>
  <c r="E51" i="34"/>
  <c r="C52" i="34"/>
  <c r="D52" i="35"/>
  <c r="B53" i="35"/>
  <c r="F41" i="37"/>
  <c r="H40" i="37"/>
  <c r="J40" i="37" s="1"/>
  <c r="K40" i="37" s="1"/>
  <c r="C54" i="35"/>
  <c r="E53" i="35"/>
  <c r="F42" i="39"/>
  <c r="H41" i="39"/>
  <c r="J41" i="39" s="1"/>
  <c r="K41" i="39" s="1"/>
  <c r="G49" i="39"/>
  <c r="I48" i="39"/>
  <c r="E50" i="33"/>
  <c r="E50" i="32" s="1"/>
  <c r="C51" i="33"/>
  <c r="C50" i="32"/>
  <c r="F40" i="36"/>
  <c r="H39" i="36"/>
  <c r="J39" i="36" s="1"/>
  <c r="K39" i="36" s="1"/>
  <c r="L39" i="36" s="1"/>
  <c r="H39" i="32"/>
  <c r="J39" i="33"/>
  <c r="F43" i="34"/>
  <c r="H42" i="34"/>
  <c r="J42" i="34" s="1"/>
  <c r="K42" i="34" s="1"/>
  <c r="I45" i="32"/>
  <c r="B50" i="33"/>
  <c r="B49" i="32"/>
  <c r="D49" i="33"/>
  <c r="D49" i="32" s="1"/>
  <c r="E50" i="39"/>
  <c r="C51" i="39"/>
  <c r="B50" i="39"/>
  <c r="D49" i="39"/>
  <c r="F44" i="38"/>
  <c r="H43" i="38"/>
  <c r="J43" i="38" s="1"/>
  <c r="K43" i="38" s="1"/>
  <c r="L43" i="35"/>
  <c r="M43" i="35"/>
  <c r="G49" i="37"/>
  <c r="C49" i="36"/>
  <c r="E48" i="36"/>
  <c r="G48" i="36" s="1"/>
  <c r="K37" i="32"/>
  <c r="M37" i="32" s="1"/>
  <c r="L37" i="33"/>
  <c r="L37" i="32" s="1"/>
  <c r="M37" i="33"/>
  <c r="F45" i="35"/>
  <c r="H44" i="35"/>
  <c r="J44" i="35" s="1"/>
  <c r="K44" i="35" s="1"/>
  <c r="F41" i="33"/>
  <c r="F40" i="32"/>
  <c r="H40" i="33"/>
  <c r="G47" i="33"/>
  <c r="G46" i="32"/>
  <c r="I46" i="33"/>
  <c r="G50" i="35"/>
  <c r="I49" i="35"/>
  <c r="L39" i="37"/>
  <c r="M39" i="37"/>
  <c r="L40" i="39"/>
  <c r="M40" i="39"/>
  <c r="E52" i="38"/>
  <c r="G52" i="38" s="1"/>
  <c r="C53" i="38"/>
  <c r="D51" i="38"/>
  <c r="B52" i="38"/>
  <c r="L41" i="34"/>
  <c r="M41" i="34"/>
  <c r="E49" i="37"/>
  <c r="C50" i="37"/>
  <c r="I52" i="38" l="1"/>
  <c r="G49" i="36"/>
  <c r="I48" i="36"/>
  <c r="C51" i="37"/>
  <c r="E50" i="37"/>
  <c r="D50" i="33"/>
  <c r="D50" i="32" s="1"/>
  <c r="B51" i="33"/>
  <c r="B50" i="32"/>
  <c r="E52" i="34"/>
  <c r="G52" i="34" s="1"/>
  <c r="C53" i="34"/>
  <c r="B52" i="34"/>
  <c r="D48" i="36"/>
  <c r="B49" i="36"/>
  <c r="H40" i="32"/>
  <c r="J40" i="33"/>
  <c r="F46" i="35"/>
  <c r="H45" i="35"/>
  <c r="J45" i="35" s="1"/>
  <c r="K45" i="35" s="1"/>
  <c r="F44" i="34"/>
  <c r="H43" i="34"/>
  <c r="J43" i="34" s="1"/>
  <c r="K43" i="34" s="1"/>
  <c r="F41" i="36"/>
  <c r="H40" i="36"/>
  <c r="J40" i="36" s="1"/>
  <c r="K40" i="36" s="1"/>
  <c r="L40" i="36" s="1"/>
  <c r="F43" i="39"/>
  <c r="H42" i="39"/>
  <c r="J42" i="39" s="1"/>
  <c r="K42" i="39" s="1"/>
  <c r="L40" i="37"/>
  <c r="M40" i="37"/>
  <c r="D51" i="34"/>
  <c r="D49" i="37"/>
  <c r="B50" i="37"/>
  <c r="L38" i="33"/>
  <c r="L38" i="32" s="1"/>
  <c r="K38" i="32"/>
  <c r="M38" i="32" s="1"/>
  <c r="M38" i="33"/>
  <c r="I46" i="32"/>
  <c r="B53" i="38"/>
  <c r="D52" i="38"/>
  <c r="F42" i="33"/>
  <c r="F41" i="32"/>
  <c r="H41" i="33"/>
  <c r="L43" i="38"/>
  <c r="M43" i="38"/>
  <c r="B51" i="39"/>
  <c r="D50" i="39"/>
  <c r="C52" i="33"/>
  <c r="C51" i="32"/>
  <c r="E51" i="33"/>
  <c r="E51" i="32" s="1"/>
  <c r="G50" i="39"/>
  <c r="I49" i="39"/>
  <c r="D53" i="35"/>
  <c r="B54" i="35"/>
  <c r="C54" i="38"/>
  <c r="E53" i="38"/>
  <c r="G53" i="38" s="1"/>
  <c r="G50" i="37"/>
  <c r="K39" i="33"/>
  <c r="J39" i="32"/>
  <c r="F42" i="37"/>
  <c r="H41" i="37"/>
  <c r="J41" i="37" s="1"/>
  <c r="K41" i="37" s="1"/>
  <c r="I49" i="37"/>
  <c r="G51" i="35"/>
  <c r="I50" i="35"/>
  <c r="G48" i="33"/>
  <c r="G47" i="32"/>
  <c r="I47" i="33"/>
  <c r="L44" i="35"/>
  <c r="M44" i="35"/>
  <c r="E49" i="36"/>
  <c r="C50" i="36"/>
  <c r="I49" i="36"/>
  <c r="F45" i="38"/>
  <c r="H44" i="38"/>
  <c r="J44" i="38" s="1"/>
  <c r="K44" i="38" s="1"/>
  <c r="C52" i="39"/>
  <c r="E51" i="39"/>
  <c r="L42" i="34"/>
  <c r="M42" i="34"/>
  <c r="L41" i="39"/>
  <c r="M41" i="39"/>
  <c r="E54" i="35"/>
  <c r="C55" i="35"/>
  <c r="I51" i="34"/>
  <c r="I53" i="38" l="1"/>
  <c r="I52" i="34"/>
  <c r="E55" i="35"/>
  <c r="C56" i="35"/>
  <c r="F46" i="38"/>
  <c r="H45" i="38"/>
  <c r="J45" i="38" s="1"/>
  <c r="K45" i="38" s="1"/>
  <c r="G49" i="33"/>
  <c r="G48" i="32"/>
  <c r="I48" i="33"/>
  <c r="L39" i="33"/>
  <c r="L39" i="32" s="1"/>
  <c r="K39" i="32"/>
  <c r="M39" i="32" s="1"/>
  <c r="B13" i="31" s="1"/>
  <c r="M39" i="33"/>
  <c r="E54" i="38"/>
  <c r="G54" i="38" s="1"/>
  <c r="C55" i="38"/>
  <c r="B55" i="35"/>
  <c r="D54" i="35"/>
  <c r="G51" i="39"/>
  <c r="I50" i="39"/>
  <c r="C53" i="33"/>
  <c r="C52" i="32"/>
  <c r="E52" i="33"/>
  <c r="E52" i="32" s="1"/>
  <c r="F43" i="33"/>
  <c r="F42" i="32"/>
  <c r="H42" i="33"/>
  <c r="L45" i="35"/>
  <c r="M45" i="35"/>
  <c r="D49" i="36"/>
  <c r="B50" i="36"/>
  <c r="C54" i="34"/>
  <c r="E53" i="34"/>
  <c r="G53" i="34" s="1"/>
  <c r="B53" i="34"/>
  <c r="D53" i="38"/>
  <c r="B54" i="38"/>
  <c r="F42" i="36"/>
  <c r="H41" i="36"/>
  <c r="J41" i="36" s="1"/>
  <c r="K41" i="36" s="1"/>
  <c r="L41" i="36" s="1"/>
  <c r="E52" i="39"/>
  <c r="C53" i="39"/>
  <c r="C51" i="36"/>
  <c r="E50" i="36"/>
  <c r="G50" i="36" s="1"/>
  <c r="I47" i="32"/>
  <c r="G52" i="35"/>
  <c r="I51" i="35"/>
  <c r="F43" i="37"/>
  <c r="H42" i="37"/>
  <c r="J42" i="37" s="1"/>
  <c r="K42" i="37" s="1"/>
  <c r="D51" i="39"/>
  <c r="B52" i="39"/>
  <c r="H41" i="32"/>
  <c r="J41" i="33"/>
  <c r="L42" i="39"/>
  <c r="M42" i="39"/>
  <c r="L43" i="34"/>
  <c r="M43" i="34"/>
  <c r="K40" i="33"/>
  <c r="J40" i="32"/>
  <c r="D51" i="33"/>
  <c r="D51" i="32" s="1"/>
  <c r="B52" i="33"/>
  <c r="B51" i="32"/>
  <c r="I50" i="37"/>
  <c r="L41" i="37"/>
  <c r="M41" i="37"/>
  <c r="F47" i="35"/>
  <c r="H46" i="35"/>
  <c r="J46" i="35" s="1"/>
  <c r="K46" i="35" s="1"/>
  <c r="L44" i="38"/>
  <c r="M44" i="38"/>
  <c r="D50" i="37"/>
  <c r="B51" i="37"/>
  <c r="F44" i="39"/>
  <c r="H43" i="39"/>
  <c r="J43" i="39" s="1"/>
  <c r="K43" i="39" s="1"/>
  <c r="F45" i="34"/>
  <c r="H44" i="34"/>
  <c r="J44" i="34" s="1"/>
  <c r="K44" i="34" s="1"/>
  <c r="D52" i="34"/>
  <c r="E51" i="37"/>
  <c r="G51" i="37" s="1"/>
  <c r="C52" i="37"/>
  <c r="I50" i="36" l="1"/>
  <c r="I53" i="34"/>
  <c r="I54" i="38"/>
  <c r="I51" i="37"/>
  <c r="L43" i="39"/>
  <c r="M43" i="39"/>
  <c r="B53" i="33"/>
  <c r="B52" i="32"/>
  <c r="D52" i="33"/>
  <c r="D52" i="32" s="1"/>
  <c r="F46" i="34"/>
  <c r="H45" i="34"/>
  <c r="J45" i="34" s="1"/>
  <c r="K45" i="34" s="1"/>
  <c r="B53" i="39"/>
  <c r="D52" i="39"/>
  <c r="F44" i="37"/>
  <c r="H43" i="37"/>
  <c r="J43" i="37" s="1"/>
  <c r="K43" i="37" s="1"/>
  <c r="D53" i="34"/>
  <c r="D50" i="36"/>
  <c r="B51" i="36"/>
  <c r="B56" i="35"/>
  <c r="D55" i="35"/>
  <c r="L46" i="35"/>
  <c r="M46" i="35"/>
  <c r="C13" i="31"/>
  <c r="D13" i="31"/>
  <c r="E56" i="35"/>
  <c r="C57" i="35"/>
  <c r="G53" i="35"/>
  <c r="I52" i="35"/>
  <c r="L45" i="38"/>
  <c r="M45" i="38"/>
  <c r="L40" i="33"/>
  <c r="L40" i="32" s="1"/>
  <c r="K40" i="32"/>
  <c r="M40" i="32" s="1"/>
  <c r="M40" i="33"/>
  <c r="E53" i="39"/>
  <c r="C54" i="39"/>
  <c r="H42" i="32"/>
  <c r="J42" i="33"/>
  <c r="G52" i="39"/>
  <c r="I51" i="39"/>
  <c r="C56" i="38"/>
  <c r="E55" i="38"/>
  <c r="G55" i="38" s="1"/>
  <c r="G49" i="32"/>
  <c r="G50" i="33"/>
  <c r="I49" i="33"/>
  <c r="F45" i="39"/>
  <c r="H44" i="39"/>
  <c r="J44" i="39" s="1"/>
  <c r="K44" i="39" s="1"/>
  <c r="F48" i="35"/>
  <c r="H47" i="35"/>
  <c r="J47" i="35" s="1"/>
  <c r="K47" i="35" s="1"/>
  <c r="K41" i="33"/>
  <c r="J41" i="32"/>
  <c r="F43" i="36"/>
  <c r="H42" i="36"/>
  <c r="J42" i="36" s="1"/>
  <c r="K42" i="36" s="1"/>
  <c r="L42" i="36" s="1"/>
  <c r="E52" i="37"/>
  <c r="G52" i="37" s="1"/>
  <c r="C53" i="37"/>
  <c r="L44" i="34"/>
  <c r="M44" i="34"/>
  <c r="B52" i="37"/>
  <c r="D51" i="37"/>
  <c r="L42" i="37"/>
  <c r="M42" i="37"/>
  <c r="E51" i="36"/>
  <c r="G51" i="36" s="1"/>
  <c r="C52" i="36"/>
  <c r="B55" i="38"/>
  <c r="D54" i="38"/>
  <c r="B54" i="34"/>
  <c r="C55" i="34"/>
  <c r="E54" i="34"/>
  <c r="G54" i="34" s="1"/>
  <c r="F44" i="33"/>
  <c r="F43" i="32"/>
  <c r="H43" i="33"/>
  <c r="E53" i="33"/>
  <c r="E53" i="32" s="1"/>
  <c r="C54" i="33"/>
  <c r="C53" i="32"/>
  <c r="I48" i="32"/>
  <c r="F47" i="38"/>
  <c r="H46" i="38"/>
  <c r="J46" i="38" s="1"/>
  <c r="K46" i="38" s="1"/>
  <c r="I54" i="34" l="1"/>
  <c r="G52" i="36"/>
  <c r="I51" i="36"/>
  <c r="I52" i="37"/>
  <c r="G56" i="38"/>
  <c r="I56" i="38" s="1"/>
  <c r="I55" i="38"/>
  <c r="L44" i="39"/>
  <c r="M44" i="39"/>
  <c r="E54" i="39"/>
  <c r="C55" i="39"/>
  <c r="E54" i="33"/>
  <c r="E54" i="32" s="1"/>
  <c r="C55" i="33"/>
  <c r="C54" i="32"/>
  <c r="B55" i="34"/>
  <c r="E55" i="34"/>
  <c r="G55" i="34" s="1"/>
  <c r="C56" i="34"/>
  <c r="D55" i="38"/>
  <c r="B56" i="38"/>
  <c r="F45" i="33"/>
  <c r="F44" i="32"/>
  <c r="H44" i="33"/>
  <c r="D54" i="34"/>
  <c r="I52" i="36"/>
  <c r="C53" i="36"/>
  <c r="E52" i="36"/>
  <c r="E53" i="37"/>
  <c r="G53" i="37" s="1"/>
  <c r="C54" i="37"/>
  <c r="F44" i="36"/>
  <c r="H43" i="36"/>
  <c r="J43" i="36" s="1"/>
  <c r="K43" i="36" s="1"/>
  <c r="L43" i="36" s="1"/>
  <c r="F49" i="35"/>
  <c r="H48" i="35"/>
  <c r="J48" i="35" s="1"/>
  <c r="K48" i="35" s="1"/>
  <c r="G51" i="33"/>
  <c r="G50" i="32"/>
  <c r="I50" i="33"/>
  <c r="E56" i="38"/>
  <c r="C57" i="38"/>
  <c r="F45" i="37"/>
  <c r="H44" i="37"/>
  <c r="J44" i="37" s="1"/>
  <c r="K44" i="37" s="1"/>
  <c r="L45" i="34"/>
  <c r="M45" i="34"/>
  <c r="L46" i="38"/>
  <c r="M46" i="38"/>
  <c r="B53" i="37"/>
  <c r="D52" i="37"/>
  <c r="F47" i="34"/>
  <c r="H46" i="34"/>
  <c r="J46" i="34" s="1"/>
  <c r="K46" i="34" s="1"/>
  <c r="B54" i="33"/>
  <c r="B53" i="32"/>
  <c r="D53" i="33"/>
  <c r="D53" i="32" s="1"/>
  <c r="F48" i="38"/>
  <c r="H47" i="38"/>
  <c r="J47" i="38" s="1"/>
  <c r="K47" i="38" s="1"/>
  <c r="H43" i="32"/>
  <c r="J43" i="33"/>
  <c r="L41" i="33"/>
  <c r="L41" i="32" s="1"/>
  <c r="K41" i="32"/>
  <c r="M41" i="32" s="1"/>
  <c r="M41" i="33"/>
  <c r="F46" i="39"/>
  <c r="H45" i="39"/>
  <c r="J45" i="39" s="1"/>
  <c r="K45" i="39" s="1"/>
  <c r="G53" i="39"/>
  <c r="I52" i="39"/>
  <c r="G54" i="35"/>
  <c r="I53" i="35"/>
  <c r="D56" i="35"/>
  <c r="B57" i="35"/>
  <c r="D51" i="36"/>
  <c r="B52" i="36"/>
  <c r="L47" i="35"/>
  <c r="M47" i="35"/>
  <c r="I49" i="32"/>
  <c r="J42" i="32"/>
  <c r="K42" i="33"/>
  <c r="C58" i="35"/>
  <c r="E57" i="35"/>
  <c r="E13" i="31"/>
  <c r="F13" i="31" s="1"/>
  <c r="L43" i="37"/>
  <c r="M43" i="37"/>
  <c r="D53" i="39"/>
  <c r="B54" i="39"/>
  <c r="I53" i="37" l="1"/>
  <c r="G56" i="34"/>
  <c r="I56" i="34" s="1"/>
  <c r="I55" i="34"/>
  <c r="C59" i="35"/>
  <c r="E58" i="35"/>
  <c r="D52" i="36"/>
  <c r="B53" i="36"/>
  <c r="D57" i="35"/>
  <c r="B58" i="35"/>
  <c r="F47" i="39"/>
  <c r="H46" i="39"/>
  <c r="J46" i="39" s="1"/>
  <c r="K46" i="39" s="1"/>
  <c r="L46" i="34"/>
  <c r="M46" i="34"/>
  <c r="I50" i="32"/>
  <c r="F50" i="35"/>
  <c r="H49" i="35"/>
  <c r="J49" i="35" s="1"/>
  <c r="K49" i="35" s="1"/>
  <c r="L45" i="39"/>
  <c r="M45" i="39"/>
  <c r="F49" i="38"/>
  <c r="H48" i="38"/>
  <c r="J48" i="38" s="1"/>
  <c r="K48" i="38" s="1"/>
  <c r="D54" i="33"/>
  <c r="D54" i="32" s="1"/>
  <c r="B55" i="33"/>
  <c r="B54" i="32"/>
  <c r="L44" i="37"/>
  <c r="M44" i="37"/>
  <c r="L48" i="35"/>
  <c r="M48" i="35"/>
  <c r="C55" i="37"/>
  <c r="E54" i="37"/>
  <c r="G54" i="37" s="1"/>
  <c r="C54" i="36"/>
  <c r="E53" i="36"/>
  <c r="G53" i="36" s="1"/>
  <c r="H44" i="32"/>
  <c r="J44" i="33"/>
  <c r="B57" i="38"/>
  <c r="D56" i="38"/>
  <c r="C56" i="33"/>
  <c r="C55" i="32"/>
  <c r="E55" i="33"/>
  <c r="E55" i="32" s="1"/>
  <c r="B55" i="39"/>
  <c r="D54" i="39"/>
  <c r="L42" i="33"/>
  <c r="L42" i="32" s="1"/>
  <c r="K42" i="32"/>
  <c r="M42" i="32" s="1"/>
  <c r="M42" i="33"/>
  <c r="F48" i="34"/>
  <c r="H47" i="34"/>
  <c r="J47" i="34" s="1"/>
  <c r="K47" i="34" s="1"/>
  <c r="D53" i="37"/>
  <c r="B54" i="37"/>
  <c r="C58" i="38"/>
  <c r="E57" i="38"/>
  <c r="F46" i="33"/>
  <c r="F45" i="32"/>
  <c r="H45" i="33"/>
  <c r="D55" i="34"/>
  <c r="G55" i="35"/>
  <c r="I54" i="35"/>
  <c r="K43" i="33"/>
  <c r="J43" i="32"/>
  <c r="F46" i="37"/>
  <c r="H45" i="37"/>
  <c r="J45" i="37" s="1"/>
  <c r="K45" i="37" s="1"/>
  <c r="G57" i="38"/>
  <c r="I57" i="38" s="1"/>
  <c r="G54" i="39"/>
  <c r="I53" i="39"/>
  <c r="L47" i="38"/>
  <c r="M47" i="38"/>
  <c r="G52" i="33"/>
  <c r="G51" i="32"/>
  <c r="I51" i="33"/>
  <c r="F45" i="36"/>
  <c r="H44" i="36"/>
  <c r="J44" i="36" s="1"/>
  <c r="K44" i="36" s="1"/>
  <c r="L44" i="36" s="1"/>
  <c r="E56" i="34"/>
  <c r="C57" i="34"/>
  <c r="B56" i="34"/>
  <c r="C56" i="39"/>
  <c r="E55" i="39"/>
  <c r="I53" i="36" l="1"/>
  <c r="G55" i="37"/>
  <c r="I55" i="37" s="1"/>
  <c r="I54" i="37"/>
  <c r="F46" i="36"/>
  <c r="H45" i="36"/>
  <c r="J45" i="36" s="1"/>
  <c r="K45" i="36" s="1"/>
  <c r="L45" i="36" s="1"/>
  <c r="L47" i="34"/>
  <c r="M47" i="34"/>
  <c r="D57" i="38"/>
  <c r="B58" i="38"/>
  <c r="E55" i="37"/>
  <c r="C56" i="37"/>
  <c r="F51" i="35"/>
  <c r="H50" i="35"/>
  <c r="J50" i="35" s="1"/>
  <c r="K50" i="35" s="1"/>
  <c r="B59" i="35"/>
  <c r="D58" i="35"/>
  <c r="E59" i="35"/>
  <c r="C60" i="35"/>
  <c r="E56" i="39"/>
  <c r="C57" i="39"/>
  <c r="D56" i="34"/>
  <c r="G53" i="33"/>
  <c r="G52" i="32"/>
  <c r="I52" i="33"/>
  <c r="G55" i="39"/>
  <c r="I54" i="39"/>
  <c r="F47" i="37"/>
  <c r="H46" i="37"/>
  <c r="J46" i="37" s="1"/>
  <c r="K46" i="37" s="1"/>
  <c r="G56" i="35"/>
  <c r="I55" i="35"/>
  <c r="H45" i="32"/>
  <c r="J45" i="33"/>
  <c r="L49" i="35"/>
  <c r="M49" i="35"/>
  <c r="F48" i="39"/>
  <c r="H47" i="39"/>
  <c r="J47" i="39" s="1"/>
  <c r="K47" i="39" s="1"/>
  <c r="D53" i="36"/>
  <c r="B54" i="36"/>
  <c r="C58" i="34"/>
  <c r="E57" i="34"/>
  <c r="B57" i="34"/>
  <c r="G58" i="38"/>
  <c r="E58" i="38"/>
  <c r="C59" i="38"/>
  <c r="G57" i="34"/>
  <c r="I51" i="32"/>
  <c r="L43" i="33"/>
  <c r="L43" i="32" s="1"/>
  <c r="K43" i="32"/>
  <c r="M43" i="32" s="1"/>
  <c r="M43" i="33"/>
  <c r="F47" i="33"/>
  <c r="F46" i="32"/>
  <c r="H46" i="33"/>
  <c r="D54" i="37"/>
  <c r="B55" i="37"/>
  <c r="F49" i="34"/>
  <c r="H48" i="34"/>
  <c r="J48" i="34" s="1"/>
  <c r="K48" i="34" s="1"/>
  <c r="D55" i="39"/>
  <c r="B56" i="39"/>
  <c r="C57" i="33"/>
  <c r="C56" i="32"/>
  <c r="E56" i="33"/>
  <c r="E56" i="32" s="1"/>
  <c r="K44" i="33"/>
  <c r="J44" i="32"/>
  <c r="E54" i="36"/>
  <c r="G54" i="36" s="1"/>
  <c r="C55" i="36"/>
  <c r="L48" i="38"/>
  <c r="M48" i="38"/>
  <c r="L45" i="37"/>
  <c r="M45" i="37"/>
  <c r="D55" i="33"/>
  <c r="D55" i="32" s="1"/>
  <c r="B56" i="33"/>
  <c r="B55" i="32"/>
  <c r="F50" i="38"/>
  <c r="H49" i="38"/>
  <c r="J49" i="38" s="1"/>
  <c r="K49" i="38" s="1"/>
  <c r="L46" i="39"/>
  <c r="M46" i="39"/>
  <c r="G55" i="36" l="1"/>
  <c r="I54" i="36"/>
  <c r="L49" i="38"/>
  <c r="M49" i="38"/>
  <c r="B56" i="37"/>
  <c r="D55" i="37"/>
  <c r="B58" i="34"/>
  <c r="C59" i="34"/>
  <c r="E58" i="34"/>
  <c r="G58" i="34" s="1"/>
  <c r="G54" i="33"/>
  <c r="G53" i="32"/>
  <c r="I53" i="33"/>
  <c r="L50" i="35"/>
  <c r="M50" i="35"/>
  <c r="F48" i="33"/>
  <c r="F47" i="32"/>
  <c r="H47" i="33"/>
  <c r="C60" i="38"/>
  <c r="E59" i="38"/>
  <c r="G59" i="38" s="1"/>
  <c r="D57" i="34"/>
  <c r="G57" i="35"/>
  <c r="I56" i="35"/>
  <c r="B59" i="38"/>
  <c r="D58" i="38"/>
  <c r="E55" i="36"/>
  <c r="C56" i="36"/>
  <c r="L44" i="33"/>
  <c r="L44" i="32" s="1"/>
  <c r="K44" i="32"/>
  <c r="M44" i="32" s="1"/>
  <c r="M44" i="33"/>
  <c r="E57" i="33"/>
  <c r="E57" i="32" s="1"/>
  <c r="C58" i="33"/>
  <c r="C57" i="32"/>
  <c r="L48" i="34"/>
  <c r="M48" i="34"/>
  <c r="L47" i="39"/>
  <c r="M47" i="39"/>
  <c r="K45" i="33"/>
  <c r="J45" i="32"/>
  <c r="L46" i="37"/>
  <c r="M46" i="37"/>
  <c r="I52" i="32"/>
  <c r="E60" i="35"/>
  <c r="C61" i="35"/>
  <c r="C57" i="37"/>
  <c r="E56" i="37"/>
  <c r="G56" i="37" s="1"/>
  <c r="F51" i="38"/>
  <c r="H50" i="38"/>
  <c r="J50" i="38" s="1"/>
  <c r="K50" i="38" s="1"/>
  <c r="G56" i="39"/>
  <c r="I55" i="39"/>
  <c r="F52" i="35"/>
  <c r="H51" i="35"/>
  <c r="J51" i="35" s="1"/>
  <c r="K51" i="35" s="1"/>
  <c r="B57" i="33"/>
  <c r="B56" i="32"/>
  <c r="D56" i="33"/>
  <c r="D56" i="32" s="1"/>
  <c r="B57" i="39"/>
  <c r="D56" i="39"/>
  <c r="F50" i="34"/>
  <c r="H49" i="34"/>
  <c r="J49" i="34" s="1"/>
  <c r="K49" i="34" s="1"/>
  <c r="H46" i="32"/>
  <c r="J46" i="33"/>
  <c r="I58" i="38"/>
  <c r="I57" i="34"/>
  <c r="D54" i="36"/>
  <c r="B55" i="36"/>
  <c r="F49" i="39"/>
  <c r="H48" i="39"/>
  <c r="J48" i="39" s="1"/>
  <c r="K48" i="39" s="1"/>
  <c r="F48" i="37"/>
  <c r="H47" i="37"/>
  <c r="J47" i="37" s="1"/>
  <c r="K47" i="37" s="1"/>
  <c r="C58" i="39"/>
  <c r="E57" i="39"/>
  <c r="D59" i="35"/>
  <c r="B60" i="35"/>
  <c r="F47" i="36"/>
  <c r="H46" i="36"/>
  <c r="J46" i="36" s="1"/>
  <c r="K46" i="36" s="1"/>
  <c r="L46" i="36" s="1"/>
  <c r="I59" i="38" l="1"/>
  <c r="G57" i="37"/>
  <c r="I57" i="37" s="1"/>
  <c r="I56" i="37"/>
  <c r="I58" i="34"/>
  <c r="D55" i="36"/>
  <c r="B56" i="36"/>
  <c r="L51" i="35"/>
  <c r="M51" i="35"/>
  <c r="C59" i="39"/>
  <c r="E58" i="39"/>
  <c r="F50" i="39"/>
  <c r="H49" i="39"/>
  <c r="J49" i="39" s="1"/>
  <c r="K49" i="39" s="1"/>
  <c r="L49" i="34"/>
  <c r="M49" i="34"/>
  <c r="B58" i="39"/>
  <c r="D57" i="39"/>
  <c r="B58" i="33"/>
  <c r="B57" i="32"/>
  <c r="D57" i="33"/>
  <c r="D57" i="32" s="1"/>
  <c r="G57" i="39"/>
  <c r="I56" i="39"/>
  <c r="C62" i="35"/>
  <c r="E61" i="35"/>
  <c r="G55" i="33"/>
  <c r="G54" i="32"/>
  <c r="I54" i="33"/>
  <c r="D58" i="34"/>
  <c r="L47" i="37"/>
  <c r="M47" i="37"/>
  <c r="F51" i="34"/>
  <c r="H50" i="34"/>
  <c r="J50" i="34" s="1"/>
  <c r="K50" i="34" s="1"/>
  <c r="L45" i="33"/>
  <c r="L45" i="32" s="1"/>
  <c r="K45" i="32"/>
  <c r="M45" i="32" s="1"/>
  <c r="M45" i="33"/>
  <c r="E56" i="36"/>
  <c r="G56" i="36" s="1"/>
  <c r="C57" i="36"/>
  <c r="F48" i="36"/>
  <c r="H47" i="36"/>
  <c r="J47" i="36" s="1"/>
  <c r="K47" i="36" s="1"/>
  <c r="L47" i="36" s="1"/>
  <c r="F49" i="37"/>
  <c r="H48" i="37"/>
  <c r="J48" i="37" s="1"/>
  <c r="K48" i="37" s="1"/>
  <c r="J46" i="32"/>
  <c r="K46" i="33"/>
  <c r="F53" i="35"/>
  <c r="H52" i="35"/>
  <c r="J52" i="35" s="1"/>
  <c r="K52" i="35" s="1"/>
  <c r="L50" i="38"/>
  <c r="M50" i="38"/>
  <c r="E60" i="38"/>
  <c r="G60" i="38" s="1"/>
  <c r="C61" i="38"/>
  <c r="I53" i="32"/>
  <c r="G58" i="35"/>
  <c r="I57" i="35"/>
  <c r="F49" i="33"/>
  <c r="F48" i="32"/>
  <c r="H48" i="33"/>
  <c r="D56" i="37"/>
  <c r="B57" i="37"/>
  <c r="D60" i="35"/>
  <c r="B61" i="35"/>
  <c r="L48" i="39"/>
  <c r="M48" i="39"/>
  <c r="F52" i="38"/>
  <c r="H51" i="38"/>
  <c r="J51" i="38" s="1"/>
  <c r="K51" i="38" s="1"/>
  <c r="C58" i="37"/>
  <c r="E57" i="37"/>
  <c r="E58" i="33"/>
  <c r="E58" i="32" s="1"/>
  <c r="C59" i="33"/>
  <c r="C58" i="32"/>
  <c r="I55" i="36"/>
  <c r="D59" i="38"/>
  <c r="B60" i="38"/>
  <c r="H47" i="32"/>
  <c r="J47" i="33"/>
  <c r="B59" i="34"/>
  <c r="E59" i="34"/>
  <c r="G59" i="34" s="1"/>
  <c r="C60" i="34"/>
  <c r="I56" i="36" l="1"/>
  <c r="I59" i="34"/>
  <c r="I60" i="38"/>
  <c r="E60" i="34"/>
  <c r="G60" i="34" s="1"/>
  <c r="C61" i="34"/>
  <c r="B60" i="34"/>
  <c r="K47" i="33"/>
  <c r="J47" i="32"/>
  <c r="C59" i="37"/>
  <c r="E58" i="37"/>
  <c r="L46" i="33"/>
  <c r="L46" i="32" s="1"/>
  <c r="K46" i="32"/>
  <c r="M46" i="32" s="1"/>
  <c r="M46" i="33"/>
  <c r="I54" i="32"/>
  <c r="E62" i="35"/>
  <c r="C63" i="35"/>
  <c r="L51" i="38"/>
  <c r="M51" i="38"/>
  <c r="H48" i="32"/>
  <c r="J48" i="33"/>
  <c r="D60" i="38"/>
  <c r="B61" i="38"/>
  <c r="B58" i="37"/>
  <c r="D57" i="37"/>
  <c r="L48" i="37"/>
  <c r="M48" i="37"/>
  <c r="F52" i="34"/>
  <c r="H51" i="34"/>
  <c r="J51" i="34" s="1"/>
  <c r="K51" i="34" s="1"/>
  <c r="G56" i="33"/>
  <c r="G55" i="32"/>
  <c r="I55" i="33"/>
  <c r="G58" i="39"/>
  <c r="I57" i="39"/>
  <c r="D58" i="33"/>
  <c r="D58" i="32" s="1"/>
  <c r="B59" i="33"/>
  <c r="B58" i="32"/>
  <c r="L49" i="39"/>
  <c r="M49" i="39"/>
  <c r="C60" i="39"/>
  <c r="E59" i="39"/>
  <c r="G59" i="35"/>
  <c r="I58" i="35"/>
  <c r="E61" i="38"/>
  <c r="G61" i="38" s="1"/>
  <c r="C62" i="38"/>
  <c r="F49" i="36"/>
  <c r="H48" i="36"/>
  <c r="J48" i="36" s="1"/>
  <c r="K48" i="36" s="1"/>
  <c r="L48" i="36" s="1"/>
  <c r="L50" i="34"/>
  <c r="M50" i="34"/>
  <c r="B59" i="39"/>
  <c r="D58" i="39"/>
  <c r="G58" i="37"/>
  <c r="I58" i="37" s="1"/>
  <c r="F53" i="38"/>
  <c r="H52" i="38"/>
  <c r="J52" i="38" s="1"/>
  <c r="K52" i="38" s="1"/>
  <c r="L52" i="35"/>
  <c r="M52" i="35"/>
  <c r="D59" i="34"/>
  <c r="C60" i="33"/>
  <c r="C59" i="32"/>
  <c r="E59" i="33"/>
  <c r="E59" i="32" s="1"/>
  <c r="D61" i="35"/>
  <c r="B62" i="35"/>
  <c r="F50" i="33"/>
  <c r="F49" i="32"/>
  <c r="H49" i="33"/>
  <c r="F54" i="35"/>
  <c r="H53" i="35"/>
  <c r="J53" i="35" s="1"/>
  <c r="K53" i="35" s="1"/>
  <c r="F50" i="37"/>
  <c r="H49" i="37"/>
  <c r="J49" i="37" s="1"/>
  <c r="K49" i="37" s="1"/>
  <c r="E57" i="36"/>
  <c r="G57" i="36" s="1"/>
  <c r="C58" i="36"/>
  <c r="F51" i="39"/>
  <c r="H50" i="39"/>
  <c r="J50" i="39" s="1"/>
  <c r="K50" i="39" s="1"/>
  <c r="D56" i="36"/>
  <c r="B57" i="36"/>
  <c r="I61" i="38" l="1"/>
  <c r="G61" i="34"/>
  <c r="I60" i="34"/>
  <c r="G58" i="36"/>
  <c r="I57" i="36"/>
  <c r="F52" i="39"/>
  <c r="H51" i="39"/>
  <c r="J51" i="39" s="1"/>
  <c r="K51" i="39" s="1"/>
  <c r="B63" i="35"/>
  <c r="D62" i="35"/>
  <c r="L50" i="39"/>
  <c r="M50" i="39"/>
  <c r="F55" i="35"/>
  <c r="H54" i="35"/>
  <c r="J54" i="35" s="1"/>
  <c r="K54" i="35" s="1"/>
  <c r="F51" i="33"/>
  <c r="F50" i="32"/>
  <c r="H50" i="33"/>
  <c r="L52" i="38"/>
  <c r="M52" i="38"/>
  <c r="C63" i="38"/>
  <c r="E62" i="38"/>
  <c r="G62" i="38" s="1"/>
  <c r="G60" i="35"/>
  <c r="I59" i="35"/>
  <c r="I55" i="32"/>
  <c r="F53" i="34"/>
  <c r="H52" i="34"/>
  <c r="J52" i="34" s="1"/>
  <c r="K52" i="34" s="1"/>
  <c r="E59" i="37"/>
  <c r="C60" i="37"/>
  <c r="C62" i="34"/>
  <c r="E61" i="34"/>
  <c r="B61" i="34"/>
  <c r="L49" i="37"/>
  <c r="M49" i="37"/>
  <c r="K48" i="33"/>
  <c r="J48" i="32"/>
  <c r="H49" i="32"/>
  <c r="J49" i="33"/>
  <c r="G57" i="33"/>
  <c r="G56" i="32"/>
  <c r="I56" i="33"/>
  <c r="L47" i="33"/>
  <c r="L47" i="32" s="1"/>
  <c r="K47" i="32"/>
  <c r="M47" i="32" s="1"/>
  <c r="M47" i="33"/>
  <c r="D57" i="36"/>
  <c r="B58" i="36"/>
  <c r="F54" i="38"/>
  <c r="H53" i="38"/>
  <c r="J53" i="38" s="1"/>
  <c r="K53" i="38" s="1"/>
  <c r="B60" i="39"/>
  <c r="D59" i="39"/>
  <c r="B59" i="37"/>
  <c r="D58" i="37"/>
  <c r="E58" i="36"/>
  <c r="C59" i="36"/>
  <c r="F51" i="37"/>
  <c r="H50" i="37"/>
  <c r="J50" i="37" s="1"/>
  <c r="K50" i="37" s="1"/>
  <c r="G59" i="37"/>
  <c r="B62" i="38"/>
  <c r="D61" i="38"/>
  <c r="L53" i="35"/>
  <c r="M53" i="35"/>
  <c r="C61" i="33"/>
  <c r="C60" i="32"/>
  <c r="E60" i="33"/>
  <c r="E60" i="32" s="1"/>
  <c r="F50" i="36"/>
  <c r="H49" i="36"/>
  <c r="J49" i="36" s="1"/>
  <c r="K49" i="36" s="1"/>
  <c r="L49" i="36" s="1"/>
  <c r="E60" i="39"/>
  <c r="C61" i="39"/>
  <c r="D59" i="33"/>
  <c r="D59" i="32" s="1"/>
  <c r="B60" i="33"/>
  <c r="B59" i="32"/>
  <c r="G59" i="39"/>
  <c r="I58" i="39"/>
  <c r="L51" i="34"/>
  <c r="M51" i="34"/>
  <c r="E63" i="35"/>
  <c r="C64" i="35"/>
  <c r="D60" i="34"/>
  <c r="I62" i="38" l="1"/>
  <c r="C62" i="39"/>
  <c r="E61" i="39"/>
  <c r="F52" i="37"/>
  <c r="H51" i="37"/>
  <c r="J51" i="37" s="1"/>
  <c r="K51" i="37" s="1"/>
  <c r="D58" i="36"/>
  <c r="B59" i="36"/>
  <c r="G58" i="33"/>
  <c r="G57" i="32"/>
  <c r="I57" i="33"/>
  <c r="L48" i="33"/>
  <c r="L48" i="32" s="1"/>
  <c r="K48" i="32"/>
  <c r="M48" i="32" s="1"/>
  <c r="M48" i="33"/>
  <c r="B62" i="34"/>
  <c r="C63" i="34"/>
  <c r="E62" i="34"/>
  <c r="L52" i="34"/>
  <c r="M52" i="34"/>
  <c r="H50" i="32"/>
  <c r="J50" i="33"/>
  <c r="F56" i="35"/>
  <c r="H55" i="35"/>
  <c r="J55" i="35" s="1"/>
  <c r="K55" i="35" s="1"/>
  <c r="B61" i="39"/>
  <c r="D60" i="39"/>
  <c r="C61" i="37"/>
  <c r="E60" i="37"/>
  <c r="G60" i="37" s="1"/>
  <c r="E63" i="38"/>
  <c r="G63" i="38" s="1"/>
  <c r="C64" i="38"/>
  <c r="G61" i="35"/>
  <c r="I60" i="35"/>
  <c r="F52" i="33"/>
  <c r="F51" i="32"/>
  <c r="H51" i="33"/>
  <c r="L51" i="39"/>
  <c r="M51" i="39"/>
  <c r="E64" i="35"/>
  <c r="C65" i="35"/>
  <c r="B61" i="33"/>
  <c r="B60" i="32"/>
  <c r="D60" i="33"/>
  <c r="D60" i="32" s="1"/>
  <c r="E59" i="36"/>
  <c r="G59" i="36" s="1"/>
  <c r="C60" i="36"/>
  <c r="B60" i="37"/>
  <c r="D59" i="37"/>
  <c r="K49" i="33"/>
  <c r="J49" i="32"/>
  <c r="D61" i="34"/>
  <c r="F54" i="34"/>
  <c r="H53" i="34"/>
  <c r="J53" i="34" s="1"/>
  <c r="K53" i="34" s="1"/>
  <c r="B64" i="35"/>
  <c r="D63" i="35"/>
  <c r="G62" i="34"/>
  <c r="I62" i="34" s="1"/>
  <c r="F51" i="36"/>
  <c r="H50" i="36"/>
  <c r="J50" i="36" s="1"/>
  <c r="K50" i="36" s="1"/>
  <c r="L50" i="36" s="1"/>
  <c r="E61" i="33"/>
  <c r="E61" i="32" s="1"/>
  <c r="C62" i="33"/>
  <c r="C61" i="32"/>
  <c r="D62" i="38"/>
  <c r="B63" i="38"/>
  <c r="L53" i="38"/>
  <c r="M53" i="38"/>
  <c r="I56" i="32"/>
  <c r="G60" i="39"/>
  <c r="I59" i="39"/>
  <c r="L50" i="37"/>
  <c r="M50" i="37"/>
  <c r="I58" i="36"/>
  <c r="F55" i="38"/>
  <c r="H54" i="38"/>
  <c r="J54" i="38" s="1"/>
  <c r="K54" i="38" s="1"/>
  <c r="I61" i="34"/>
  <c r="I59" i="37"/>
  <c r="L54" i="35"/>
  <c r="M54" i="35"/>
  <c r="F53" i="39"/>
  <c r="H52" i="39"/>
  <c r="J52" i="39" s="1"/>
  <c r="K52" i="39" s="1"/>
  <c r="G64" i="38" l="1"/>
  <c r="I63" i="38"/>
  <c r="I60" i="37"/>
  <c r="G60" i="36"/>
  <c r="I59" i="36"/>
  <c r="F54" i="39"/>
  <c r="H53" i="39"/>
  <c r="J53" i="39" s="1"/>
  <c r="K53" i="39" s="1"/>
  <c r="C63" i="39"/>
  <c r="E62" i="39"/>
  <c r="L54" i="38"/>
  <c r="M54" i="38"/>
  <c r="F52" i="36"/>
  <c r="H51" i="36"/>
  <c r="J51" i="36" s="1"/>
  <c r="K51" i="36" s="1"/>
  <c r="L51" i="36" s="1"/>
  <c r="F56" i="38"/>
  <c r="H55" i="38"/>
  <c r="J55" i="38" s="1"/>
  <c r="K55" i="38" s="1"/>
  <c r="L52" i="39"/>
  <c r="M52" i="39"/>
  <c r="G61" i="39"/>
  <c r="I60" i="39"/>
  <c r="D64" i="35"/>
  <c r="B65" i="35"/>
  <c r="F55" i="34"/>
  <c r="H54" i="34"/>
  <c r="J54" i="34" s="1"/>
  <c r="K54" i="34" s="1"/>
  <c r="L49" i="33"/>
  <c r="L49" i="32" s="1"/>
  <c r="K49" i="32"/>
  <c r="M49" i="32" s="1"/>
  <c r="M49" i="33"/>
  <c r="I60" i="36"/>
  <c r="E60" i="36"/>
  <c r="C61" i="36"/>
  <c r="F53" i="33"/>
  <c r="F52" i="32"/>
  <c r="H52" i="33"/>
  <c r="K50" i="33"/>
  <c r="J50" i="32"/>
  <c r="D61" i="39"/>
  <c r="B62" i="39"/>
  <c r="L51" i="37"/>
  <c r="M51" i="37"/>
  <c r="B64" i="38"/>
  <c r="D63" i="38"/>
  <c r="E62" i="33"/>
  <c r="E62" i="32" s="1"/>
  <c r="C63" i="33"/>
  <c r="C62" i="32"/>
  <c r="B62" i="33"/>
  <c r="B61" i="32"/>
  <c r="D61" i="33"/>
  <c r="D61" i="32" s="1"/>
  <c r="H51" i="32"/>
  <c r="J51" i="33"/>
  <c r="G62" i="35"/>
  <c r="I61" i="35"/>
  <c r="C65" i="38"/>
  <c r="E64" i="38"/>
  <c r="L55" i="35"/>
  <c r="M55" i="35"/>
  <c r="B63" i="34"/>
  <c r="E63" i="34"/>
  <c r="C64" i="34"/>
  <c r="D59" i="36"/>
  <c r="B60" i="36"/>
  <c r="F53" i="37"/>
  <c r="H52" i="37"/>
  <c r="J52" i="37" s="1"/>
  <c r="K52" i="37" s="1"/>
  <c r="G63" i="34"/>
  <c r="G59" i="33"/>
  <c r="G58" i="32"/>
  <c r="I58" i="33"/>
  <c r="L53" i="34"/>
  <c r="M53" i="34"/>
  <c r="D60" i="37"/>
  <c r="B61" i="37"/>
  <c r="C66" i="35"/>
  <c r="E65" i="35"/>
  <c r="C62" i="37"/>
  <c r="E61" i="37"/>
  <c r="G61" i="37" s="1"/>
  <c r="F57" i="35"/>
  <c r="H56" i="35"/>
  <c r="J56" i="35" s="1"/>
  <c r="K56" i="35" s="1"/>
  <c r="D62" i="34"/>
  <c r="I57" i="32"/>
  <c r="I61" i="37" l="1"/>
  <c r="L52" i="37"/>
  <c r="M52" i="37"/>
  <c r="D63" i="34"/>
  <c r="B65" i="38"/>
  <c r="D64" i="38"/>
  <c r="B63" i="39"/>
  <c r="D62" i="39"/>
  <c r="L56" i="35"/>
  <c r="M56" i="35"/>
  <c r="B62" i="37"/>
  <c r="D61" i="37"/>
  <c r="I63" i="34"/>
  <c r="G63" i="35"/>
  <c r="I62" i="35"/>
  <c r="C64" i="33"/>
  <c r="C63" i="32"/>
  <c r="E63" i="33"/>
  <c r="E63" i="32" s="1"/>
  <c r="H52" i="32"/>
  <c r="J52" i="33"/>
  <c r="F53" i="36"/>
  <c r="H52" i="36"/>
  <c r="J52" i="36" s="1"/>
  <c r="K52" i="36" s="1"/>
  <c r="L52" i="36" s="1"/>
  <c r="C64" i="39"/>
  <c r="E63" i="39"/>
  <c r="L54" i="34"/>
  <c r="M54" i="34"/>
  <c r="F54" i="37"/>
  <c r="H53" i="37"/>
  <c r="J53" i="37" s="1"/>
  <c r="K53" i="37" s="1"/>
  <c r="E64" i="34"/>
  <c r="G64" i="34" s="1"/>
  <c r="C65" i="34"/>
  <c r="B64" i="34"/>
  <c r="I64" i="38"/>
  <c r="D62" i="33"/>
  <c r="D62" i="32" s="1"/>
  <c r="B63" i="33"/>
  <c r="B62" i="32"/>
  <c r="F54" i="33"/>
  <c r="F53" i="32"/>
  <c r="H53" i="33"/>
  <c r="F56" i="34"/>
  <c r="H55" i="34"/>
  <c r="J55" i="34" s="1"/>
  <c r="K55" i="34" s="1"/>
  <c r="F57" i="38"/>
  <c r="H56" i="38"/>
  <c r="J56" i="38" s="1"/>
  <c r="K56" i="38" s="1"/>
  <c r="L53" i="39"/>
  <c r="M53" i="39"/>
  <c r="C67" i="35"/>
  <c r="E66" i="35"/>
  <c r="I58" i="32"/>
  <c r="E65" i="38"/>
  <c r="G65" i="38" s="1"/>
  <c r="C66" i="38"/>
  <c r="K51" i="33"/>
  <c r="J51" i="32"/>
  <c r="L55" i="38"/>
  <c r="M55" i="38"/>
  <c r="C63" i="37"/>
  <c r="E62" i="37"/>
  <c r="G62" i="37" s="1"/>
  <c r="F58" i="35"/>
  <c r="H57" i="35"/>
  <c r="J57" i="35" s="1"/>
  <c r="K57" i="35" s="1"/>
  <c r="G60" i="33"/>
  <c r="G59" i="32"/>
  <c r="I59" i="33"/>
  <c r="D60" i="36"/>
  <c r="B61" i="36"/>
  <c r="L50" i="33"/>
  <c r="L50" i="32" s="1"/>
  <c r="K50" i="32"/>
  <c r="M50" i="32" s="1"/>
  <c r="M50" i="33"/>
  <c r="E61" i="36"/>
  <c r="G61" i="36" s="1"/>
  <c r="C62" i="36"/>
  <c r="D65" i="35"/>
  <c r="B66" i="35"/>
  <c r="G62" i="39"/>
  <c r="I61" i="39"/>
  <c r="F55" i="39"/>
  <c r="H54" i="39"/>
  <c r="J54" i="39" s="1"/>
  <c r="K54" i="39" s="1"/>
  <c r="I65" i="38" l="1"/>
  <c r="G63" i="37"/>
  <c r="I62" i="37"/>
  <c r="I61" i="36"/>
  <c r="I64" i="34"/>
  <c r="F56" i="39"/>
  <c r="H55" i="39"/>
  <c r="J55" i="39" s="1"/>
  <c r="K55" i="39" s="1"/>
  <c r="L54" i="39"/>
  <c r="M54" i="39"/>
  <c r="B67" i="35"/>
  <c r="D66" i="35"/>
  <c r="G61" i="33"/>
  <c r="G60" i="32"/>
  <c r="I60" i="33"/>
  <c r="I63" i="37"/>
  <c r="E63" i="37"/>
  <c r="C64" i="37"/>
  <c r="L56" i="38"/>
  <c r="M56" i="38"/>
  <c r="L55" i="34"/>
  <c r="M55" i="34"/>
  <c r="F54" i="32"/>
  <c r="F55" i="33"/>
  <c r="H54" i="33"/>
  <c r="E64" i="39"/>
  <c r="C65" i="39"/>
  <c r="C65" i="33"/>
  <c r="C64" i="32"/>
  <c r="E64" i="33"/>
  <c r="E64" i="32" s="1"/>
  <c r="I59" i="32"/>
  <c r="F59" i="35"/>
  <c r="H58" i="35"/>
  <c r="J58" i="35" s="1"/>
  <c r="K58" i="35" s="1"/>
  <c r="L51" i="33"/>
  <c r="L51" i="32" s="1"/>
  <c r="K51" i="32"/>
  <c r="M51" i="32" s="1"/>
  <c r="B14" i="31" s="1"/>
  <c r="M51" i="33"/>
  <c r="H53" i="32"/>
  <c r="J53" i="33"/>
  <c r="D63" i="33"/>
  <c r="D63" i="32" s="1"/>
  <c r="B64" i="33"/>
  <c r="B63" i="32"/>
  <c r="D64" i="34"/>
  <c r="L53" i="37"/>
  <c r="M53" i="37"/>
  <c r="F54" i="36"/>
  <c r="H53" i="36"/>
  <c r="J53" i="36" s="1"/>
  <c r="K53" i="36" s="1"/>
  <c r="L53" i="36" s="1"/>
  <c r="G64" i="35"/>
  <c r="I63" i="35"/>
  <c r="D63" i="39"/>
  <c r="B64" i="39"/>
  <c r="L57" i="35"/>
  <c r="M57" i="35"/>
  <c r="F58" i="38"/>
  <c r="H57" i="38"/>
  <c r="J57" i="38" s="1"/>
  <c r="K57" i="38" s="1"/>
  <c r="F57" i="34"/>
  <c r="H56" i="34"/>
  <c r="J56" i="34" s="1"/>
  <c r="K56" i="34" s="1"/>
  <c r="B66" i="38"/>
  <c r="D65" i="38"/>
  <c r="G63" i="39"/>
  <c r="I62" i="39"/>
  <c r="E62" i="36"/>
  <c r="G62" i="36" s="1"/>
  <c r="C63" i="36"/>
  <c r="D61" i="36"/>
  <c r="B62" i="36"/>
  <c r="C67" i="38"/>
  <c r="E66" i="38"/>
  <c r="G66" i="38" s="1"/>
  <c r="E67" i="35"/>
  <c r="C68" i="35"/>
  <c r="C66" i="34"/>
  <c r="E65" i="34"/>
  <c r="G65" i="34" s="1"/>
  <c r="B65" i="34"/>
  <c r="F55" i="37"/>
  <c r="H54" i="37"/>
  <c r="J54" i="37" s="1"/>
  <c r="K54" i="37" s="1"/>
  <c r="K52" i="33"/>
  <c r="J52" i="32"/>
  <c r="B63" i="37"/>
  <c r="D62" i="37"/>
  <c r="I62" i="36" l="1"/>
  <c r="I65" i="34"/>
  <c r="I66" i="38"/>
  <c r="L52" i="33"/>
  <c r="L52" i="32" s="1"/>
  <c r="K52" i="32"/>
  <c r="M52" i="32" s="1"/>
  <c r="M52" i="33"/>
  <c r="E63" i="36"/>
  <c r="G63" i="36" s="1"/>
  <c r="C64" i="36"/>
  <c r="G64" i="39"/>
  <c r="I63" i="39"/>
  <c r="F56" i="33"/>
  <c r="F55" i="32"/>
  <c r="H55" i="33"/>
  <c r="D62" i="36"/>
  <c r="B63" i="36"/>
  <c r="D66" i="38"/>
  <c r="B67" i="38"/>
  <c r="F59" i="38"/>
  <c r="H58" i="38"/>
  <c r="J58" i="38" s="1"/>
  <c r="K58" i="38" s="1"/>
  <c r="D65" i="34"/>
  <c r="E68" i="35"/>
  <c r="C69" i="35"/>
  <c r="F58" i="34"/>
  <c r="H57" i="34"/>
  <c r="J57" i="34" s="1"/>
  <c r="K57" i="34" s="1"/>
  <c r="L58" i="35"/>
  <c r="M58" i="35"/>
  <c r="E65" i="33"/>
  <c r="E65" i="32" s="1"/>
  <c r="C66" i="33"/>
  <c r="C65" i="32"/>
  <c r="H54" i="32"/>
  <c r="J54" i="33"/>
  <c r="G62" i="33"/>
  <c r="G61" i="32"/>
  <c r="I61" i="33"/>
  <c r="B64" i="37"/>
  <c r="D63" i="37"/>
  <c r="E67" i="38"/>
  <c r="G67" i="38" s="1"/>
  <c r="C68" i="38"/>
  <c r="F60" i="35"/>
  <c r="H59" i="35"/>
  <c r="J59" i="35" s="1"/>
  <c r="K59" i="35" s="1"/>
  <c r="L54" i="37"/>
  <c r="M54" i="37"/>
  <c r="D14" i="31"/>
  <c r="C14" i="31"/>
  <c r="E14" i="31" s="1"/>
  <c r="F14" i="31" s="1"/>
  <c r="I60" i="32"/>
  <c r="L55" i="39"/>
  <c r="M55" i="39"/>
  <c r="L57" i="38"/>
  <c r="M57" i="38"/>
  <c r="F55" i="36"/>
  <c r="H54" i="36"/>
  <c r="J54" i="36" s="1"/>
  <c r="K54" i="36" s="1"/>
  <c r="L54" i="36" s="1"/>
  <c r="C66" i="39"/>
  <c r="E65" i="39"/>
  <c r="K53" i="33"/>
  <c r="J53" i="32"/>
  <c r="F56" i="37"/>
  <c r="H55" i="37"/>
  <c r="J55" i="37" s="1"/>
  <c r="K55" i="37" s="1"/>
  <c r="B66" i="34"/>
  <c r="C67" i="34"/>
  <c r="E66" i="34"/>
  <c r="G66" i="34" s="1"/>
  <c r="L56" i="34"/>
  <c r="M56" i="34"/>
  <c r="B65" i="39"/>
  <c r="D64" i="39"/>
  <c r="G65" i="35"/>
  <c r="I64" i="35"/>
  <c r="B65" i="33"/>
  <c r="B64" i="32"/>
  <c r="D64" i="33"/>
  <c r="D64" i="32" s="1"/>
  <c r="C65" i="37"/>
  <c r="E64" i="37"/>
  <c r="G64" i="37" s="1"/>
  <c r="D67" i="35"/>
  <c r="B68" i="35"/>
  <c r="F57" i="39"/>
  <c r="H56" i="39"/>
  <c r="J56" i="39" s="1"/>
  <c r="K56" i="39" s="1"/>
  <c r="I66" i="34" l="1"/>
  <c r="G65" i="37"/>
  <c r="I64" i="37"/>
  <c r="I63" i="36"/>
  <c r="G68" i="38"/>
  <c r="I67" i="38"/>
  <c r="E68" i="38"/>
  <c r="C69" i="38"/>
  <c r="G63" i="33"/>
  <c r="G62" i="32"/>
  <c r="I62" i="33"/>
  <c r="E64" i="36"/>
  <c r="G64" i="36" s="1"/>
  <c r="C65" i="36"/>
  <c r="D68" i="35"/>
  <c r="B69" i="35"/>
  <c r="D64" i="37"/>
  <c r="B65" i="37"/>
  <c r="K54" i="33"/>
  <c r="J54" i="32"/>
  <c r="L57" i="34"/>
  <c r="M57" i="34"/>
  <c r="C70" i="35"/>
  <c r="E69" i="35"/>
  <c r="F57" i="33"/>
  <c r="F56" i="32"/>
  <c r="H56" i="33"/>
  <c r="G66" i="35"/>
  <c r="I65" i="35"/>
  <c r="B67" i="34"/>
  <c r="E67" i="34"/>
  <c r="G67" i="34" s="1"/>
  <c r="C68" i="34"/>
  <c r="K53" i="32"/>
  <c r="M53" i="32" s="1"/>
  <c r="L53" i="33"/>
  <c r="L53" i="32" s="1"/>
  <c r="M53" i="33"/>
  <c r="B66" i="33"/>
  <c r="B65" i="32"/>
  <c r="D65" i="33"/>
  <c r="D65" i="32" s="1"/>
  <c r="L55" i="37"/>
  <c r="M55" i="37"/>
  <c r="F56" i="36"/>
  <c r="H55" i="36"/>
  <c r="J55" i="36" s="1"/>
  <c r="K55" i="36" s="1"/>
  <c r="L55" i="36" s="1"/>
  <c r="L59" i="35"/>
  <c r="M59" i="35"/>
  <c r="I61" i="32"/>
  <c r="F59" i="34"/>
  <c r="H58" i="34"/>
  <c r="J58" i="34" s="1"/>
  <c r="K58" i="34" s="1"/>
  <c r="L58" i="38"/>
  <c r="M58" i="38"/>
  <c r="F58" i="39"/>
  <c r="H57" i="39"/>
  <c r="J57" i="39" s="1"/>
  <c r="K57" i="39" s="1"/>
  <c r="C67" i="39"/>
  <c r="E66" i="39"/>
  <c r="E66" i="33"/>
  <c r="E66" i="32" s="1"/>
  <c r="C67" i="33"/>
  <c r="C66" i="32"/>
  <c r="B68" i="38"/>
  <c r="D67" i="38"/>
  <c r="D66" i="34"/>
  <c r="E65" i="37"/>
  <c r="C66" i="37"/>
  <c r="L56" i="39"/>
  <c r="M56" i="39"/>
  <c r="D65" i="39"/>
  <c r="B66" i="39"/>
  <c r="F57" i="37"/>
  <c r="H56" i="37"/>
  <c r="J56" i="37" s="1"/>
  <c r="K56" i="37" s="1"/>
  <c r="F61" i="35"/>
  <c r="H60" i="35"/>
  <c r="J60" i="35" s="1"/>
  <c r="K60" i="35" s="1"/>
  <c r="F60" i="38"/>
  <c r="H59" i="38"/>
  <c r="J59" i="38" s="1"/>
  <c r="K59" i="38" s="1"/>
  <c r="D63" i="36"/>
  <c r="B64" i="36"/>
  <c r="H55" i="32"/>
  <c r="J55" i="33"/>
  <c r="G65" i="39"/>
  <c r="I64" i="39"/>
  <c r="I64" i="36" l="1"/>
  <c r="I67" i="34"/>
  <c r="E69" i="38"/>
  <c r="C70" i="38"/>
  <c r="D64" i="36"/>
  <c r="B65" i="36"/>
  <c r="F61" i="38"/>
  <c r="H60" i="38"/>
  <c r="J60" i="38" s="1"/>
  <c r="K60" i="38" s="1"/>
  <c r="L56" i="37"/>
  <c r="M56" i="37"/>
  <c r="C68" i="33"/>
  <c r="C67" i="32"/>
  <c r="E67" i="33"/>
  <c r="E67" i="32" s="1"/>
  <c r="F60" i="34"/>
  <c r="H59" i="34"/>
  <c r="J59" i="34" s="1"/>
  <c r="K59" i="34" s="1"/>
  <c r="D67" i="34"/>
  <c r="E70" i="35"/>
  <c r="C71" i="35"/>
  <c r="L54" i="33"/>
  <c r="L54" i="32" s="1"/>
  <c r="K54" i="32"/>
  <c r="M54" i="32" s="1"/>
  <c r="M54" i="33"/>
  <c r="D69" i="35"/>
  <c r="B70" i="35"/>
  <c r="G64" i="33"/>
  <c r="G63" i="32"/>
  <c r="I63" i="33"/>
  <c r="L60" i="35"/>
  <c r="M60" i="35"/>
  <c r="C68" i="39"/>
  <c r="E67" i="39"/>
  <c r="E68" i="34"/>
  <c r="G68" i="34" s="1"/>
  <c r="C69" i="34"/>
  <c r="B68" i="34"/>
  <c r="F62" i="35"/>
  <c r="H61" i="35"/>
  <c r="J61" i="35" s="1"/>
  <c r="K61" i="35" s="1"/>
  <c r="L57" i="39"/>
  <c r="M57" i="39"/>
  <c r="G67" i="35"/>
  <c r="I66" i="35"/>
  <c r="I62" i="32"/>
  <c r="G66" i="39"/>
  <c r="I65" i="39"/>
  <c r="F58" i="37"/>
  <c r="H57" i="37"/>
  <c r="J57" i="37" s="1"/>
  <c r="K57" i="37" s="1"/>
  <c r="C67" i="37"/>
  <c r="E66" i="37"/>
  <c r="G66" i="37" s="1"/>
  <c r="D66" i="33"/>
  <c r="D66" i="32" s="1"/>
  <c r="B67" i="33"/>
  <c r="B66" i="32"/>
  <c r="F58" i="33"/>
  <c r="F57" i="32"/>
  <c r="H57" i="33"/>
  <c r="B66" i="37"/>
  <c r="D65" i="37"/>
  <c r="G69" i="38"/>
  <c r="K55" i="33"/>
  <c r="J55" i="32"/>
  <c r="B67" i="39"/>
  <c r="D66" i="39"/>
  <c r="B69" i="38"/>
  <c r="D68" i="38"/>
  <c r="L59" i="38"/>
  <c r="M59" i="38"/>
  <c r="I65" i="37"/>
  <c r="F59" i="39"/>
  <c r="H58" i="39"/>
  <c r="J58" i="39" s="1"/>
  <c r="K58" i="39" s="1"/>
  <c r="L58" i="34"/>
  <c r="M58" i="34"/>
  <c r="F57" i="36"/>
  <c r="H56" i="36"/>
  <c r="J56" i="36" s="1"/>
  <c r="K56" i="36" s="1"/>
  <c r="L56" i="36" s="1"/>
  <c r="H56" i="32"/>
  <c r="J56" i="33"/>
  <c r="E65" i="36"/>
  <c r="G65" i="36" s="1"/>
  <c r="C66" i="36"/>
  <c r="I68" i="38"/>
  <c r="I68" i="34" l="1"/>
  <c r="I66" i="37"/>
  <c r="I65" i="36"/>
  <c r="B68" i="39"/>
  <c r="D67" i="39"/>
  <c r="G67" i="39"/>
  <c r="I66" i="39"/>
  <c r="G68" i="35"/>
  <c r="I67" i="35"/>
  <c r="C70" i="34"/>
  <c r="E69" i="34"/>
  <c r="G69" i="34" s="1"/>
  <c r="B69" i="34"/>
  <c r="L58" i="39"/>
  <c r="M58" i="39"/>
  <c r="L55" i="33"/>
  <c r="L55" i="32" s="1"/>
  <c r="K55" i="32"/>
  <c r="M55" i="32" s="1"/>
  <c r="M55" i="33"/>
  <c r="B67" i="37"/>
  <c r="D66" i="37"/>
  <c r="F59" i="37"/>
  <c r="H58" i="37"/>
  <c r="J58" i="37" s="1"/>
  <c r="K58" i="37" s="1"/>
  <c r="G65" i="33"/>
  <c r="G64" i="32"/>
  <c r="I64" i="33"/>
  <c r="L59" i="34"/>
  <c r="M59" i="34"/>
  <c r="L60" i="38"/>
  <c r="M60" i="38"/>
  <c r="K56" i="33"/>
  <c r="J56" i="32"/>
  <c r="E68" i="39"/>
  <c r="C69" i="39"/>
  <c r="D65" i="36"/>
  <c r="B66" i="36"/>
  <c r="E66" i="36"/>
  <c r="G66" i="36" s="1"/>
  <c r="C67" i="36"/>
  <c r="F58" i="36"/>
  <c r="H57" i="36"/>
  <c r="J57" i="36" s="1"/>
  <c r="K57" i="36" s="1"/>
  <c r="L57" i="36" s="1"/>
  <c r="F60" i="39"/>
  <c r="H59" i="39"/>
  <c r="J59" i="39" s="1"/>
  <c r="K59" i="39" s="1"/>
  <c r="H57" i="32"/>
  <c r="J57" i="33"/>
  <c r="D67" i="33"/>
  <c r="D67" i="32" s="1"/>
  <c r="B68" i="33"/>
  <c r="B67" i="32"/>
  <c r="D68" i="34"/>
  <c r="B71" i="35"/>
  <c r="D70" i="35"/>
  <c r="F61" i="34"/>
  <c r="H60" i="34"/>
  <c r="J60" i="34" s="1"/>
  <c r="K60" i="34" s="1"/>
  <c r="C69" i="33"/>
  <c r="C68" i="32"/>
  <c r="E68" i="33"/>
  <c r="E68" i="32" s="1"/>
  <c r="F62" i="38"/>
  <c r="H61" i="38"/>
  <c r="J61" i="38" s="1"/>
  <c r="K61" i="38" s="1"/>
  <c r="I69" i="38"/>
  <c r="E67" i="37"/>
  <c r="G67" i="37" s="1"/>
  <c r="C68" i="37"/>
  <c r="L61" i="35"/>
  <c r="M61" i="35"/>
  <c r="I63" i="32"/>
  <c r="D69" i="38"/>
  <c r="B70" i="38"/>
  <c r="F59" i="33"/>
  <c r="F58" i="32"/>
  <c r="H58" i="33"/>
  <c r="L57" i="37"/>
  <c r="M57" i="37"/>
  <c r="F63" i="35"/>
  <c r="H62" i="35"/>
  <c r="J62" i="35" s="1"/>
  <c r="K62" i="35" s="1"/>
  <c r="E71" i="35"/>
  <c r="C72" i="35"/>
  <c r="C71" i="38"/>
  <c r="E70" i="38"/>
  <c r="G70" i="38" s="1"/>
  <c r="I66" i="36" l="1"/>
  <c r="G70" i="34"/>
  <c r="I69" i="34"/>
  <c r="I70" i="38"/>
  <c r="G68" i="37"/>
  <c r="I67" i="37"/>
  <c r="F64" i="35"/>
  <c r="H63" i="35"/>
  <c r="J63" i="35" s="1"/>
  <c r="K63" i="35" s="1"/>
  <c r="F63" i="38"/>
  <c r="H62" i="38"/>
  <c r="J62" i="38" s="1"/>
  <c r="K62" i="38" s="1"/>
  <c r="K57" i="33"/>
  <c r="J57" i="32"/>
  <c r="B68" i="37"/>
  <c r="D67" i="37"/>
  <c r="C72" i="38"/>
  <c r="E71" i="38"/>
  <c r="G71" i="38" s="1"/>
  <c r="E72" i="35"/>
  <c r="C73" i="35"/>
  <c r="L62" i="35"/>
  <c r="M62" i="35"/>
  <c r="H58" i="32"/>
  <c r="J58" i="33"/>
  <c r="C69" i="37"/>
  <c r="E68" i="37"/>
  <c r="L61" i="38"/>
  <c r="M61" i="38"/>
  <c r="L59" i="39"/>
  <c r="M59" i="39"/>
  <c r="E67" i="36"/>
  <c r="G67" i="36" s="1"/>
  <c r="C68" i="36"/>
  <c r="G66" i="33"/>
  <c r="G65" i="32"/>
  <c r="I65" i="33"/>
  <c r="G69" i="35"/>
  <c r="I68" i="35"/>
  <c r="B69" i="39"/>
  <c r="D68" i="39"/>
  <c r="E69" i="33"/>
  <c r="E69" i="32" s="1"/>
  <c r="C70" i="33"/>
  <c r="C69" i="32"/>
  <c r="L58" i="37"/>
  <c r="M58" i="37"/>
  <c r="F60" i="33"/>
  <c r="F59" i="32"/>
  <c r="H59" i="33"/>
  <c r="L60" i="34"/>
  <c r="M60" i="34"/>
  <c r="B72" i="35"/>
  <c r="D71" i="35"/>
  <c r="B69" i="33"/>
  <c r="B68" i="32"/>
  <c r="D68" i="33"/>
  <c r="D68" i="32" s="1"/>
  <c r="C70" i="39"/>
  <c r="E69" i="39"/>
  <c r="I64" i="32"/>
  <c r="F60" i="37"/>
  <c r="H59" i="37"/>
  <c r="J59" i="37" s="1"/>
  <c r="K59" i="37" s="1"/>
  <c r="B70" i="34"/>
  <c r="C71" i="34"/>
  <c r="I70" i="34"/>
  <c r="E70" i="34"/>
  <c r="G68" i="39"/>
  <c r="I67" i="39"/>
  <c r="F61" i="39"/>
  <c r="H60" i="39"/>
  <c r="J60" i="39" s="1"/>
  <c r="K60" i="39" s="1"/>
  <c r="D70" i="38"/>
  <c r="B71" i="38"/>
  <c r="F62" i="34"/>
  <c r="H61" i="34"/>
  <c r="J61" i="34" s="1"/>
  <c r="K61" i="34" s="1"/>
  <c r="F59" i="36"/>
  <c r="H58" i="36"/>
  <c r="J58" i="36" s="1"/>
  <c r="K58" i="36" s="1"/>
  <c r="L58" i="36" s="1"/>
  <c r="D66" i="36"/>
  <c r="B67" i="36"/>
  <c r="L56" i="33"/>
  <c r="L56" i="32" s="1"/>
  <c r="K56" i="32"/>
  <c r="M56" i="32" s="1"/>
  <c r="M56" i="33"/>
  <c r="D69" i="34"/>
  <c r="I67" i="36" l="1"/>
  <c r="G72" i="38"/>
  <c r="I71" i="38"/>
  <c r="D67" i="36"/>
  <c r="B68" i="36"/>
  <c r="F61" i="37"/>
  <c r="H60" i="37"/>
  <c r="J60" i="37" s="1"/>
  <c r="K60" i="37" s="1"/>
  <c r="H59" i="32"/>
  <c r="J59" i="33"/>
  <c r="C70" i="37"/>
  <c r="E69" i="37"/>
  <c r="G71" i="34"/>
  <c r="L61" i="34"/>
  <c r="M61" i="34"/>
  <c r="B72" i="38"/>
  <c r="D71" i="38"/>
  <c r="D72" i="35"/>
  <c r="B73" i="35"/>
  <c r="L59" i="37"/>
  <c r="M59" i="37"/>
  <c r="G70" i="35"/>
  <c r="I69" i="35"/>
  <c r="E68" i="36"/>
  <c r="G68" i="36" s="1"/>
  <c r="C69" i="36"/>
  <c r="E72" i="38"/>
  <c r="C73" i="38"/>
  <c r="D68" i="37"/>
  <c r="B69" i="37"/>
  <c r="L62" i="38"/>
  <c r="M62" i="38"/>
  <c r="L60" i="39"/>
  <c r="M60" i="39"/>
  <c r="I65" i="32"/>
  <c r="F64" i="38"/>
  <c r="H63" i="38"/>
  <c r="J63" i="38" s="1"/>
  <c r="K63" i="38" s="1"/>
  <c r="F62" i="39"/>
  <c r="H61" i="39"/>
  <c r="J61" i="39" s="1"/>
  <c r="K61" i="39" s="1"/>
  <c r="B71" i="34"/>
  <c r="I71" i="34"/>
  <c r="E71" i="34"/>
  <c r="C72" i="34"/>
  <c r="L63" i="35"/>
  <c r="M63" i="35"/>
  <c r="F60" i="36"/>
  <c r="H59" i="36"/>
  <c r="J59" i="36" s="1"/>
  <c r="K59" i="36" s="1"/>
  <c r="L59" i="36" s="1"/>
  <c r="G69" i="37"/>
  <c r="I69" i="37" s="1"/>
  <c r="D69" i="39"/>
  <c r="B70" i="39"/>
  <c r="F63" i="34"/>
  <c r="H62" i="34"/>
  <c r="J62" i="34" s="1"/>
  <c r="K62" i="34" s="1"/>
  <c r="G69" i="39"/>
  <c r="I68" i="39"/>
  <c r="D70" i="34"/>
  <c r="C71" i="39"/>
  <c r="E70" i="39"/>
  <c r="B70" i="33"/>
  <c r="B69" i="32"/>
  <c r="D69" i="33"/>
  <c r="D69" i="32" s="1"/>
  <c r="F61" i="33"/>
  <c r="F60" i="32"/>
  <c r="H60" i="33"/>
  <c r="E70" i="33"/>
  <c r="E70" i="32" s="1"/>
  <c r="C71" i="33"/>
  <c r="C70" i="32"/>
  <c r="G67" i="33"/>
  <c r="G66" i="32"/>
  <c r="I66" i="33"/>
  <c r="I68" i="37"/>
  <c r="J58" i="32"/>
  <c r="K58" i="33"/>
  <c r="C74" i="35"/>
  <c r="E73" i="35"/>
  <c r="K57" i="32"/>
  <c r="M57" i="32" s="1"/>
  <c r="L57" i="33"/>
  <c r="L57" i="32" s="1"/>
  <c r="M57" i="33"/>
  <c r="F65" i="35"/>
  <c r="H64" i="35"/>
  <c r="J64" i="35" s="1"/>
  <c r="K64" i="35" s="1"/>
  <c r="I68" i="36" l="1"/>
  <c r="F64" i="34"/>
  <c r="H63" i="34"/>
  <c r="J63" i="34" s="1"/>
  <c r="K63" i="34" s="1"/>
  <c r="F61" i="36"/>
  <c r="H60" i="36"/>
  <c r="J60" i="36" s="1"/>
  <c r="K60" i="36" s="1"/>
  <c r="L60" i="36" s="1"/>
  <c r="K59" i="33"/>
  <c r="J59" i="32"/>
  <c r="C75" i="35"/>
  <c r="E74" i="35"/>
  <c r="E94" i="32" s="1"/>
  <c r="I66" i="32"/>
  <c r="L62" i="34"/>
  <c r="M62" i="34"/>
  <c r="F63" i="39"/>
  <c r="H62" i="39"/>
  <c r="J62" i="39" s="1"/>
  <c r="K62" i="39" s="1"/>
  <c r="E69" i="36"/>
  <c r="G69" i="36" s="1"/>
  <c r="C70" i="36"/>
  <c r="G71" i="35"/>
  <c r="I70" i="35"/>
  <c r="F62" i="37"/>
  <c r="H61" i="37"/>
  <c r="J61" i="37" s="1"/>
  <c r="K61" i="37" s="1"/>
  <c r="L64" i="35"/>
  <c r="M64" i="35"/>
  <c r="L58" i="33"/>
  <c r="L58" i="32" s="1"/>
  <c r="K58" i="32"/>
  <c r="M58" i="32" s="1"/>
  <c r="M58" i="33"/>
  <c r="H60" i="32"/>
  <c r="J60" i="33"/>
  <c r="E73" i="38"/>
  <c r="G73" i="38" s="1"/>
  <c r="C74" i="38"/>
  <c r="D68" i="36"/>
  <c r="B69" i="36"/>
  <c r="C72" i="33"/>
  <c r="C71" i="32"/>
  <c r="E71" i="33"/>
  <c r="E71" i="32" s="1"/>
  <c r="C72" i="39"/>
  <c r="E71" i="39"/>
  <c r="B71" i="39"/>
  <c r="D70" i="39"/>
  <c r="D71" i="34"/>
  <c r="F65" i="38"/>
  <c r="H64" i="38"/>
  <c r="J64" i="38" s="1"/>
  <c r="K64" i="38" s="1"/>
  <c r="B70" i="37"/>
  <c r="D69" i="37"/>
  <c r="B73" i="38"/>
  <c r="D72" i="38"/>
  <c r="L63" i="38"/>
  <c r="M63" i="38"/>
  <c r="F66" i="35"/>
  <c r="H65" i="35"/>
  <c r="J65" i="35" s="1"/>
  <c r="K65" i="35" s="1"/>
  <c r="G68" i="33"/>
  <c r="G67" i="32"/>
  <c r="I67" i="33"/>
  <c r="F62" i="33"/>
  <c r="F61" i="32"/>
  <c r="H61" i="33"/>
  <c r="D70" i="33"/>
  <c r="D70" i="32" s="1"/>
  <c r="B71" i="33"/>
  <c r="B70" i="32"/>
  <c r="G70" i="39"/>
  <c r="I69" i="39"/>
  <c r="E72" i="34"/>
  <c r="G72" i="34" s="1"/>
  <c r="C73" i="34"/>
  <c r="B72" i="34"/>
  <c r="L61" i="39"/>
  <c r="M61" i="39"/>
  <c r="I72" i="38"/>
  <c r="D73" i="35"/>
  <c r="B74" i="35"/>
  <c r="C71" i="37"/>
  <c r="E70" i="37"/>
  <c r="G70" i="37" s="1"/>
  <c r="L60" i="37"/>
  <c r="M60" i="37"/>
  <c r="I73" i="38" l="1"/>
  <c r="G70" i="36"/>
  <c r="I69" i="36"/>
  <c r="I70" i="37"/>
  <c r="I72" i="34"/>
  <c r="D73" i="38"/>
  <c r="B74" i="38"/>
  <c r="E71" i="37"/>
  <c r="G71" i="37" s="1"/>
  <c r="C72" i="37"/>
  <c r="D71" i="33"/>
  <c r="D71" i="32" s="1"/>
  <c r="B72" i="33"/>
  <c r="B71" i="32"/>
  <c r="F67" i="35"/>
  <c r="H66" i="35"/>
  <c r="J66" i="35" s="1"/>
  <c r="K66" i="35" s="1"/>
  <c r="F66" i="38"/>
  <c r="H65" i="38"/>
  <c r="J65" i="38" s="1"/>
  <c r="K65" i="38" s="1"/>
  <c r="C74" i="34"/>
  <c r="E73" i="34"/>
  <c r="G73" i="34" s="1"/>
  <c r="B73" i="34"/>
  <c r="G71" i="39"/>
  <c r="I70" i="39"/>
  <c r="G69" i="33"/>
  <c r="G68" i="32"/>
  <c r="I68" i="33"/>
  <c r="B71" i="37"/>
  <c r="D70" i="37"/>
  <c r="C73" i="33"/>
  <c r="C72" i="32"/>
  <c r="E72" i="33"/>
  <c r="E72" i="32" s="1"/>
  <c r="H61" i="32"/>
  <c r="J61" i="33"/>
  <c r="L64" i="38"/>
  <c r="M64" i="38"/>
  <c r="D69" i="36"/>
  <c r="B70" i="36"/>
  <c r="C75" i="38"/>
  <c r="E74" i="38"/>
  <c r="E130" i="32" s="1"/>
  <c r="G72" i="35"/>
  <c r="I71" i="35"/>
  <c r="F62" i="36"/>
  <c r="H61" i="36"/>
  <c r="J61" i="36" s="1"/>
  <c r="K61" i="36" s="1"/>
  <c r="L61" i="36" s="1"/>
  <c r="L61" i="37"/>
  <c r="M61" i="37"/>
  <c r="I70" i="36"/>
  <c r="E70" i="36"/>
  <c r="C71" i="36"/>
  <c r="L62" i="39"/>
  <c r="M62" i="39"/>
  <c r="L63" i="34"/>
  <c r="M63" i="34"/>
  <c r="L65" i="35"/>
  <c r="M65" i="35"/>
  <c r="K60" i="33"/>
  <c r="J60" i="32"/>
  <c r="L59" i="33"/>
  <c r="L59" i="32" s="1"/>
  <c r="K59" i="32"/>
  <c r="M59" i="32" s="1"/>
  <c r="M59" i="33"/>
  <c r="I67" i="32"/>
  <c r="B75" i="35"/>
  <c r="D74" i="35"/>
  <c r="D72" i="34"/>
  <c r="F63" i="33"/>
  <c r="F62" i="32"/>
  <c r="H62" i="33"/>
  <c r="B72" i="39"/>
  <c r="D71" i="39"/>
  <c r="E72" i="39"/>
  <c r="C73" i="39"/>
  <c r="F63" i="37"/>
  <c r="H62" i="37"/>
  <c r="J62" i="37" s="1"/>
  <c r="K62" i="37" s="1"/>
  <c r="F64" i="39"/>
  <c r="H63" i="39"/>
  <c r="J63" i="39" s="1"/>
  <c r="K63" i="39" s="1"/>
  <c r="E75" i="35"/>
  <c r="E95" i="32" s="1"/>
  <c r="C76" i="35"/>
  <c r="F65" i="34"/>
  <c r="H64" i="34"/>
  <c r="J64" i="34" s="1"/>
  <c r="K64" i="34" s="1"/>
  <c r="I71" i="37" l="1"/>
  <c r="I73" i="34"/>
  <c r="E76" i="35"/>
  <c r="E96" i="32" s="1"/>
  <c r="C77" i="35"/>
  <c r="F65" i="39"/>
  <c r="H64" i="39"/>
  <c r="J64" i="39" s="1"/>
  <c r="K64" i="39" s="1"/>
  <c r="B73" i="39"/>
  <c r="D72" i="39"/>
  <c r="K61" i="33"/>
  <c r="J61" i="32"/>
  <c r="D73" i="34"/>
  <c r="L66" i="35"/>
  <c r="M66" i="35"/>
  <c r="L62" i="37"/>
  <c r="M62" i="37"/>
  <c r="B72" i="37"/>
  <c r="D71" i="37"/>
  <c r="G70" i="33"/>
  <c r="G69" i="32"/>
  <c r="I69" i="33"/>
  <c r="L64" i="34"/>
  <c r="M64" i="34"/>
  <c r="F64" i="37"/>
  <c r="H63" i="37"/>
  <c r="J63" i="37" s="1"/>
  <c r="K63" i="37" s="1"/>
  <c r="L60" i="33"/>
  <c r="L60" i="32" s="1"/>
  <c r="K60" i="32"/>
  <c r="M60" i="32" s="1"/>
  <c r="M60" i="33"/>
  <c r="L65" i="38"/>
  <c r="M65" i="38"/>
  <c r="C73" i="37"/>
  <c r="E72" i="37"/>
  <c r="G72" i="37" s="1"/>
  <c r="H62" i="32"/>
  <c r="J62" i="33"/>
  <c r="F63" i="36"/>
  <c r="H62" i="36"/>
  <c r="J62" i="36" s="1"/>
  <c r="K62" i="36" s="1"/>
  <c r="L62" i="36" s="1"/>
  <c r="F68" i="35"/>
  <c r="H67" i="35"/>
  <c r="J67" i="35" s="1"/>
  <c r="K67" i="35" s="1"/>
  <c r="D74" i="38"/>
  <c r="B75" i="38"/>
  <c r="D75" i="35"/>
  <c r="B76" i="35"/>
  <c r="C76" i="38"/>
  <c r="E75" i="38"/>
  <c r="E131" i="32" s="1"/>
  <c r="F66" i="34"/>
  <c r="H65" i="34"/>
  <c r="J65" i="34" s="1"/>
  <c r="K65" i="34" s="1"/>
  <c r="L63" i="39"/>
  <c r="M63" i="39"/>
  <c r="C74" i="39"/>
  <c r="E73" i="39"/>
  <c r="F64" i="33"/>
  <c r="F63" i="32"/>
  <c r="H63" i="33"/>
  <c r="E71" i="36"/>
  <c r="G71" i="36" s="1"/>
  <c r="C72" i="36"/>
  <c r="G73" i="35"/>
  <c r="I72" i="35"/>
  <c r="D70" i="36"/>
  <c r="B71" i="36"/>
  <c r="E73" i="33"/>
  <c r="E73" i="32" s="1"/>
  <c r="C74" i="33"/>
  <c r="C73" i="32"/>
  <c r="I68" i="32"/>
  <c r="G72" i="39"/>
  <c r="I71" i="39"/>
  <c r="B74" i="34"/>
  <c r="C75" i="34"/>
  <c r="E74" i="34"/>
  <c r="G74" i="34" s="1"/>
  <c r="F67" i="38"/>
  <c r="H66" i="38"/>
  <c r="J66" i="38" s="1"/>
  <c r="K66" i="38" s="1"/>
  <c r="B73" i="33"/>
  <c r="B72" i="32"/>
  <c r="D72" i="33"/>
  <c r="D72" i="32" s="1"/>
  <c r="G74" i="38"/>
  <c r="I72" i="37" l="1"/>
  <c r="G75" i="34"/>
  <c r="I74" i="34"/>
  <c r="I71" i="36"/>
  <c r="B75" i="34"/>
  <c r="E75" i="34"/>
  <c r="C76" i="34"/>
  <c r="E74" i="33"/>
  <c r="E74" i="32" s="1"/>
  <c r="C75" i="33"/>
  <c r="C74" i="32"/>
  <c r="E72" i="36"/>
  <c r="G72" i="36" s="1"/>
  <c r="C73" i="36"/>
  <c r="C75" i="39"/>
  <c r="E74" i="39"/>
  <c r="E142" i="32" s="1"/>
  <c r="D76" i="35"/>
  <c r="B77" i="35"/>
  <c r="B76" i="38"/>
  <c r="D75" i="38"/>
  <c r="F69" i="35"/>
  <c r="H68" i="35"/>
  <c r="J68" i="35" s="1"/>
  <c r="K68" i="35" s="1"/>
  <c r="F66" i="39"/>
  <c r="H65" i="39"/>
  <c r="J65" i="39" s="1"/>
  <c r="K65" i="39" s="1"/>
  <c r="F68" i="38"/>
  <c r="H67" i="38"/>
  <c r="J67" i="38" s="1"/>
  <c r="K67" i="38" s="1"/>
  <c r="D74" i="34"/>
  <c r="F65" i="33"/>
  <c r="F64" i="32"/>
  <c r="H64" i="33"/>
  <c r="L63" i="37"/>
  <c r="M63" i="37"/>
  <c r="I69" i="32"/>
  <c r="D73" i="39"/>
  <c r="B74" i="39"/>
  <c r="C78" i="35"/>
  <c r="E77" i="35"/>
  <c r="E97" i="32" s="1"/>
  <c r="L66" i="38"/>
  <c r="M66" i="38"/>
  <c r="F67" i="34"/>
  <c r="H66" i="34"/>
  <c r="J66" i="34" s="1"/>
  <c r="K66" i="34" s="1"/>
  <c r="F64" i="36"/>
  <c r="H63" i="36"/>
  <c r="J63" i="36" s="1"/>
  <c r="K63" i="36" s="1"/>
  <c r="L63" i="36" s="1"/>
  <c r="F65" i="37"/>
  <c r="H64" i="37"/>
  <c r="J64" i="37" s="1"/>
  <c r="K64" i="37" s="1"/>
  <c r="D72" i="37"/>
  <c r="B73" i="37"/>
  <c r="K61" i="32"/>
  <c r="M61" i="32" s="1"/>
  <c r="L61" i="33"/>
  <c r="L61" i="32" s="1"/>
  <c r="M61" i="33"/>
  <c r="G75" i="38"/>
  <c r="I74" i="38"/>
  <c r="B74" i="33"/>
  <c r="B73" i="32"/>
  <c r="D73" i="33"/>
  <c r="D73" i="32" s="1"/>
  <c r="G73" i="39"/>
  <c r="I72" i="39"/>
  <c r="D71" i="36"/>
  <c r="B72" i="36"/>
  <c r="G74" i="35"/>
  <c r="I73" i="35"/>
  <c r="H63" i="32"/>
  <c r="J63" i="33"/>
  <c r="L65" i="34"/>
  <c r="M65" i="34"/>
  <c r="E76" i="38"/>
  <c r="E132" i="32" s="1"/>
  <c r="C77" i="38"/>
  <c r="L67" i="35"/>
  <c r="M67" i="35"/>
  <c r="J62" i="32"/>
  <c r="K62" i="33"/>
  <c r="C74" i="37"/>
  <c r="E73" i="37"/>
  <c r="G73" i="37" s="1"/>
  <c r="G71" i="33"/>
  <c r="G70" i="32"/>
  <c r="I70" i="33"/>
  <c r="L64" i="39"/>
  <c r="M64" i="39"/>
  <c r="I72" i="36" l="1"/>
  <c r="I73" i="37"/>
  <c r="G72" i="33"/>
  <c r="G71" i="32"/>
  <c r="I71" i="33"/>
  <c r="L62" i="33"/>
  <c r="L62" i="32" s="1"/>
  <c r="K62" i="32"/>
  <c r="M62" i="32" s="1"/>
  <c r="M62" i="33"/>
  <c r="G75" i="35"/>
  <c r="I74" i="35"/>
  <c r="L64" i="37"/>
  <c r="M64" i="37"/>
  <c r="D77" i="35"/>
  <c r="B78" i="35"/>
  <c r="C76" i="39"/>
  <c r="E75" i="39"/>
  <c r="E143" i="32" s="1"/>
  <c r="G76" i="34"/>
  <c r="K63" i="33"/>
  <c r="J63" i="32"/>
  <c r="G74" i="39"/>
  <c r="I73" i="39"/>
  <c r="D74" i="33"/>
  <c r="D74" i="32" s="1"/>
  <c r="B75" i="33"/>
  <c r="B74" i="32"/>
  <c r="B74" i="37"/>
  <c r="D73" i="37"/>
  <c r="F68" i="34"/>
  <c r="H67" i="34"/>
  <c r="J67" i="34" s="1"/>
  <c r="K67" i="34" s="1"/>
  <c r="F66" i="33"/>
  <c r="F65" i="32"/>
  <c r="H65" i="33"/>
  <c r="L65" i="39"/>
  <c r="M65" i="39"/>
  <c r="E74" i="37"/>
  <c r="E118" i="32" s="1"/>
  <c r="C75" i="37"/>
  <c r="G76" i="38"/>
  <c r="I75" i="38"/>
  <c r="F65" i="36"/>
  <c r="H64" i="36"/>
  <c r="J64" i="36" s="1"/>
  <c r="K64" i="36" s="1"/>
  <c r="L64" i="36" s="1"/>
  <c r="B75" i="39"/>
  <c r="D74" i="39"/>
  <c r="H64" i="32"/>
  <c r="J64" i="33"/>
  <c r="L68" i="35"/>
  <c r="M68" i="35"/>
  <c r="B77" i="38"/>
  <c r="D76" i="38"/>
  <c r="I75" i="34"/>
  <c r="E77" i="38"/>
  <c r="E133" i="32" s="1"/>
  <c r="C78" i="38"/>
  <c r="L66" i="34"/>
  <c r="M66" i="34"/>
  <c r="F70" i="35"/>
  <c r="H69" i="35"/>
  <c r="J69" i="35" s="1"/>
  <c r="K69" i="35" s="1"/>
  <c r="D75" i="34"/>
  <c r="D72" i="36"/>
  <c r="B73" i="36"/>
  <c r="F66" i="37"/>
  <c r="H65" i="37"/>
  <c r="J65" i="37" s="1"/>
  <c r="K65" i="37" s="1"/>
  <c r="L67" i="38"/>
  <c r="M67" i="38"/>
  <c r="E76" i="34"/>
  <c r="E84" i="32" s="1"/>
  <c r="C77" i="34"/>
  <c r="B76" i="34"/>
  <c r="I70" i="32"/>
  <c r="E78" i="35"/>
  <c r="E98" i="32" s="1"/>
  <c r="C79" i="35"/>
  <c r="F69" i="38"/>
  <c r="H68" i="38"/>
  <c r="J68" i="38" s="1"/>
  <c r="K68" i="38" s="1"/>
  <c r="F67" i="39"/>
  <c r="H66" i="39"/>
  <c r="J66" i="39" s="1"/>
  <c r="K66" i="39" s="1"/>
  <c r="E73" i="36"/>
  <c r="G73" i="36" s="1"/>
  <c r="C74" i="36"/>
  <c r="C76" i="33"/>
  <c r="C75" i="32"/>
  <c r="E75" i="33"/>
  <c r="E75" i="32" s="1"/>
  <c r="I73" i="36" l="1"/>
  <c r="C77" i="33"/>
  <c r="C76" i="32"/>
  <c r="E76" i="33"/>
  <c r="E76" i="32" s="1"/>
  <c r="L66" i="39"/>
  <c r="M66" i="39"/>
  <c r="C78" i="34"/>
  <c r="E77" i="34"/>
  <c r="E85" i="32" s="1"/>
  <c r="B77" i="34"/>
  <c r="L69" i="35"/>
  <c r="M69" i="35"/>
  <c r="C79" i="38"/>
  <c r="E78" i="38"/>
  <c r="E134" i="32" s="1"/>
  <c r="D77" i="38"/>
  <c r="B78" i="38"/>
  <c r="H65" i="32"/>
  <c r="J65" i="33"/>
  <c r="B79" i="35"/>
  <c r="D78" i="35"/>
  <c r="G76" i="35"/>
  <c r="I75" i="35"/>
  <c r="I71" i="32"/>
  <c r="G74" i="37"/>
  <c r="E74" i="36"/>
  <c r="E106" i="32" s="1"/>
  <c r="C75" i="36"/>
  <c r="F68" i="39"/>
  <c r="H67" i="39"/>
  <c r="J67" i="39" s="1"/>
  <c r="K67" i="39" s="1"/>
  <c r="L65" i="37"/>
  <c r="M65" i="37"/>
  <c r="F71" i="35"/>
  <c r="H70" i="35"/>
  <c r="J70" i="35" s="1"/>
  <c r="K70" i="35" s="1"/>
  <c r="D75" i="33"/>
  <c r="D75" i="32" s="1"/>
  <c r="B76" i="33"/>
  <c r="B75" i="32"/>
  <c r="L68" i="38"/>
  <c r="M68" i="38"/>
  <c r="I76" i="34"/>
  <c r="F67" i="37"/>
  <c r="H66" i="37"/>
  <c r="J66" i="37" s="1"/>
  <c r="K66" i="37" s="1"/>
  <c r="F66" i="36"/>
  <c r="H65" i="36"/>
  <c r="J65" i="36" s="1"/>
  <c r="K65" i="36" s="1"/>
  <c r="L65" i="36" s="1"/>
  <c r="F67" i="33"/>
  <c r="F66" i="32"/>
  <c r="H66" i="33"/>
  <c r="F70" i="38"/>
  <c r="H69" i="38"/>
  <c r="J69" i="38" s="1"/>
  <c r="K69" i="38" s="1"/>
  <c r="D76" i="34"/>
  <c r="D73" i="36"/>
  <c r="B74" i="36"/>
  <c r="K64" i="33"/>
  <c r="J64" i="32"/>
  <c r="E75" i="37"/>
  <c r="E119" i="32" s="1"/>
  <c r="C76" i="37"/>
  <c r="L67" i="34"/>
  <c r="M67" i="34"/>
  <c r="B75" i="37"/>
  <c r="D74" i="37"/>
  <c r="L63" i="33"/>
  <c r="L63" i="32" s="1"/>
  <c r="K63" i="32"/>
  <c r="M63" i="32" s="1"/>
  <c r="B15" i="31" s="1"/>
  <c r="M63" i="33"/>
  <c r="E76" i="39"/>
  <c r="E144" i="32" s="1"/>
  <c r="C77" i="39"/>
  <c r="E79" i="35"/>
  <c r="E99" i="32" s="1"/>
  <c r="C80" i="35"/>
  <c r="B76" i="39"/>
  <c r="D75" i="39"/>
  <c r="G77" i="38"/>
  <c r="I76" i="38"/>
  <c r="F69" i="34"/>
  <c r="H68" i="34"/>
  <c r="J68" i="34" s="1"/>
  <c r="K68" i="34" s="1"/>
  <c r="G75" i="39"/>
  <c r="I74" i="39"/>
  <c r="G73" i="33"/>
  <c r="G72" i="32"/>
  <c r="I72" i="33"/>
  <c r="F70" i="34" l="1"/>
  <c r="H69" i="34"/>
  <c r="J69" i="34" s="1"/>
  <c r="K69" i="34" s="1"/>
  <c r="B76" i="37"/>
  <c r="D75" i="37"/>
  <c r="C77" i="37"/>
  <c r="E76" i="37"/>
  <c r="E120" i="32" s="1"/>
  <c r="L69" i="38"/>
  <c r="M69" i="38"/>
  <c r="F68" i="37"/>
  <c r="H67" i="37"/>
  <c r="J67" i="37" s="1"/>
  <c r="K67" i="37" s="1"/>
  <c r="L67" i="39"/>
  <c r="M67" i="39"/>
  <c r="C80" i="38"/>
  <c r="E79" i="38"/>
  <c r="E135" i="32" s="1"/>
  <c r="C15" i="31"/>
  <c r="D15" i="31"/>
  <c r="F71" i="38"/>
  <c r="H70" i="38"/>
  <c r="J70" i="38" s="1"/>
  <c r="K70" i="38" s="1"/>
  <c r="F69" i="39"/>
  <c r="H68" i="39"/>
  <c r="J68" i="39" s="1"/>
  <c r="K68" i="39" s="1"/>
  <c r="G75" i="37"/>
  <c r="I74" i="37"/>
  <c r="B80" i="35"/>
  <c r="D79" i="35"/>
  <c r="K65" i="33"/>
  <c r="J65" i="32"/>
  <c r="I72" i="32"/>
  <c r="G76" i="39"/>
  <c r="I75" i="39"/>
  <c r="G78" i="38"/>
  <c r="I77" i="38"/>
  <c r="E80" i="35"/>
  <c r="E100" i="32" s="1"/>
  <c r="C81" i="35"/>
  <c r="L68" i="34"/>
  <c r="M68" i="34"/>
  <c r="D74" i="36"/>
  <c r="B75" i="36"/>
  <c r="L66" i="37"/>
  <c r="M66" i="37"/>
  <c r="L70" i="35"/>
  <c r="M70" i="35"/>
  <c r="D78" i="38"/>
  <c r="B79" i="38"/>
  <c r="D77" i="34"/>
  <c r="G74" i="33"/>
  <c r="G73" i="32"/>
  <c r="I73" i="33"/>
  <c r="F68" i="33"/>
  <c r="F67" i="32"/>
  <c r="H67" i="33"/>
  <c r="F72" i="35"/>
  <c r="H71" i="35"/>
  <c r="J71" i="35" s="1"/>
  <c r="K71" i="35" s="1"/>
  <c r="E77" i="33"/>
  <c r="E77" i="32" s="1"/>
  <c r="C78" i="33"/>
  <c r="C77" i="32"/>
  <c r="B77" i="39"/>
  <c r="D76" i="39"/>
  <c r="C78" i="39"/>
  <c r="E77" i="39"/>
  <c r="E145" i="32" s="1"/>
  <c r="L64" i="33"/>
  <c r="L64" i="32" s="1"/>
  <c r="K64" i="32"/>
  <c r="M64" i="32" s="1"/>
  <c r="M64" i="33"/>
  <c r="H66" i="32"/>
  <c r="J66" i="33"/>
  <c r="F67" i="36"/>
  <c r="H66" i="36"/>
  <c r="J66" i="36" s="1"/>
  <c r="K66" i="36" s="1"/>
  <c r="L66" i="36" s="1"/>
  <c r="B77" i="33"/>
  <c r="B76" i="32"/>
  <c r="D76" i="33"/>
  <c r="D76" i="32" s="1"/>
  <c r="E75" i="36"/>
  <c r="E107" i="32" s="1"/>
  <c r="C76" i="36"/>
  <c r="G77" i="35"/>
  <c r="I76" i="35"/>
  <c r="G77" i="34"/>
  <c r="B78" i="34"/>
  <c r="C79" i="34"/>
  <c r="E78" i="34"/>
  <c r="E86" i="32" s="1"/>
  <c r="G74" i="36"/>
  <c r="G78" i="34" l="1"/>
  <c r="I77" i="34"/>
  <c r="E76" i="36"/>
  <c r="E108" i="32" s="1"/>
  <c r="C77" i="36"/>
  <c r="F68" i="36"/>
  <c r="H67" i="36"/>
  <c r="J67" i="36" s="1"/>
  <c r="K67" i="36" s="1"/>
  <c r="L67" i="36" s="1"/>
  <c r="B80" i="38"/>
  <c r="D79" i="38"/>
  <c r="C82" i="35"/>
  <c r="E81" i="35"/>
  <c r="E101" i="32" s="1"/>
  <c r="L65" i="33"/>
  <c r="L65" i="32" s="1"/>
  <c r="K65" i="32"/>
  <c r="M65" i="32" s="1"/>
  <c r="M65" i="33"/>
  <c r="E80" i="38"/>
  <c r="E136" i="32" s="1"/>
  <c r="C81" i="38"/>
  <c r="F69" i="37"/>
  <c r="H68" i="37"/>
  <c r="J68" i="37" s="1"/>
  <c r="K68" i="37" s="1"/>
  <c r="D76" i="37"/>
  <c r="B77" i="37"/>
  <c r="J66" i="32"/>
  <c r="K66" i="33"/>
  <c r="G75" i="33"/>
  <c r="G74" i="32"/>
  <c r="I74" i="33"/>
  <c r="E15" i="31"/>
  <c r="F15" i="31" s="1"/>
  <c r="L69" i="34"/>
  <c r="M69" i="34"/>
  <c r="B79" i="34"/>
  <c r="E79" i="34"/>
  <c r="E87" i="32" s="1"/>
  <c r="C80" i="34"/>
  <c r="G78" i="35"/>
  <c r="I77" i="35"/>
  <c r="G75" i="36"/>
  <c r="I74" i="36"/>
  <c r="D78" i="34"/>
  <c r="E78" i="33"/>
  <c r="E78" i="32" s="1"/>
  <c r="C79" i="33"/>
  <c r="C78" i="32"/>
  <c r="F73" i="35"/>
  <c r="H72" i="35"/>
  <c r="J72" i="35" s="1"/>
  <c r="K72" i="35" s="1"/>
  <c r="I73" i="32"/>
  <c r="D75" i="36"/>
  <c r="B76" i="36"/>
  <c r="D80" i="35"/>
  <c r="B81" i="35"/>
  <c r="F70" i="39"/>
  <c r="H69" i="39"/>
  <c r="J69" i="39" s="1"/>
  <c r="K69" i="39" s="1"/>
  <c r="F72" i="38"/>
  <c r="H71" i="38"/>
  <c r="J71" i="38" s="1"/>
  <c r="K71" i="38" s="1"/>
  <c r="L67" i="37"/>
  <c r="M67" i="37"/>
  <c r="D77" i="39"/>
  <c r="B78" i="39"/>
  <c r="H67" i="32"/>
  <c r="J67" i="33"/>
  <c r="G79" i="38"/>
  <c r="I78" i="38"/>
  <c r="G76" i="37"/>
  <c r="I75" i="37"/>
  <c r="C78" i="37"/>
  <c r="E77" i="37"/>
  <c r="E121" i="32" s="1"/>
  <c r="B78" i="33"/>
  <c r="B77" i="32"/>
  <c r="D77" i="33"/>
  <c r="D77" i="32" s="1"/>
  <c r="C79" i="39"/>
  <c r="E78" i="39"/>
  <c r="E146" i="32" s="1"/>
  <c r="L71" i="35"/>
  <c r="M71" i="35"/>
  <c r="F69" i="33"/>
  <c r="F68" i="32"/>
  <c r="H68" i="33"/>
  <c r="G77" i="39"/>
  <c r="I76" i="39"/>
  <c r="L68" i="39"/>
  <c r="M68" i="39"/>
  <c r="L70" i="38"/>
  <c r="M70" i="38"/>
  <c r="F71" i="34"/>
  <c r="H70" i="34"/>
  <c r="J70" i="34" s="1"/>
  <c r="K70" i="34" s="1"/>
  <c r="F72" i="34" l="1"/>
  <c r="H71" i="34"/>
  <c r="J71" i="34" s="1"/>
  <c r="K71" i="34" s="1"/>
  <c r="K67" i="33"/>
  <c r="J67" i="32"/>
  <c r="D76" i="36"/>
  <c r="B77" i="36"/>
  <c r="B78" i="37"/>
  <c r="D77" i="37"/>
  <c r="F70" i="37"/>
  <c r="H69" i="37"/>
  <c r="J69" i="37" s="1"/>
  <c r="K69" i="37" s="1"/>
  <c r="F70" i="33"/>
  <c r="F69" i="32"/>
  <c r="H69" i="33"/>
  <c r="C80" i="39"/>
  <c r="E79" i="39"/>
  <c r="E147" i="32" s="1"/>
  <c r="C79" i="37"/>
  <c r="E78" i="37"/>
  <c r="E122" i="32" s="1"/>
  <c r="L69" i="39"/>
  <c r="M69" i="39"/>
  <c r="L70" i="34"/>
  <c r="M70" i="34"/>
  <c r="H68" i="32"/>
  <c r="J68" i="33"/>
  <c r="G77" i="37"/>
  <c r="I76" i="37"/>
  <c r="G80" i="38"/>
  <c r="I79" i="38"/>
  <c r="L71" i="38"/>
  <c r="M71" i="38"/>
  <c r="D81" i="35"/>
  <c r="B82" i="35"/>
  <c r="F74" i="35"/>
  <c r="H73" i="35"/>
  <c r="J73" i="35" s="1"/>
  <c r="K73" i="35" s="1"/>
  <c r="G76" i="36"/>
  <c r="I75" i="36"/>
  <c r="I74" i="32"/>
  <c r="L68" i="37"/>
  <c r="M68" i="37"/>
  <c r="B81" i="38"/>
  <c r="D80" i="38"/>
  <c r="F73" i="38"/>
  <c r="H72" i="38"/>
  <c r="J72" i="38" s="1"/>
  <c r="K72" i="38" s="1"/>
  <c r="C80" i="33"/>
  <c r="C79" i="32"/>
  <c r="E79" i="33"/>
  <c r="E79" i="32" s="1"/>
  <c r="D79" i="34"/>
  <c r="G76" i="33"/>
  <c r="G75" i="32"/>
  <c r="I75" i="33"/>
  <c r="E81" i="38"/>
  <c r="E137" i="32" s="1"/>
  <c r="C82" i="38"/>
  <c r="F69" i="36"/>
  <c r="H68" i="36"/>
  <c r="J68" i="36" s="1"/>
  <c r="K68" i="36" s="1"/>
  <c r="L68" i="36" s="1"/>
  <c r="C83" i="35"/>
  <c r="E82" i="35"/>
  <c r="E102" i="32" s="1"/>
  <c r="G79" i="35"/>
  <c r="I78" i="35"/>
  <c r="G78" i="39"/>
  <c r="I77" i="39"/>
  <c r="D78" i="33"/>
  <c r="D78" i="32" s="1"/>
  <c r="B79" i="33"/>
  <c r="B78" i="32"/>
  <c r="B79" i="39"/>
  <c r="D78" i="39"/>
  <c r="F71" i="39"/>
  <c r="H70" i="39"/>
  <c r="J70" i="39" s="1"/>
  <c r="K70" i="39" s="1"/>
  <c r="L72" i="35"/>
  <c r="M72" i="35"/>
  <c r="E80" i="34"/>
  <c r="E88" i="32" s="1"/>
  <c r="C81" i="34"/>
  <c r="B80" i="34"/>
  <c r="L66" i="33"/>
  <c r="L66" i="32" s="1"/>
  <c r="K66" i="32"/>
  <c r="M66" i="32" s="1"/>
  <c r="M66" i="33"/>
  <c r="E77" i="36"/>
  <c r="E109" i="32" s="1"/>
  <c r="C78" i="36"/>
  <c r="G79" i="34"/>
  <c r="I78" i="34"/>
  <c r="B80" i="39" l="1"/>
  <c r="D79" i="39"/>
  <c r="G80" i="35"/>
  <c r="I79" i="35"/>
  <c r="I75" i="32"/>
  <c r="H69" i="32"/>
  <c r="J69" i="33"/>
  <c r="L67" i="33"/>
  <c r="L67" i="32" s="1"/>
  <c r="K67" i="32"/>
  <c r="M67" i="32" s="1"/>
  <c r="M67" i="33"/>
  <c r="C83" i="38"/>
  <c r="E82" i="38"/>
  <c r="E138" i="32" s="1"/>
  <c r="E78" i="36"/>
  <c r="E110" i="32" s="1"/>
  <c r="C79" i="36"/>
  <c r="E83" i="35"/>
  <c r="E103" i="32" s="1"/>
  <c r="C84" i="35"/>
  <c r="B83" i="35"/>
  <c r="D82" i="35"/>
  <c r="G78" i="37"/>
  <c r="I77" i="37"/>
  <c r="E79" i="37"/>
  <c r="E123" i="32" s="1"/>
  <c r="C80" i="37"/>
  <c r="E80" i="39"/>
  <c r="E148" i="32" s="1"/>
  <c r="C81" i="39"/>
  <c r="L72" i="38"/>
  <c r="M72" i="38"/>
  <c r="D81" i="38"/>
  <c r="B82" i="38"/>
  <c r="L73" i="35"/>
  <c r="M73" i="35"/>
  <c r="G81" i="38"/>
  <c r="I80" i="38"/>
  <c r="L69" i="37"/>
  <c r="M69" i="37"/>
  <c r="B79" i="37"/>
  <c r="D78" i="37"/>
  <c r="L71" i="34"/>
  <c r="M71" i="34"/>
  <c r="L70" i="39"/>
  <c r="M70" i="39"/>
  <c r="F70" i="36"/>
  <c r="H69" i="36"/>
  <c r="J69" i="36" s="1"/>
  <c r="K69" i="36" s="1"/>
  <c r="L69" i="36" s="1"/>
  <c r="C81" i="33"/>
  <c r="C80" i="32"/>
  <c r="E80" i="33"/>
  <c r="E80" i="32" s="1"/>
  <c r="G77" i="36"/>
  <c r="I76" i="36"/>
  <c r="K68" i="33"/>
  <c r="J68" i="32"/>
  <c r="D77" i="36"/>
  <c r="B78" i="36"/>
  <c r="D80" i="34"/>
  <c r="F72" i="39"/>
  <c r="H71" i="39"/>
  <c r="J71" i="39" s="1"/>
  <c r="K71" i="39" s="1"/>
  <c r="G80" i="34"/>
  <c r="I79" i="34"/>
  <c r="C82" i="34"/>
  <c r="E81" i="34"/>
  <c r="E89" i="32" s="1"/>
  <c r="B81" i="34"/>
  <c r="D79" i="33"/>
  <c r="D79" i="32" s="1"/>
  <c r="B80" i="33"/>
  <c r="B79" i="32"/>
  <c r="G79" i="39"/>
  <c r="I78" i="39"/>
  <c r="G77" i="33"/>
  <c r="G76" i="32"/>
  <c r="I76" i="33"/>
  <c r="F74" i="38"/>
  <c r="H73" i="38"/>
  <c r="J73" i="38" s="1"/>
  <c r="K73" i="38" s="1"/>
  <c r="F75" i="35"/>
  <c r="H74" i="35"/>
  <c r="J74" i="35" s="1"/>
  <c r="K74" i="35" s="1"/>
  <c r="F70" i="32"/>
  <c r="F71" i="33"/>
  <c r="H70" i="33"/>
  <c r="F71" i="37"/>
  <c r="H70" i="37"/>
  <c r="J70" i="37" s="1"/>
  <c r="K70" i="37" s="1"/>
  <c r="F73" i="34"/>
  <c r="H72" i="34"/>
  <c r="J72" i="34" s="1"/>
  <c r="K72" i="34" s="1"/>
  <c r="L72" i="34" l="1"/>
  <c r="M72" i="34"/>
  <c r="F75" i="38"/>
  <c r="H74" i="38"/>
  <c r="J74" i="38" s="1"/>
  <c r="K74" i="38" s="1"/>
  <c r="F72" i="37"/>
  <c r="H71" i="37"/>
  <c r="J71" i="37" s="1"/>
  <c r="K71" i="37" s="1"/>
  <c r="L73" i="38"/>
  <c r="M73" i="38"/>
  <c r="G78" i="33"/>
  <c r="G77" i="32"/>
  <c r="I77" i="33"/>
  <c r="B81" i="33"/>
  <c r="B80" i="32"/>
  <c r="D80" i="33"/>
  <c r="D80" i="32" s="1"/>
  <c r="G81" i="34"/>
  <c r="I80" i="34"/>
  <c r="E79" i="36"/>
  <c r="E111" i="32" s="1"/>
  <c r="C80" i="36"/>
  <c r="G81" i="35"/>
  <c r="I80" i="35"/>
  <c r="C84" i="38"/>
  <c r="E83" i="38"/>
  <c r="E139" i="32" s="1"/>
  <c r="F72" i="33"/>
  <c r="F71" i="32"/>
  <c r="H71" i="33"/>
  <c r="C81" i="37"/>
  <c r="E80" i="37"/>
  <c r="E124" i="32" s="1"/>
  <c r="G79" i="37"/>
  <c r="I78" i="37"/>
  <c r="B81" i="39"/>
  <c r="D80" i="39"/>
  <c r="H70" i="32"/>
  <c r="J70" i="33"/>
  <c r="L71" i="39"/>
  <c r="M71" i="39"/>
  <c r="G78" i="36"/>
  <c r="I77" i="36"/>
  <c r="E81" i="33"/>
  <c r="E81" i="32" s="1"/>
  <c r="C82" i="33"/>
  <c r="C81" i="32"/>
  <c r="D82" i="38"/>
  <c r="B83" i="38"/>
  <c r="D83" i="35"/>
  <c r="B84" i="35"/>
  <c r="F74" i="34"/>
  <c r="H73" i="34"/>
  <c r="J73" i="34" s="1"/>
  <c r="K73" i="34" s="1"/>
  <c r="L74" i="35"/>
  <c r="M74" i="35"/>
  <c r="I76" i="32"/>
  <c r="G80" i="39"/>
  <c r="I79" i="39"/>
  <c r="B82" i="34"/>
  <c r="C83" i="34"/>
  <c r="E82" i="34"/>
  <c r="E90" i="32" s="1"/>
  <c r="F73" i="39"/>
  <c r="H72" i="39"/>
  <c r="J72" i="39" s="1"/>
  <c r="K72" i="39" s="1"/>
  <c r="B80" i="37"/>
  <c r="D79" i="37"/>
  <c r="G82" i="38"/>
  <c r="I81" i="38"/>
  <c r="L70" i="37"/>
  <c r="M70" i="37"/>
  <c r="F76" i="35"/>
  <c r="H75" i="35"/>
  <c r="J75" i="35" s="1"/>
  <c r="K75" i="35" s="1"/>
  <c r="D81" i="34"/>
  <c r="D78" i="36"/>
  <c r="B79" i="36"/>
  <c r="L68" i="33"/>
  <c r="L68" i="32" s="1"/>
  <c r="K68" i="32"/>
  <c r="M68" i="32" s="1"/>
  <c r="M68" i="33"/>
  <c r="F71" i="36"/>
  <c r="H70" i="36"/>
  <c r="J70" i="36" s="1"/>
  <c r="K70" i="36" s="1"/>
  <c r="L70" i="36" s="1"/>
  <c r="C82" i="39"/>
  <c r="E81" i="39"/>
  <c r="E149" i="32" s="1"/>
  <c r="E84" i="35"/>
  <c r="E104" i="32" s="1"/>
  <c r="C85" i="35"/>
  <c r="K69" i="33"/>
  <c r="J69" i="32"/>
  <c r="F72" i="36" l="1"/>
  <c r="H71" i="36"/>
  <c r="J71" i="36" s="1"/>
  <c r="K71" i="36" s="1"/>
  <c r="L71" i="36" s="1"/>
  <c r="F77" i="35"/>
  <c r="H76" i="35"/>
  <c r="J76" i="35" s="1"/>
  <c r="K76" i="35" s="1"/>
  <c r="K69" i="32"/>
  <c r="M69" i="32" s="1"/>
  <c r="L69" i="33"/>
  <c r="L69" i="32" s="1"/>
  <c r="M69" i="33"/>
  <c r="L75" i="35"/>
  <c r="M75" i="35"/>
  <c r="G81" i="39"/>
  <c r="I80" i="39"/>
  <c r="D84" i="35"/>
  <c r="B85" i="35"/>
  <c r="G80" i="37"/>
  <c r="I79" i="37"/>
  <c r="H71" i="32"/>
  <c r="J71" i="33"/>
  <c r="G82" i="34"/>
  <c r="I81" i="34"/>
  <c r="B82" i="33"/>
  <c r="B81" i="32"/>
  <c r="D81" i="33"/>
  <c r="D81" i="32" s="1"/>
  <c r="L74" i="38"/>
  <c r="M74" i="38"/>
  <c r="D79" i="36"/>
  <c r="B80" i="36"/>
  <c r="G83" i="38"/>
  <c r="I82" i="38"/>
  <c r="K70" i="33"/>
  <c r="J70" i="32"/>
  <c r="D81" i="39"/>
  <c r="B82" i="39"/>
  <c r="F73" i="33"/>
  <c r="F72" i="32"/>
  <c r="H72" i="33"/>
  <c r="L71" i="37"/>
  <c r="M71" i="37"/>
  <c r="L72" i="39"/>
  <c r="M72" i="39"/>
  <c r="B83" i="34"/>
  <c r="E83" i="34"/>
  <c r="E91" i="32" s="1"/>
  <c r="C84" i="34"/>
  <c r="B84" i="38"/>
  <c r="D83" i="38"/>
  <c r="E84" i="38"/>
  <c r="E140" i="32" s="1"/>
  <c r="C85" i="38"/>
  <c r="G82" i="35"/>
  <c r="I81" i="35"/>
  <c r="I77" i="32"/>
  <c r="F76" i="38"/>
  <c r="H75" i="38"/>
  <c r="J75" i="38" s="1"/>
  <c r="K75" i="38" s="1"/>
  <c r="C86" i="35"/>
  <c r="F74" i="39"/>
  <c r="H73" i="39"/>
  <c r="J73" i="39" s="1"/>
  <c r="K73" i="39" s="1"/>
  <c r="D82" i="34"/>
  <c r="L73" i="34"/>
  <c r="M73" i="34"/>
  <c r="C83" i="39"/>
  <c r="E82" i="39"/>
  <c r="E150" i="32" s="1"/>
  <c r="D80" i="37"/>
  <c r="B81" i="37"/>
  <c r="F75" i="34"/>
  <c r="H74" i="34"/>
  <c r="J74" i="34" s="1"/>
  <c r="K74" i="34" s="1"/>
  <c r="E82" i="33"/>
  <c r="E82" i="32" s="1"/>
  <c r="C83" i="33"/>
  <c r="C82" i="32"/>
  <c r="G79" i="36"/>
  <c r="I78" i="36"/>
  <c r="C82" i="37"/>
  <c r="E81" i="37"/>
  <c r="E125" i="32" s="1"/>
  <c r="E80" i="36"/>
  <c r="E112" i="32" s="1"/>
  <c r="C81" i="36"/>
  <c r="G79" i="33"/>
  <c r="G78" i="32"/>
  <c r="I78" i="33"/>
  <c r="F73" i="37"/>
  <c r="H72" i="37"/>
  <c r="J72" i="37" s="1"/>
  <c r="K72" i="37" s="1"/>
  <c r="E81" i="36" l="1"/>
  <c r="E113" i="32" s="1"/>
  <c r="C82" i="36"/>
  <c r="C84" i="33"/>
  <c r="C83" i="32"/>
  <c r="F76" i="34"/>
  <c r="H75" i="34"/>
  <c r="J75" i="34" s="1"/>
  <c r="K75" i="34" s="1"/>
  <c r="E83" i="39"/>
  <c r="E151" i="32" s="1"/>
  <c r="C84" i="39"/>
  <c r="C87" i="35"/>
  <c r="C86" i="38"/>
  <c r="K71" i="33"/>
  <c r="J71" i="32"/>
  <c r="D85" i="35"/>
  <c r="B86" i="35"/>
  <c r="G82" i="39"/>
  <c r="I81" i="39"/>
  <c r="L76" i="35"/>
  <c r="M76" i="35"/>
  <c r="L72" i="37"/>
  <c r="M72" i="37"/>
  <c r="G80" i="33"/>
  <c r="G79" i="32"/>
  <c r="I79" i="33"/>
  <c r="C83" i="37"/>
  <c r="E82" i="37"/>
  <c r="E126" i="32" s="1"/>
  <c r="G80" i="36"/>
  <c r="I79" i="36"/>
  <c r="F74" i="33"/>
  <c r="F73" i="32"/>
  <c r="H73" i="33"/>
  <c r="F74" i="37"/>
  <c r="H73" i="37"/>
  <c r="J73" i="37" s="1"/>
  <c r="K73" i="37" s="1"/>
  <c r="F77" i="38"/>
  <c r="H76" i="38"/>
  <c r="J76" i="38" s="1"/>
  <c r="K76" i="38" s="1"/>
  <c r="L70" i="33"/>
  <c r="L70" i="32" s="1"/>
  <c r="K70" i="32"/>
  <c r="M70" i="32" s="1"/>
  <c r="M70" i="33"/>
  <c r="G84" i="38"/>
  <c r="I83" i="38"/>
  <c r="L73" i="39"/>
  <c r="M73" i="39"/>
  <c r="L75" i="38"/>
  <c r="M75" i="38"/>
  <c r="G83" i="34"/>
  <c r="I82" i="34"/>
  <c r="F78" i="35"/>
  <c r="H77" i="35"/>
  <c r="J77" i="35" s="1"/>
  <c r="K77" i="35" s="1"/>
  <c r="F75" i="39"/>
  <c r="H74" i="39"/>
  <c r="J74" i="39" s="1"/>
  <c r="K74" i="39" s="1"/>
  <c r="B85" i="38"/>
  <c r="D84" i="38"/>
  <c r="D83" i="34"/>
  <c r="B83" i="39"/>
  <c r="D82" i="39"/>
  <c r="I78" i="32"/>
  <c r="L74" i="34"/>
  <c r="M74" i="34"/>
  <c r="B82" i="37"/>
  <c r="D81" i="37"/>
  <c r="G83" i="35"/>
  <c r="I82" i="35"/>
  <c r="E84" i="34"/>
  <c r="E92" i="32" s="1"/>
  <c r="C85" i="34"/>
  <c r="B84" i="34"/>
  <c r="H72" i="32"/>
  <c r="J72" i="33"/>
  <c r="D80" i="36"/>
  <c r="B81" i="36"/>
  <c r="D82" i="33"/>
  <c r="D82" i="32" s="1"/>
  <c r="B83" i="33"/>
  <c r="B82" i="32"/>
  <c r="G81" i="37"/>
  <c r="I80" i="37"/>
  <c r="F73" i="36"/>
  <c r="H72" i="36"/>
  <c r="J72" i="36" s="1"/>
  <c r="K72" i="36" s="1"/>
  <c r="L72" i="36" s="1"/>
  <c r="F76" i="39" l="1"/>
  <c r="H75" i="39"/>
  <c r="J75" i="39" s="1"/>
  <c r="K75" i="39" s="1"/>
  <c r="B83" i="37"/>
  <c r="D82" i="37"/>
  <c r="D83" i="39"/>
  <c r="B84" i="39"/>
  <c r="L74" i="39"/>
  <c r="M74" i="39"/>
  <c r="F78" i="38"/>
  <c r="H77" i="38"/>
  <c r="J77" i="38" s="1"/>
  <c r="K77" i="38" s="1"/>
  <c r="B87" i="35"/>
  <c r="D86" i="35"/>
  <c r="L71" i="33"/>
  <c r="L71" i="32" s="1"/>
  <c r="K71" i="32"/>
  <c r="M71" i="32" s="1"/>
  <c r="M71" i="33"/>
  <c r="C85" i="39"/>
  <c r="E84" i="39"/>
  <c r="E152" i="32" s="1"/>
  <c r="F77" i="34"/>
  <c r="H76" i="34"/>
  <c r="J76" i="34" s="1"/>
  <c r="K76" i="34" s="1"/>
  <c r="F74" i="36"/>
  <c r="H73" i="36"/>
  <c r="J73" i="36" s="1"/>
  <c r="K73" i="36" s="1"/>
  <c r="L73" i="36" s="1"/>
  <c r="C86" i="34"/>
  <c r="B85" i="34"/>
  <c r="E83" i="37"/>
  <c r="E127" i="32" s="1"/>
  <c r="C84" i="37"/>
  <c r="G82" i="37"/>
  <c r="I81" i="37"/>
  <c r="K72" i="33"/>
  <c r="J72" i="32"/>
  <c r="G84" i="35"/>
  <c r="I83" i="35"/>
  <c r="D85" i="38"/>
  <c r="B86" i="38"/>
  <c r="G84" i="34"/>
  <c r="I83" i="34"/>
  <c r="L73" i="37"/>
  <c r="M73" i="37"/>
  <c r="F75" i="33"/>
  <c r="F74" i="32"/>
  <c r="H74" i="33"/>
  <c r="G81" i="33"/>
  <c r="G80" i="32"/>
  <c r="I80" i="33"/>
  <c r="E82" i="36"/>
  <c r="E114" i="32" s="1"/>
  <c r="C83" i="36"/>
  <c r="D81" i="36"/>
  <c r="B82" i="36"/>
  <c r="L77" i="35"/>
  <c r="M77" i="35"/>
  <c r="F75" i="37"/>
  <c r="H74" i="37"/>
  <c r="J74" i="37" s="1"/>
  <c r="K74" i="37" s="1"/>
  <c r="D83" i="33"/>
  <c r="D83" i="32" s="1"/>
  <c r="B84" i="33"/>
  <c r="B83" i="32"/>
  <c r="D84" i="34"/>
  <c r="F79" i="35"/>
  <c r="H78" i="35"/>
  <c r="J78" i="35" s="1"/>
  <c r="K78" i="35" s="1"/>
  <c r="E85" i="38"/>
  <c r="E141" i="32" s="1"/>
  <c r="I84" i="38"/>
  <c r="L76" i="38"/>
  <c r="M76" i="38"/>
  <c r="H73" i="32"/>
  <c r="J73" i="33"/>
  <c r="G81" i="36"/>
  <c r="I80" i="36"/>
  <c r="I79" i="32"/>
  <c r="G83" i="39"/>
  <c r="I82" i="39"/>
  <c r="C87" i="38"/>
  <c r="C88" i="35"/>
  <c r="L75" i="34"/>
  <c r="M75" i="34"/>
  <c r="C85" i="33"/>
  <c r="C84" i="32"/>
  <c r="K73" i="33" l="1"/>
  <c r="J73" i="32"/>
  <c r="F80" i="35"/>
  <c r="H79" i="35"/>
  <c r="J79" i="35" s="1"/>
  <c r="K79" i="35" s="1"/>
  <c r="L74" i="37"/>
  <c r="M74" i="37"/>
  <c r="I80" i="32"/>
  <c r="L72" i="33"/>
  <c r="L72" i="32" s="1"/>
  <c r="K72" i="32"/>
  <c r="M72" i="32" s="1"/>
  <c r="M72" i="33"/>
  <c r="B88" i="35"/>
  <c r="D87" i="35"/>
  <c r="D84" i="39"/>
  <c r="B85" i="39"/>
  <c r="B84" i="32"/>
  <c r="B85" i="33"/>
  <c r="D84" i="33"/>
  <c r="D84" i="32" s="1"/>
  <c r="E83" i="36"/>
  <c r="E115" i="32" s="1"/>
  <c r="C84" i="36"/>
  <c r="F76" i="33"/>
  <c r="F75" i="32"/>
  <c r="H75" i="33"/>
  <c r="D85" i="34"/>
  <c r="B84" i="37"/>
  <c r="D83" i="37"/>
  <c r="D82" i="36"/>
  <c r="B83" i="36"/>
  <c r="G81" i="32"/>
  <c r="G82" i="33"/>
  <c r="I81" i="33"/>
  <c r="D86" i="38"/>
  <c r="B87" i="38"/>
  <c r="E85" i="35"/>
  <c r="E105" i="32" s="1"/>
  <c r="I84" i="35"/>
  <c r="G83" i="37"/>
  <c r="I82" i="37"/>
  <c r="L76" i="34"/>
  <c r="M76" i="34"/>
  <c r="L77" i="38"/>
  <c r="M77" i="38"/>
  <c r="L75" i="39"/>
  <c r="M75" i="39"/>
  <c r="F76" i="37"/>
  <c r="H75" i="37"/>
  <c r="J75" i="37" s="1"/>
  <c r="K75" i="37" s="1"/>
  <c r="I84" i="34"/>
  <c r="E85" i="34"/>
  <c r="E93" i="32" s="1"/>
  <c r="C85" i="37"/>
  <c r="E84" i="37"/>
  <c r="E128" i="32" s="1"/>
  <c r="F75" i="36"/>
  <c r="H74" i="36"/>
  <c r="J74" i="36" s="1"/>
  <c r="K74" i="36" s="1"/>
  <c r="L74" i="36" s="1"/>
  <c r="C86" i="33"/>
  <c r="C85" i="32"/>
  <c r="C89" i="35"/>
  <c r="G84" i="39"/>
  <c r="I83" i="39"/>
  <c r="G85" i="38"/>
  <c r="C88" i="38"/>
  <c r="G82" i="36"/>
  <c r="I81" i="36"/>
  <c r="L78" i="35"/>
  <c r="M78" i="35"/>
  <c r="H74" i="32"/>
  <c r="J74" i="33"/>
  <c r="C87" i="34"/>
  <c r="B86" i="34"/>
  <c r="F78" i="34"/>
  <c r="H77" i="34"/>
  <c r="J77" i="34" s="1"/>
  <c r="K77" i="34" s="1"/>
  <c r="C86" i="39"/>
  <c r="F79" i="38"/>
  <c r="H78" i="38"/>
  <c r="J78" i="38" s="1"/>
  <c r="K78" i="38" s="1"/>
  <c r="F77" i="39"/>
  <c r="H76" i="39"/>
  <c r="J76" i="39" s="1"/>
  <c r="K76" i="39" s="1"/>
  <c r="F80" i="38" l="1"/>
  <c r="H79" i="38"/>
  <c r="J79" i="38" s="1"/>
  <c r="K79" i="38" s="1"/>
  <c r="F79" i="34"/>
  <c r="H78" i="34"/>
  <c r="J78" i="34" s="1"/>
  <c r="K78" i="34" s="1"/>
  <c r="J74" i="32"/>
  <c r="K74" i="33"/>
  <c r="G86" i="38"/>
  <c r="I85" i="38"/>
  <c r="C87" i="33"/>
  <c r="C86" i="32"/>
  <c r="L75" i="37"/>
  <c r="M75" i="37"/>
  <c r="L76" i="39"/>
  <c r="M76" i="39"/>
  <c r="D83" i="36"/>
  <c r="B84" i="36"/>
  <c r="F77" i="33"/>
  <c r="F76" i="32"/>
  <c r="H76" i="33"/>
  <c r="L79" i="35"/>
  <c r="M79" i="35"/>
  <c r="C86" i="37"/>
  <c r="G85" i="35"/>
  <c r="I81" i="32"/>
  <c r="E84" i="36"/>
  <c r="E116" i="32" s="1"/>
  <c r="C85" i="36"/>
  <c r="B86" i="33"/>
  <c r="D85" i="33"/>
  <c r="D85" i="32" s="1"/>
  <c r="B85" i="32"/>
  <c r="F81" i="35"/>
  <c r="H80" i="35"/>
  <c r="J80" i="35" s="1"/>
  <c r="K80" i="35" s="1"/>
  <c r="K73" i="32"/>
  <c r="M73" i="32" s="1"/>
  <c r="L73" i="33"/>
  <c r="L73" i="32" s="1"/>
  <c r="M73" i="33"/>
  <c r="G83" i="36"/>
  <c r="I82" i="36"/>
  <c r="C90" i="35"/>
  <c r="F77" i="37"/>
  <c r="H76" i="37"/>
  <c r="J76" i="37" s="1"/>
  <c r="K76" i="37" s="1"/>
  <c r="D84" i="37"/>
  <c r="B85" i="37"/>
  <c r="B86" i="39"/>
  <c r="D85" i="39"/>
  <c r="B89" i="35"/>
  <c r="D88" i="35"/>
  <c r="F78" i="39"/>
  <c r="H77" i="39"/>
  <c r="J77" i="39" s="1"/>
  <c r="K77" i="39" s="1"/>
  <c r="C87" i="39"/>
  <c r="D86" i="34"/>
  <c r="F76" i="36"/>
  <c r="H75" i="36"/>
  <c r="J75" i="36" s="1"/>
  <c r="K75" i="36" s="1"/>
  <c r="L75" i="36" s="1"/>
  <c r="L78" i="38"/>
  <c r="M78" i="38"/>
  <c r="L77" i="34"/>
  <c r="M77" i="34"/>
  <c r="C88" i="34"/>
  <c r="B87" i="34"/>
  <c r="C89" i="38"/>
  <c r="I84" i="39"/>
  <c r="E85" i="39"/>
  <c r="E153" i="32" s="1"/>
  <c r="G85" i="34"/>
  <c r="G84" i="37"/>
  <c r="I83" i="37"/>
  <c r="D87" i="38"/>
  <c r="B88" i="38"/>
  <c r="G82" i="32"/>
  <c r="E83" i="33"/>
  <c r="E83" i="32" s="1"/>
  <c r="I82" i="33"/>
  <c r="H75" i="32"/>
  <c r="J75" i="33"/>
  <c r="C90" i="38" l="1"/>
  <c r="G86" i="34"/>
  <c r="I85" i="34"/>
  <c r="C89" i="34"/>
  <c r="B88" i="34"/>
  <c r="C88" i="39"/>
  <c r="C91" i="35"/>
  <c r="C86" i="36"/>
  <c r="C87" i="37"/>
  <c r="H76" i="32"/>
  <c r="J76" i="33"/>
  <c r="G87" i="38"/>
  <c r="I86" i="38"/>
  <c r="L78" i="34"/>
  <c r="M78" i="34"/>
  <c r="B90" i="35"/>
  <c r="D89" i="35"/>
  <c r="B87" i="39"/>
  <c r="D86" i="39"/>
  <c r="F77" i="36"/>
  <c r="H76" i="36"/>
  <c r="J76" i="36" s="1"/>
  <c r="K76" i="36" s="1"/>
  <c r="L76" i="36" s="1"/>
  <c r="L80" i="35"/>
  <c r="M80" i="35"/>
  <c r="B87" i="33"/>
  <c r="D86" i="33"/>
  <c r="D86" i="32" s="1"/>
  <c r="B86" i="32"/>
  <c r="F78" i="33"/>
  <c r="F77" i="32"/>
  <c r="H77" i="33"/>
  <c r="C88" i="33"/>
  <c r="C87" i="32"/>
  <c r="L74" i="33"/>
  <c r="L74" i="32" s="1"/>
  <c r="K74" i="32"/>
  <c r="M74" i="32" s="1"/>
  <c r="M74" i="33"/>
  <c r="L79" i="38"/>
  <c r="M79" i="38"/>
  <c r="K75" i="33"/>
  <c r="J75" i="32"/>
  <c r="L77" i="39"/>
  <c r="M77" i="39"/>
  <c r="L76" i="37"/>
  <c r="M76" i="37"/>
  <c r="F80" i="34"/>
  <c r="H79" i="34"/>
  <c r="J79" i="34" s="1"/>
  <c r="K79" i="34" s="1"/>
  <c r="G83" i="33"/>
  <c r="F79" i="39"/>
  <c r="H78" i="39"/>
  <c r="J78" i="39" s="1"/>
  <c r="K78" i="39" s="1"/>
  <c r="B86" i="37"/>
  <c r="D85" i="37"/>
  <c r="F78" i="37"/>
  <c r="H77" i="37"/>
  <c r="J77" i="37" s="1"/>
  <c r="K77" i="37" s="1"/>
  <c r="G84" i="36"/>
  <c r="I83" i="36"/>
  <c r="I82" i="32"/>
  <c r="D88" i="38"/>
  <c r="B89" i="38"/>
  <c r="G85" i="37"/>
  <c r="E85" i="37"/>
  <c r="E129" i="32" s="1"/>
  <c r="I84" i="37"/>
  <c r="G85" i="39"/>
  <c r="D87" i="34"/>
  <c r="F82" i="35"/>
  <c r="H81" i="35"/>
  <c r="J81" i="35" s="1"/>
  <c r="K81" i="35" s="1"/>
  <c r="G86" i="35"/>
  <c r="I85" i="35"/>
  <c r="D84" i="36"/>
  <c r="B85" i="36"/>
  <c r="F81" i="38"/>
  <c r="H80" i="38"/>
  <c r="J80" i="38" s="1"/>
  <c r="K80" i="38" s="1"/>
  <c r="F83" i="35" l="1"/>
  <c r="H82" i="35"/>
  <c r="J82" i="35" s="1"/>
  <c r="K82" i="35" s="1"/>
  <c r="L78" i="39"/>
  <c r="M78" i="39"/>
  <c r="F81" i="34"/>
  <c r="H80" i="34"/>
  <c r="J80" i="34" s="1"/>
  <c r="K80" i="34" s="1"/>
  <c r="H77" i="32"/>
  <c r="J77" i="33"/>
  <c r="F82" i="38"/>
  <c r="H81" i="38"/>
  <c r="J81" i="38" s="1"/>
  <c r="K81" i="38" s="1"/>
  <c r="L81" i="35"/>
  <c r="M81" i="35"/>
  <c r="G86" i="39"/>
  <c r="I85" i="39"/>
  <c r="L77" i="37"/>
  <c r="M77" i="37"/>
  <c r="B87" i="37"/>
  <c r="D86" i="37"/>
  <c r="L79" i="34"/>
  <c r="M79" i="34"/>
  <c r="L75" i="33"/>
  <c r="L75" i="32" s="1"/>
  <c r="K75" i="32"/>
  <c r="M75" i="32" s="1"/>
  <c r="B16" i="31" s="1"/>
  <c r="M75" i="33"/>
  <c r="C89" i="33"/>
  <c r="C88" i="32"/>
  <c r="C89" i="39"/>
  <c r="F79" i="37"/>
  <c r="H78" i="37"/>
  <c r="J78" i="37" s="1"/>
  <c r="K78" i="37" s="1"/>
  <c r="B91" i="35"/>
  <c r="D90" i="35"/>
  <c r="F80" i="39"/>
  <c r="H79" i="39"/>
  <c r="J79" i="39" s="1"/>
  <c r="K79" i="39" s="1"/>
  <c r="B88" i="33"/>
  <c r="B87" i="32"/>
  <c r="D87" i="33"/>
  <c r="D87" i="32" s="1"/>
  <c r="G88" i="38"/>
  <c r="I87" i="38"/>
  <c r="C88" i="37"/>
  <c r="C92" i="35"/>
  <c r="D88" i="34"/>
  <c r="C91" i="38"/>
  <c r="B90" i="38"/>
  <c r="D89" i="38"/>
  <c r="G87" i="34"/>
  <c r="I86" i="34"/>
  <c r="L80" i="38"/>
  <c r="M80" i="38"/>
  <c r="D85" i="36"/>
  <c r="B86" i="36"/>
  <c r="G87" i="35"/>
  <c r="I86" i="35"/>
  <c r="G86" i="37"/>
  <c r="I85" i="37"/>
  <c r="G85" i="36"/>
  <c r="E85" i="36"/>
  <c r="E117" i="32" s="1"/>
  <c r="I84" i="36"/>
  <c r="G83" i="32"/>
  <c r="G84" i="33"/>
  <c r="I83" i="33"/>
  <c r="F79" i="33"/>
  <c r="F78" i="32"/>
  <c r="H78" i="33"/>
  <c r="F78" i="36"/>
  <c r="H77" i="36"/>
  <c r="J77" i="36" s="1"/>
  <c r="K77" i="36" s="1"/>
  <c r="L77" i="36" s="1"/>
  <c r="B88" i="39"/>
  <c r="D87" i="39"/>
  <c r="K76" i="33"/>
  <c r="J76" i="32"/>
  <c r="C87" i="36"/>
  <c r="C90" i="34"/>
  <c r="B89" i="34"/>
  <c r="G85" i="33" l="1"/>
  <c r="G84" i="32"/>
  <c r="I84" i="33"/>
  <c r="G88" i="34"/>
  <c r="I87" i="34"/>
  <c r="L79" i="39"/>
  <c r="M79" i="39"/>
  <c r="C90" i="33"/>
  <c r="C89" i="32"/>
  <c r="C91" i="34"/>
  <c r="B90" i="34"/>
  <c r="B87" i="36"/>
  <c r="D86" i="36"/>
  <c r="C88" i="36"/>
  <c r="F79" i="36"/>
  <c r="H78" i="36"/>
  <c r="J78" i="36" s="1"/>
  <c r="K78" i="36" s="1"/>
  <c r="L78" i="36" s="1"/>
  <c r="I83" i="32"/>
  <c r="G87" i="37"/>
  <c r="I86" i="37"/>
  <c r="C93" i="35"/>
  <c r="G89" i="38"/>
  <c r="I88" i="38"/>
  <c r="L81" i="38"/>
  <c r="M81" i="38"/>
  <c r="L80" i="34"/>
  <c r="M80" i="34"/>
  <c r="G86" i="36"/>
  <c r="I85" i="36"/>
  <c r="L78" i="37"/>
  <c r="M78" i="37"/>
  <c r="B88" i="37"/>
  <c r="D87" i="37"/>
  <c r="G87" i="39"/>
  <c r="I86" i="39"/>
  <c r="F83" i="38"/>
  <c r="H82" i="38"/>
  <c r="J82" i="38" s="1"/>
  <c r="K82" i="38" s="1"/>
  <c r="F82" i="34"/>
  <c r="H81" i="34"/>
  <c r="J81" i="34" s="1"/>
  <c r="K81" i="34" s="1"/>
  <c r="D89" i="34"/>
  <c r="B89" i="39"/>
  <c r="D88" i="39"/>
  <c r="G88" i="35"/>
  <c r="I87" i="35"/>
  <c r="B91" i="38"/>
  <c r="D90" i="38"/>
  <c r="C89" i="37"/>
  <c r="F81" i="39"/>
  <c r="H80" i="39"/>
  <c r="J80" i="39" s="1"/>
  <c r="K80" i="39" s="1"/>
  <c r="F80" i="37"/>
  <c r="H79" i="37"/>
  <c r="J79" i="37" s="1"/>
  <c r="K79" i="37" s="1"/>
  <c r="C90" i="39"/>
  <c r="K77" i="33"/>
  <c r="J77" i="32"/>
  <c r="L82" i="35"/>
  <c r="M82" i="35"/>
  <c r="H78" i="32"/>
  <c r="J78" i="33"/>
  <c r="L76" i="33"/>
  <c r="L76" i="32" s="1"/>
  <c r="K76" i="32"/>
  <c r="M76" i="32" s="1"/>
  <c r="M76" i="33"/>
  <c r="F80" i="33"/>
  <c r="F79" i="32"/>
  <c r="H79" i="33"/>
  <c r="C92" i="38"/>
  <c r="B88" i="32"/>
  <c r="B89" i="33"/>
  <c r="D88" i="33"/>
  <c r="D88" i="32" s="1"/>
  <c r="B92" i="35"/>
  <c r="D91" i="35"/>
  <c r="D16" i="31"/>
  <c r="C16" i="31"/>
  <c r="E16" i="31" s="1"/>
  <c r="F16" i="31" s="1"/>
  <c r="F84" i="35"/>
  <c r="H83" i="35"/>
  <c r="J83" i="35" s="1"/>
  <c r="K83" i="35" s="1"/>
  <c r="L80" i="39" l="1"/>
  <c r="M80" i="39"/>
  <c r="G88" i="37"/>
  <c r="I87" i="37"/>
  <c r="L83" i="35"/>
  <c r="M83" i="35"/>
  <c r="B90" i="33"/>
  <c r="D89" i="33"/>
  <c r="D89" i="32" s="1"/>
  <c r="B89" i="32"/>
  <c r="L77" i="33"/>
  <c r="L77" i="32" s="1"/>
  <c r="K77" i="32"/>
  <c r="M77" i="32" s="1"/>
  <c r="M77" i="33"/>
  <c r="F81" i="37"/>
  <c r="H80" i="37"/>
  <c r="J80" i="37" s="1"/>
  <c r="K80" i="37" s="1"/>
  <c r="C90" i="37"/>
  <c r="B90" i="39"/>
  <c r="D89" i="39"/>
  <c r="F83" i="34"/>
  <c r="H82" i="34"/>
  <c r="J82" i="34" s="1"/>
  <c r="K82" i="34" s="1"/>
  <c r="G88" i="39"/>
  <c r="I87" i="39"/>
  <c r="C89" i="36"/>
  <c r="G89" i="35"/>
  <c r="I88" i="35"/>
  <c r="I84" i="32"/>
  <c r="F82" i="39"/>
  <c r="H81" i="39"/>
  <c r="J81" i="39" s="1"/>
  <c r="K81" i="39" s="1"/>
  <c r="D91" i="38"/>
  <c r="B92" i="38"/>
  <c r="F84" i="38"/>
  <c r="H83" i="38"/>
  <c r="J83" i="38" s="1"/>
  <c r="K83" i="38" s="1"/>
  <c r="F80" i="36"/>
  <c r="H79" i="36"/>
  <c r="J79" i="36" s="1"/>
  <c r="K79" i="36" s="1"/>
  <c r="L79" i="36" s="1"/>
  <c r="D90" i="34"/>
  <c r="C91" i="33"/>
  <c r="C90" i="32"/>
  <c r="G89" i="34"/>
  <c r="I88" i="34"/>
  <c r="F85" i="35"/>
  <c r="H84" i="35"/>
  <c r="J84" i="35" s="1"/>
  <c r="K84" i="35" s="1"/>
  <c r="B93" i="35"/>
  <c r="D92" i="35"/>
  <c r="H79" i="32"/>
  <c r="J79" i="33"/>
  <c r="L82" i="38"/>
  <c r="M82" i="38"/>
  <c r="C94" i="35"/>
  <c r="C93" i="38"/>
  <c r="C91" i="39"/>
  <c r="F81" i="33"/>
  <c r="F80" i="32"/>
  <c r="H80" i="33"/>
  <c r="J78" i="32"/>
  <c r="K78" i="33"/>
  <c r="L79" i="37"/>
  <c r="M79" i="37"/>
  <c r="L81" i="34"/>
  <c r="M81" i="34"/>
  <c r="B89" i="37"/>
  <c r="D88" i="37"/>
  <c r="G87" i="36"/>
  <c r="I86" i="36"/>
  <c r="G90" i="38"/>
  <c r="I89" i="38"/>
  <c r="B88" i="36"/>
  <c r="D87" i="36"/>
  <c r="C92" i="34"/>
  <c r="B91" i="34"/>
  <c r="G86" i="33"/>
  <c r="G85" i="32"/>
  <c r="I85" i="33"/>
  <c r="I85" i="32" l="1"/>
  <c r="D91" i="34"/>
  <c r="L80" i="37"/>
  <c r="M80" i="37"/>
  <c r="G91" i="38"/>
  <c r="I90" i="38"/>
  <c r="L78" i="33"/>
  <c r="L78" i="32" s="1"/>
  <c r="K78" i="32"/>
  <c r="M78" i="32" s="1"/>
  <c r="M78" i="33"/>
  <c r="F82" i="33"/>
  <c r="F81" i="32"/>
  <c r="H81" i="33"/>
  <c r="C94" i="38"/>
  <c r="C95" i="35"/>
  <c r="L84" i="35"/>
  <c r="M84" i="35"/>
  <c r="D92" i="38"/>
  <c r="B93" i="38"/>
  <c r="F83" i="39"/>
  <c r="H82" i="39"/>
  <c r="J82" i="39" s="1"/>
  <c r="K82" i="39" s="1"/>
  <c r="L82" i="34"/>
  <c r="M82" i="34"/>
  <c r="B91" i="39"/>
  <c r="D90" i="39"/>
  <c r="B91" i="33"/>
  <c r="D90" i="33"/>
  <c r="D90" i="32" s="1"/>
  <c r="B90" i="32"/>
  <c r="B90" i="37"/>
  <c r="D89" i="37"/>
  <c r="C93" i="34"/>
  <c r="B92" i="34"/>
  <c r="H80" i="32"/>
  <c r="J80" i="33"/>
  <c r="B94" i="35"/>
  <c r="D93" i="35"/>
  <c r="C92" i="33"/>
  <c r="C91" i="32"/>
  <c r="F81" i="36"/>
  <c r="H80" i="36"/>
  <c r="J80" i="36" s="1"/>
  <c r="K80" i="36" s="1"/>
  <c r="L80" i="36" s="1"/>
  <c r="L83" i="38"/>
  <c r="M83" i="38"/>
  <c r="F82" i="37"/>
  <c r="H81" i="37"/>
  <c r="J81" i="37" s="1"/>
  <c r="K81" i="37" s="1"/>
  <c r="D88" i="36"/>
  <c r="B89" i="36"/>
  <c r="F86" i="35"/>
  <c r="H85" i="35"/>
  <c r="J85" i="35" s="1"/>
  <c r="K85" i="35" s="1"/>
  <c r="G90" i="35"/>
  <c r="I89" i="35"/>
  <c r="F84" i="34"/>
  <c r="H83" i="34"/>
  <c r="J83" i="34" s="1"/>
  <c r="K83" i="34" s="1"/>
  <c r="G89" i="37"/>
  <c r="I88" i="37"/>
  <c r="G88" i="36"/>
  <c r="I87" i="36"/>
  <c r="C92" i="39"/>
  <c r="G87" i="33"/>
  <c r="G86" i="32"/>
  <c r="I86" i="33"/>
  <c r="K79" i="33"/>
  <c r="J79" i="32"/>
  <c r="G90" i="34"/>
  <c r="I89" i="34"/>
  <c r="F85" i="38"/>
  <c r="H84" i="38"/>
  <c r="J84" i="38" s="1"/>
  <c r="K84" i="38" s="1"/>
  <c r="L81" i="39"/>
  <c r="M81" i="39"/>
  <c r="C90" i="36"/>
  <c r="G89" i="39"/>
  <c r="I88" i="39"/>
  <c r="C91" i="37"/>
  <c r="F83" i="37" l="1"/>
  <c r="H82" i="37"/>
  <c r="J82" i="37" s="1"/>
  <c r="K82" i="37" s="1"/>
  <c r="G90" i="39"/>
  <c r="I89" i="39"/>
  <c r="G87" i="32"/>
  <c r="G88" i="33"/>
  <c r="I87" i="33"/>
  <c r="G89" i="36"/>
  <c r="I88" i="36"/>
  <c r="F85" i="34"/>
  <c r="H84" i="34"/>
  <c r="J84" i="34" s="1"/>
  <c r="K84" i="34" s="1"/>
  <c r="F87" i="35"/>
  <c r="H86" i="35"/>
  <c r="J86" i="35" s="1"/>
  <c r="K86" i="35" s="1"/>
  <c r="L81" i="37"/>
  <c r="M81" i="37"/>
  <c r="K80" i="33"/>
  <c r="J80" i="32"/>
  <c r="C94" i="34"/>
  <c r="B93" i="34"/>
  <c r="G92" i="38"/>
  <c r="I91" i="38"/>
  <c r="L84" i="38"/>
  <c r="M84" i="38"/>
  <c r="C93" i="39"/>
  <c r="C93" i="33"/>
  <c r="C92" i="32"/>
  <c r="B95" i="35"/>
  <c r="D94" i="35"/>
  <c r="L82" i="39"/>
  <c r="M82" i="39"/>
  <c r="C96" i="35"/>
  <c r="C91" i="36"/>
  <c r="G91" i="34"/>
  <c r="I90" i="34"/>
  <c r="D89" i="36"/>
  <c r="B90" i="36"/>
  <c r="B92" i="33"/>
  <c r="B91" i="32"/>
  <c r="D91" i="33"/>
  <c r="D91" i="32" s="1"/>
  <c r="B92" i="39"/>
  <c r="D91" i="39"/>
  <c r="B94" i="38"/>
  <c r="D93" i="38"/>
  <c r="H81" i="32"/>
  <c r="J81" i="33"/>
  <c r="C92" i="37"/>
  <c r="I86" i="32"/>
  <c r="G90" i="37"/>
  <c r="I89" i="37"/>
  <c r="G91" i="35"/>
  <c r="I90" i="35"/>
  <c r="F86" i="38"/>
  <c r="H85" i="38"/>
  <c r="J85" i="38" s="1"/>
  <c r="K85" i="38" s="1"/>
  <c r="L79" i="33"/>
  <c r="L79" i="32" s="1"/>
  <c r="K79" i="32"/>
  <c r="M79" i="32" s="1"/>
  <c r="M79" i="33"/>
  <c r="L83" i="34"/>
  <c r="M83" i="34"/>
  <c r="L85" i="35"/>
  <c r="M85" i="35"/>
  <c r="F82" i="36"/>
  <c r="H81" i="36"/>
  <c r="J81" i="36" s="1"/>
  <c r="K81" i="36" s="1"/>
  <c r="L81" i="36" s="1"/>
  <c r="D92" i="34"/>
  <c r="B91" i="37"/>
  <c r="D90" i="37"/>
  <c r="F84" i="39"/>
  <c r="H83" i="39"/>
  <c r="J83" i="39" s="1"/>
  <c r="K83" i="39" s="1"/>
  <c r="C95" i="38"/>
  <c r="F83" i="33"/>
  <c r="F82" i="32"/>
  <c r="H82" i="33"/>
  <c r="B92" i="37" l="1"/>
  <c r="D91" i="37"/>
  <c r="I87" i="32"/>
  <c r="H82" i="32"/>
  <c r="J82" i="33"/>
  <c r="C92" i="36"/>
  <c r="L80" i="33"/>
  <c r="L80" i="32" s="1"/>
  <c r="K80" i="32"/>
  <c r="M80" i="32" s="1"/>
  <c r="M80" i="33"/>
  <c r="F88" i="35"/>
  <c r="H87" i="35"/>
  <c r="J87" i="35" s="1"/>
  <c r="K87" i="35" s="1"/>
  <c r="G90" i="36"/>
  <c r="I89" i="36"/>
  <c r="L82" i="37"/>
  <c r="M82" i="37"/>
  <c r="L83" i="39"/>
  <c r="M83" i="39"/>
  <c r="F83" i="36"/>
  <c r="H82" i="36"/>
  <c r="J82" i="36" s="1"/>
  <c r="K82" i="36" s="1"/>
  <c r="L82" i="36" s="1"/>
  <c r="B92" i="32"/>
  <c r="B93" i="33"/>
  <c r="D92" i="33"/>
  <c r="D92" i="32" s="1"/>
  <c r="D93" i="34"/>
  <c r="F84" i="37"/>
  <c r="H83" i="37"/>
  <c r="J83" i="37" s="1"/>
  <c r="K83" i="37" s="1"/>
  <c r="F83" i="32"/>
  <c r="F84" i="33"/>
  <c r="H83" i="33"/>
  <c r="F85" i="39"/>
  <c r="H84" i="39"/>
  <c r="J84" i="39" s="1"/>
  <c r="K84" i="39" s="1"/>
  <c r="L85" i="38"/>
  <c r="M85" i="38"/>
  <c r="B93" i="39"/>
  <c r="D92" i="39"/>
  <c r="C97" i="35"/>
  <c r="C95" i="34"/>
  <c r="B94" i="34"/>
  <c r="F86" i="34"/>
  <c r="H85" i="34"/>
  <c r="J85" i="34" s="1"/>
  <c r="K85" i="34" s="1"/>
  <c r="G89" i="33"/>
  <c r="G88" i="32"/>
  <c r="I88" i="33"/>
  <c r="G91" i="37"/>
  <c r="I90" i="37"/>
  <c r="C93" i="37"/>
  <c r="C94" i="39"/>
  <c r="L84" i="34"/>
  <c r="M84" i="34"/>
  <c r="C96" i="38"/>
  <c r="F87" i="38"/>
  <c r="H86" i="38"/>
  <c r="J86" i="38" s="1"/>
  <c r="K86" i="38" s="1"/>
  <c r="G92" i="35"/>
  <c r="I91" i="35"/>
  <c r="K81" i="33"/>
  <c r="J81" i="32"/>
  <c r="B95" i="38"/>
  <c r="D94" i="38"/>
  <c r="B91" i="36"/>
  <c r="D90" i="36"/>
  <c r="G92" i="34"/>
  <c r="I91" i="34"/>
  <c r="B96" i="35"/>
  <c r="D95" i="35"/>
  <c r="C94" i="33"/>
  <c r="C93" i="32"/>
  <c r="G93" i="38"/>
  <c r="I92" i="38"/>
  <c r="L86" i="35"/>
  <c r="M86" i="35"/>
  <c r="G91" i="39"/>
  <c r="I90" i="39"/>
  <c r="B94" i="39" l="1"/>
  <c r="D93" i="39"/>
  <c r="F84" i="32"/>
  <c r="F85" i="33"/>
  <c r="H84" i="33"/>
  <c r="C93" i="36"/>
  <c r="D95" i="38"/>
  <c r="B96" i="38"/>
  <c r="F88" i="38"/>
  <c r="H87" i="38"/>
  <c r="J87" i="38" s="1"/>
  <c r="K87" i="38" s="1"/>
  <c r="C94" i="37"/>
  <c r="L85" i="34"/>
  <c r="M85" i="34"/>
  <c r="C96" i="34"/>
  <c r="B95" i="34"/>
  <c r="C98" i="35"/>
  <c r="H83" i="32"/>
  <c r="J83" i="33"/>
  <c r="F85" i="37"/>
  <c r="H84" i="37"/>
  <c r="J84" i="37" s="1"/>
  <c r="K84" i="37" s="1"/>
  <c r="B94" i="33"/>
  <c r="D93" i="33"/>
  <c r="D93" i="32" s="1"/>
  <c r="B93" i="32"/>
  <c r="F84" i="36"/>
  <c r="H83" i="36"/>
  <c r="J83" i="36" s="1"/>
  <c r="K83" i="36" s="1"/>
  <c r="L83" i="36" s="1"/>
  <c r="F89" i="35"/>
  <c r="H88" i="35"/>
  <c r="J88" i="35" s="1"/>
  <c r="K88" i="35" s="1"/>
  <c r="K82" i="33"/>
  <c r="J82" i="32"/>
  <c r="G92" i="39"/>
  <c r="I91" i="39"/>
  <c r="B97" i="35"/>
  <c r="D96" i="35"/>
  <c r="I88" i="32"/>
  <c r="C97" i="38"/>
  <c r="C95" i="39"/>
  <c r="G92" i="37"/>
  <c r="I91" i="37"/>
  <c r="L84" i="39"/>
  <c r="M84" i="39"/>
  <c r="G91" i="36"/>
  <c r="I90" i="36"/>
  <c r="F87" i="34"/>
  <c r="H86" i="34"/>
  <c r="J86" i="34" s="1"/>
  <c r="K86" i="34" s="1"/>
  <c r="C95" i="33"/>
  <c r="C94" i="32"/>
  <c r="B92" i="36"/>
  <c r="D91" i="36"/>
  <c r="G93" i="35"/>
  <c r="I92" i="35"/>
  <c r="G94" i="38"/>
  <c r="I93" i="38"/>
  <c r="G93" i="34"/>
  <c r="I92" i="34"/>
  <c r="L81" i="33"/>
  <c r="L81" i="32" s="1"/>
  <c r="K81" i="32"/>
  <c r="M81" i="32" s="1"/>
  <c r="M81" i="33"/>
  <c r="L86" i="38"/>
  <c r="M86" i="38"/>
  <c r="G90" i="33"/>
  <c r="G89" i="32"/>
  <c r="I89" i="33"/>
  <c r="D94" i="34"/>
  <c r="F86" i="39"/>
  <c r="H85" i="39"/>
  <c r="J85" i="39" s="1"/>
  <c r="K85" i="39" s="1"/>
  <c r="L83" i="37"/>
  <c r="M83" i="37"/>
  <c r="L87" i="35"/>
  <c r="M87" i="35"/>
  <c r="B93" i="37"/>
  <c r="D92" i="37"/>
  <c r="F87" i="39" l="1"/>
  <c r="H86" i="39"/>
  <c r="J86" i="39" s="1"/>
  <c r="K86" i="39" s="1"/>
  <c r="C96" i="33"/>
  <c r="C95" i="32"/>
  <c r="L85" i="39"/>
  <c r="M85" i="39"/>
  <c r="I89" i="32"/>
  <c r="D92" i="36"/>
  <c r="B93" i="36"/>
  <c r="L86" i="34"/>
  <c r="M86" i="34"/>
  <c r="G92" i="36"/>
  <c r="I91" i="36"/>
  <c r="G93" i="37"/>
  <c r="I92" i="37"/>
  <c r="C98" i="38"/>
  <c r="B98" i="35"/>
  <c r="D97" i="35"/>
  <c r="L82" i="33"/>
  <c r="L82" i="32" s="1"/>
  <c r="K82" i="32"/>
  <c r="M82" i="32" s="1"/>
  <c r="M82" i="33"/>
  <c r="F85" i="36"/>
  <c r="H84" i="36"/>
  <c r="J84" i="36" s="1"/>
  <c r="K84" i="36" s="1"/>
  <c r="L84" i="36" s="1"/>
  <c r="D95" i="34"/>
  <c r="C95" i="37"/>
  <c r="D96" i="38"/>
  <c r="B97" i="38"/>
  <c r="H84" i="32"/>
  <c r="J84" i="33"/>
  <c r="G94" i="34"/>
  <c r="I93" i="34"/>
  <c r="G93" i="39"/>
  <c r="I92" i="39"/>
  <c r="F90" i="35"/>
  <c r="H89" i="35"/>
  <c r="J89" i="35" s="1"/>
  <c r="K89" i="35" s="1"/>
  <c r="F86" i="37"/>
  <c r="H85" i="37"/>
  <c r="J85" i="37" s="1"/>
  <c r="K85" i="37" s="1"/>
  <c r="C99" i="35"/>
  <c r="L87" i="38"/>
  <c r="M87" i="38"/>
  <c r="C94" i="36"/>
  <c r="G94" i="35"/>
  <c r="I93" i="35"/>
  <c r="F88" i="34"/>
  <c r="H87" i="34"/>
  <c r="J87" i="34" s="1"/>
  <c r="K87" i="34" s="1"/>
  <c r="L88" i="35"/>
  <c r="M88" i="35"/>
  <c r="L84" i="37"/>
  <c r="M84" i="37"/>
  <c r="C97" i="34"/>
  <c r="B96" i="34"/>
  <c r="F85" i="32"/>
  <c r="F86" i="33"/>
  <c r="H85" i="33"/>
  <c r="B95" i="39"/>
  <c r="D94" i="39"/>
  <c r="G91" i="33"/>
  <c r="G90" i="32"/>
  <c r="I90" i="33"/>
  <c r="C96" i="39"/>
  <c r="B94" i="37"/>
  <c r="D93" i="37"/>
  <c r="G95" i="38"/>
  <c r="I94" i="38"/>
  <c r="B95" i="33"/>
  <c r="D94" i="33"/>
  <c r="D94" i="32" s="1"/>
  <c r="B94" i="32"/>
  <c r="K83" i="33"/>
  <c r="J83" i="32"/>
  <c r="F89" i="38"/>
  <c r="H88" i="38"/>
  <c r="J88" i="38" s="1"/>
  <c r="K88" i="38" s="1"/>
  <c r="B95" i="37" l="1"/>
  <c r="D94" i="37"/>
  <c r="C98" i="34"/>
  <c r="B97" i="34"/>
  <c r="F91" i="35"/>
  <c r="H90" i="35"/>
  <c r="J90" i="35" s="1"/>
  <c r="K90" i="35" s="1"/>
  <c r="B96" i="33"/>
  <c r="B95" i="32"/>
  <c r="D95" i="33"/>
  <c r="D95" i="32" s="1"/>
  <c r="L83" i="33"/>
  <c r="L83" i="32" s="1"/>
  <c r="K83" i="32"/>
  <c r="M83" i="32" s="1"/>
  <c r="M83" i="33"/>
  <c r="G91" i="32"/>
  <c r="G92" i="33"/>
  <c r="I91" i="33"/>
  <c r="H85" i="32"/>
  <c r="J85" i="33"/>
  <c r="D96" i="34"/>
  <c r="L87" i="34"/>
  <c r="M87" i="34"/>
  <c r="C95" i="36"/>
  <c r="C100" i="35"/>
  <c r="L89" i="35"/>
  <c r="M89" i="35"/>
  <c r="C96" i="37"/>
  <c r="F86" i="36"/>
  <c r="H85" i="36"/>
  <c r="J85" i="36" s="1"/>
  <c r="K85" i="36" s="1"/>
  <c r="L85" i="36" s="1"/>
  <c r="G93" i="36"/>
  <c r="I92" i="36"/>
  <c r="B98" i="38"/>
  <c r="D97" i="38"/>
  <c r="F90" i="38"/>
  <c r="H89" i="38"/>
  <c r="J89" i="38" s="1"/>
  <c r="K89" i="38" s="1"/>
  <c r="G96" i="38"/>
  <c r="I95" i="38"/>
  <c r="I90" i="32"/>
  <c r="L85" i="37"/>
  <c r="M85" i="37"/>
  <c r="J84" i="32"/>
  <c r="K84" i="33"/>
  <c r="B99" i="35"/>
  <c r="D98" i="35"/>
  <c r="G94" i="37"/>
  <c r="I93" i="37"/>
  <c r="L86" i="39"/>
  <c r="M86" i="39"/>
  <c r="L88" i="38"/>
  <c r="M88" i="38"/>
  <c r="F87" i="33"/>
  <c r="F86" i="32"/>
  <c r="H86" i="33"/>
  <c r="F89" i="34"/>
  <c r="H88" i="34"/>
  <c r="J88" i="34" s="1"/>
  <c r="K88" i="34" s="1"/>
  <c r="G95" i="34"/>
  <c r="I94" i="34"/>
  <c r="C97" i="33"/>
  <c r="C96" i="32"/>
  <c r="C97" i="39"/>
  <c r="B96" i="39"/>
  <c r="D95" i="39"/>
  <c r="G95" i="35"/>
  <c r="I94" i="35"/>
  <c r="F87" i="37"/>
  <c r="H86" i="37"/>
  <c r="J86" i="37" s="1"/>
  <c r="K86" i="37" s="1"/>
  <c r="G94" i="39"/>
  <c r="I93" i="39"/>
  <c r="C99" i="38"/>
  <c r="D93" i="36"/>
  <c r="B94" i="36"/>
  <c r="F88" i="39"/>
  <c r="H87" i="39"/>
  <c r="J87" i="39" s="1"/>
  <c r="K87" i="39" s="1"/>
  <c r="F90" i="34" l="1"/>
  <c r="H89" i="34"/>
  <c r="J89" i="34" s="1"/>
  <c r="K89" i="34" s="1"/>
  <c r="L89" i="38"/>
  <c r="M89" i="38"/>
  <c r="B99" i="38"/>
  <c r="D98" i="38"/>
  <c r="K85" i="33"/>
  <c r="J85" i="32"/>
  <c r="L90" i="35"/>
  <c r="M90" i="35"/>
  <c r="C99" i="34"/>
  <c r="B98" i="34"/>
  <c r="F92" i="35"/>
  <c r="H91" i="35"/>
  <c r="J91" i="35" s="1"/>
  <c r="K91" i="35" s="1"/>
  <c r="G96" i="34"/>
  <c r="I95" i="34"/>
  <c r="C96" i="36"/>
  <c r="I91" i="32"/>
  <c r="B96" i="32"/>
  <c r="B97" i="33"/>
  <c r="D96" i="33"/>
  <c r="D96" i="32" s="1"/>
  <c r="D95" i="37"/>
  <c r="B96" i="37"/>
  <c r="F88" i="37"/>
  <c r="H87" i="37"/>
  <c r="J87" i="37" s="1"/>
  <c r="K87" i="37" s="1"/>
  <c r="L87" i="39"/>
  <c r="M87" i="39"/>
  <c r="B97" i="39"/>
  <c r="D96" i="39"/>
  <c r="H86" i="32"/>
  <c r="J86" i="33"/>
  <c r="F91" i="38"/>
  <c r="H90" i="38"/>
  <c r="J90" i="38" s="1"/>
  <c r="K90" i="38" s="1"/>
  <c r="F87" i="36"/>
  <c r="H86" i="36"/>
  <c r="J86" i="36" s="1"/>
  <c r="K86" i="36" s="1"/>
  <c r="L86" i="36" s="1"/>
  <c r="C101" i="35"/>
  <c r="F89" i="39"/>
  <c r="H88" i="39"/>
  <c r="J88" i="39" s="1"/>
  <c r="K88" i="39" s="1"/>
  <c r="G95" i="39"/>
  <c r="I94" i="39"/>
  <c r="G96" i="35"/>
  <c r="I95" i="35"/>
  <c r="C98" i="33"/>
  <c r="C97" i="32"/>
  <c r="B100" i="35"/>
  <c r="D99" i="35"/>
  <c r="B95" i="36"/>
  <c r="D94" i="36"/>
  <c r="C100" i="38"/>
  <c r="L86" i="37"/>
  <c r="M86" i="37"/>
  <c r="C98" i="39"/>
  <c r="L88" i="34"/>
  <c r="M88" i="34"/>
  <c r="F87" i="32"/>
  <c r="F88" i="33"/>
  <c r="H87" i="33"/>
  <c r="G95" i="37"/>
  <c r="I94" i="37"/>
  <c r="L84" i="33"/>
  <c r="L84" i="32" s="1"/>
  <c r="K84" i="32"/>
  <c r="M84" i="32" s="1"/>
  <c r="M84" i="33"/>
  <c r="G97" i="38"/>
  <c r="I96" i="38"/>
  <c r="G94" i="36"/>
  <c r="I93" i="36"/>
  <c r="C97" i="37"/>
  <c r="G93" i="33"/>
  <c r="G92" i="32"/>
  <c r="I92" i="33"/>
  <c r="D97" i="34"/>
  <c r="G94" i="33" l="1"/>
  <c r="G93" i="32"/>
  <c r="I93" i="33"/>
  <c r="G95" i="36"/>
  <c r="I94" i="36"/>
  <c r="D99" i="38"/>
  <c r="B100" i="38"/>
  <c r="C98" i="37"/>
  <c r="G98" i="38"/>
  <c r="I97" i="38"/>
  <c r="G96" i="37"/>
  <c r="I95" i="37"/>
  <c r="C99" i="33"/>
  <c r="C98" i="32"/>
  <c r="G96" i="39"/>
  <c r="I95" i="39"/>
  <c r="C102" i="35"/>
  <c r="F92" i="38"/>
  <c r="H91" i="38"/>
  <c r="J91" i="38" s="1"/>
  <c r="K91" i="38" s="1"/>
  <c r="B98" i="33"/>
  <c r="D97" i="33"/>
  <c r="D97" i="32" s="1"/>
  <c r="B97" i="32"/>
  <c r="F93" i="35"/>
  <c r="H92" i="35"/>
  <c r="J92" i="35" s="1"/>
  <c r="K92" i="35" s="1"/>
  <c r="B98" i="39"/>
  <c r="D97" i="39"/>
  <c r="B97" i="37"/>
  <c r="D96" i="37"/>
  <c r="F88" i="32"/>
  <c r="F89" i="33"/>
  <c r="H88" i="33"/>
  <c r="B96" i="36"/>
  <c r="D95" i="36"/>
  <c r="G97" i="35"/>
  <c r="I96" i="35"/>
  <c r="F90" i="39"/>
  <c r="H89" i="39"/>
  <c r="J89" i="39" s="1"/>
  <c r="K89" i="39" s="1"/>
  <c r="F88" i="36"/>
  <c r="H87" i="36"/>
  <c r="J87" i="36" s="1"/>
  <c r="K87" i="36" s="1"/>
  <c r="L87" i="36" s="1"/>
  <c r="L87" i="37"/>
  <c r="M87" i="37"/>
  <c r="G97" i="34"/>
  <c r="I96" i="34"/>
  <c r="D98" i="34"/>
  <c r="L89" i="34"/>
  <c r="M89" i="34"/>
  <c r="H87" i="32"/>
  <c r="J87" i="33"/>
  <c r="L88" i="39"/>
  <c r="M88" i="39"/>
  <c r="K86" i="33"/>
  <c r="J86" i="32"/>
  <c r="I92" i="32"/>
  <c r="C99" i="39"/>
  <c r="C101" i="38"/>
  <c r="B101" i="35"/>
  <c r="D100" i="35"/>
  <c r="L90" i="38"/>
  <c r="M90" i="38"/>
  <c r="F89" i="37"/>
  <c r="H88" i="37"/>
  <c r="J88" i="37" s="1"/>
  <c r="K88" i="37" s="1"/>
  <c r="C97" i="36"/>
  <c r="L91" i="35"/>
  <c r="M91" i="35"/>
  <c r="C100" i="34"/>
  <c r="B99" i="34"/>
  <c r="L85" i="33"/>
  <c r="L85" i="32" s="1"/>
  <c r="K85" i="32"/>
  <c r="M85" i="32" s="1"/>
  <c r="M85" i="33"/>
  <c r="F91" i="34"/>
  <c r="H90" i="34"/>
  <c r="J90" i="34" s="1"/>
  <c r="K90" i="34" s="1"/>
  <c r="C100" i="39" l="1"/>
  <c r="C101" i="34"/>
  <c r="B100" i="34"/>
  <c r="C102" i="38"/>
  <c r="B97" i="36"/>
  <c r="D96" i="36"/>
  <c r="L91" i="38"/>
  <c r="M91" i="38"/>
  <c r="C100" i="33"/>
  <c r="C99" i="32"/>
  <c r="D100" i="38"/>
  <c r="B101" i="38"/>
  <c r="G96" i="36"/>
  <c r="I95" i="36"/>
  <c r="F92" i="34"/>
  <c r="H91" i="34"/>
  <c r="J91" i="34" s="1"/>
  <c r="K91" i="34" s="1"/>
  <c r="K87" i="33"/>
  <c r="J87" i="32"/>
  <c r="L89" i="39"/>
  <c r="M89" i="39"/>
  <c r="F89" i="32"/>
  <c r="F90" i="33"/>
  <c r="H89" i="33"/>
  <c r="B98" i="37"/>
  <c r="D97" i="37"/>
  <c r="L92" i="35"/>
  <c r="M92" i="35"/>
  <c r="B99" i="33"/>
  <c r="D98" i="33"/>
  <c r="D98" i="32" s="1"/>
  <c r="B98" i="32"/>
  <c r="G97" i="37"/>
  <c r="I96" i="37"/>
  <c r="L90" i="34"/>
  <c r="M90" i="34"/>
  <c r="G98" i="34"/>
  <c r="I97" i="34"/>
  <c r="F89" i="36"/>
  <c r="H88" i="36"/>
  <c r="J88" i="36" s="1"/>
  <c r="K88" i="36" s="1"/>
  <c r="L88" i="36" s="1"/>
  <c r="G98" i="35"/>
  <c r="I97" i="35"/>
  <c r="H88" i="32"/>
  <c r="J88" i="33"/>
  <c r="B99" i="39"/>
  <c r="D98" i="39"/>
  <c r="F93" i="38"/>
  <c r="H92" i="38"/>
  <c r="J92" i="38" s="1"/>
  <c r="K92" i="38" s="1"/>
  <c r="G97" i="39"/>
  <c r="I96" i="39"/>
  <c r="I93" i="32"/>
  <c r="L88" i="37"/>
  <c r="M88" i="37"/>
  <c r="B102" i="35"/>
  <c r="D101" i="35"/>
  <c r="D99" i="34"/>
  <c r="C98" i="36"/>
  <c r="F90" i="37"/>
  <c r="H89" i="37"/>
  <c r="J89" i="37" s="1"/>
  <c r="K89" i="37" s="1"/>
  <c r="L86" i="33"/>
  <c r="L86" i="32" s="1"/>
  <c r="K86" i="32"/>
  <c r="M86" i="32" s="1"/>
  <c r="M86" i="33"/>
  <c r="F91" i="39"/>
  <c r="H90" i="39"/>
  <c r="J90" i="39" s="1"/>
  <c r="K90" i="39" s="1"/>
  <c r="F94" i="35"/>
  <c r="H93" i="35"/>
  <c r="J93" i="35" s="1"/>
  <c r="K93" i="35" s="1"/>
  <c r="C103" i="35"/>
  <c r="G99" i="38"/>
  <c r="I98" i="38"/>
  <c r="C99" i="37"/>
  <c r="G95" i="33"/>
  <c r="G94" i="32"/>
  <c r="I94" i="33"/>
  <c r="C104" i="35" l="1"/>
  <c r="G100" i="38"/>
  <c r="I99" i="38"/>
  <c r="F95" i="35"/>
  <c r="H94" i="35"/>
  <c r="J94" i="35" s="1"/>
  <c r="K94" i="35" s="1"/>
  <c r="C99" i="36"/>
  <c r="F90" i="36"/>
  <c r="H89" i="36"/>
  <c r="J89" i="36" s="1"/>
  <c r="K89" i="36" s="1"/>
  <c r="L89" i="36" s="1"/>
  <c r="B100" i="33"/>
  <c r="B99" i="32"/>
  <c r="D99" i="33"/>
  <c r="D99" i="32" s="1"/>
  <c r="F90" i="32"/>
  <c r="F91" i="33"/>
  <c r="H90" i="33"/>
  <c r="D100" i="34"/>
  <c r="I94" i="32"/>
  <c r="L90" i="39"/>
  <c r="M90" i="39"/>
  <c r="D98" i="37"/>
  <c r="B99" i="37"/>
  <c r="L87" i="33"/>
  <c r="L87" i="32" s="1"/>
  <c r="K87" i="32"/>
  <c r="M87" i="32" s="1"/>
  <c r="B17" i="31" s="1"/>
  <c r="M87" i="33"/>
  <c r="C101" i="33"/>
  <c r="C100" i="32"/>
  <c r="C103" i="38"/>
  <c r="F92" i="39"/>
  <c r="H91" i="39"/>
  <c r="J91" i="39" s="1"/>
  <c r="K91" i="39" s="1"/>
  <c r="B103" i="35"/>
  <c r="D102" i="35"/>
  <c r="G99" i="35"/>
  <c r="I98" i="35"/>
  <c r="L91" i="34"/>
  <c r="M91" i="34"/>
  <c r="G98" i="39"/>
  <c r="I97" i="39"/>
  <c r="G98" i="37"/>
  <c r="I97" i="37"/>
  <c r="B102" i="38"/>
  <c r="D101" i="38"/>
  <c r="C102" i="34"/>
  <c r="B101" i="34"/>
  <c r="C100" i="37"/>
  <c r="L89" i="37"/>
  <c r="M89" i="37"/>
  <c r="L92" i="38"/>
  <c r="M92" i="38"/>
  <c r="B100" i="39"/>
  <c r="D99" i="39"/>
  <c r="G99" i="34"/>
  <c r="I98" i="34"/>
  <c r="G95" i="32"/>
  <c r="G96" i="33"/>
  <c r="I95" i="33"/>
  <c r="L93" i="35"/>
  <c r="M93" i="35"/>
  <c r="F91" i="37"/>
  <c r="H90" i="37"/>
  <c r="J90" i="37" s="1"/>
  <c r="K90" i="37" s="1"/>
  <c r="F94" i="38"/>
  <c r="H93" i="38"/>
  <c r="J93" i="38" s="1"/>
  <c r="K93" i="38" s="1"/>
  <c r="J88" i="32"/>
  <c r="K88" i="33"/>
  <c r="H89" i="32"/>
  <c r="J89" i="33"/>
  <c r="F93" i="34"/>
  <c r="H92" i="34"/>
  <c r="J92" i="34" s="1"/>
  <c r="K92" i="34" s="1"/>
  <c r="G97" i="36"/>
  <c r="I96" i="36"/>
  <c r="D97" i="36"/>
  <c r="B98" i="36"/>
  <c r="C101" i="39"/>
  <c r="F94" i="34" l="1"/>
  <c r="H93" i="34"/>
  <c r="J93" i="34" s="1"/>
  <c r="K93" i="34" s="1"/>
  <c r="B99" i="36"/>
  <c r="D98" i="36"/>
  <c r="L92" i="34"/>
  <c r="M92" i="34"/>
  <c r="L88" i="33"/>
  <c r="L88" i="32" s="1"/>
  <c r="K88" i="32"/>
  <c r="M88" i="32" s="1"/>
  <c r="M88" i="33"/>
  <c r="G97" i="33"/>
  <c r="G96" i="32"/>
  <c r="I96" i="33"/>
  <c r="C101" i="37"/>
  <c r="G99" i="37"/>
  <c r="I98" i="37"/>
  <c r="G99" i="39"/>
  <c r="I98" i="39"/>
  <c r="B104" i="35"/>
  <c r="D103" i="35"/>
  <c r="F91" i="32"/>
  <c r="F92" i="33"/>
  <c r="H91" i="33"/>
  <c r="B100" i="32"/>
  <c r="B101" i="33"/>
  <c r="D100" i="33"/>
  <c r="D100" i="32" s="1"/>
  <c r="C100" i="36"/>
  <c r="C17" i="31"/>
  <c r="D17" i="31"/>
  <c r="L93" i="38"/>
  <c r="M93" i="38"/>
  <c r="L94" i="35"/>
  <c r="M94" i="35"/>
  <c r="C105" i="35"/>
  <c r="L90" i="37"/>
  <c r="M90" i="37"/>
  <c r="G100" i="35"/>
  <c r="I99" i="35"/>
  <c r="L91" i="39"/>
  <c r="M91" i="39"/>
  <c r="F91" i="36"/>
  <c r="H90" i="36"/>
  <c r="J90" i="36" s="1"/>
  <c r="K90" i="36" s="1"/>
  <c r="L90" i="36" s="1"/>
  <c r="G101" i="38"/>
  <c r="I100" i="38"/>
  <c r="C102" i="39"/>
  <c r="K89" i="33"/>
  <c r="J89" i="32"/>
  <c r="F92" i="37"/>
  <c r="H91" i="37"/>
  <c r="J91" i="37" s="1"/>
  <c r="K91" i="37" s="1"/>
  <c r="B101" i="39"/>
  <c r="D100" i="39"/>
  <c r="D101" i="34"/>
  <c r="B103" i="38"/>
  <c r="D102" i="38"/>
  <c r="F93" i="39"/>
  <c r="H92" i="39"/>
  <c r="J92" i="39" s="1"/>
  <c r="K92" i="39" s="1"/>
  <c r="G98" i="36"/>
  <c r="I97" i="36"/>
  <c r="F95" i="38"/>
  <c r="H94" i="38"/>
  <c r="J94" i="38" s="1"/>
  <c r="K94" i="38" s="1"/>
  <c r="I95" i="32"/>
  <c r="G100" i="34"/>
  <c r="I99" i="34"/>
  <c r="C103" i="34"/>
  <c r="B102" i="34"/>
  <c r="C104" i="38"/>
  <c r="C102" i="33"/>
  <c r="C101" i="32"/>
  <c r="D99" i="37"/>
  <c r="B100" i="37"/>
  <c r="H90" i="32"/>
  <c r="J90" i="33"/>
  <c r="F96" i="35"/>
  <c r="H95" i="35"/>
  <c r="J95" i="35" s="1"/>
  <c r="K95" i="35" s="1"/>
  <c r="C103" i="33" l="1"/>
  <c r="C102" i="32"/>
  <c r="F94" i="39"/>
  <c r="H93" i="39"/>
  <c r="J93" i="39" s="1"/>
  <c r="K93" i="39" s="1"/>
  <c r="B102" i="39"/>
  <c r="D101" i="39"/>
  <c r="H91" i="32"/>
  <c r="J91" i="33"/>
  <c r="C102" i="37"/>
  <c r="D99" i="36"/>
  <c r="B100" i="36"/>
  <c r="C105" i="38"/>
  <c r="D103" i="38"/>
  <c r="B104" i="38"/>
  <c r="F97" i="35"/>
  <c r="H96" i="35"/>
  <c r="J96" i="35" s="1"/>
  <c r="K96" i="35" s="1"/>
  <c r="G101" i="34"/>
  <c r="I100" i="34"/>
  <c r="L94" i="38"/>
  <c r="M94" i="38"/>
  <c r="L92" i="39"/>
  <c r="M92" i="39"/>
  <c r="L91" i="37"/>
  <c r="M91" i="37"/>
  <c r="G102" i="38"/>
  <c r="I101" i="38"/>
  <c r="E17" i="31"/>
  <c r="F17" i="31" s="1"/>
  <c r="C101" i="36"/>
  <c r="G100" i="37"/>
  <c r="I99" i="37"/>
  <c r="K90" i="33"/>
  <c r="J90" i="32"/>
  <c r="F96" i="38"/>
  <c r="H95" i="38"/>
  <c r="J95" i="38" s="1"/>
  <c r="K95" i="38" s="1"/>
  <c r="G98" i="33"/>
  <c r="G97" i="32"/>
  <c r="I97" i="33"/>
  <c r="C104" i="34"/>
  <c r="B103" i="34"/>
  <c r="F92" i="36"/>
  <c r="H91" i="36"/>
  <c r="J91" i="36" s="1"/>
  <c r="K91" i="36" s="1"/>
  <c r="L91" i="36" s="1"/>
  <c r="G101" i="35"/>
  <c r="I100" i="35"/>
  <c r="C106" i="35"/>
  <c r="B102" i="33"/>
  <c r="D101" i="33"/>
  <c r="D101" i="32" s="1"/>
  <c r="B101" i="32"/>
  <c r="F92" i="32"/>
  <c r="F93" i="33"/>
  <c r="H92" i="33"/>
  <c r="B105" i="35"/>
  <c r="D104" i="35"/>
  <c r="G100" i="39"/>
  <c r="I99" i="39"/>
  <c r="L93" i="34"/>
  <c r="M93" i="34"/>
  <c r="B101" i="37"/>
  <c r="D100" i="37"/>
  <c r="D102" i="34"/>
  <c r="F93" i="37"/>
  <c r="H92" i="37"/>
  <c r="J92" i="37" s="1"/>
  <c r="K92" i="37" s="1"/>
  <c r="C103" i="39"/>
  <c r="L95" i="35"/>
  <c r="M95" i="35"/>
  <c r="G99" i="36"/>
  <c r="I98" i="36"/>
  <c r="L89" i="33"/>
  <c r="L89" i="32" s="1"/>
  <c r="K89" i="32"/>
  <c r="M89" i="32" s="1"/>
  <c r="M89" i="33"/>
  <c r="I96" i="32"/>
  <c r="F95" i="34"/>
  <c r="H94" i="34"/>
  <c r="J94" i="34" s="1"/>
  <c r="K94" i="34" s="1"/>
  <c r="F94" i="37" l="1"/>
  <c r="H93" i="37"/>
  <c r="J93" i="37" s="1"/>
  <c r="K93" i="37" s="1"/>
  <c r="B106" i="35"/>
  <c r="D105" i="35"/>
  <c r="L94" i="34"/>
  <c r="M94" i="34"/>
  <c r="L92" i="37"/>
  <c r="M92" i="37"/>
  <c r="G102" i="35"/>
  <c r="I101" i="35"/>
  <c r="I97" i="32"/>
  <c r="F97" i="38"/>
  <c r="H96" i="38"/>
  <c r="J96" i="38" s="1"/>
  <c r="K96" i="38" s="1"/>
  <c r="G101" i="37"/>
  <c r="I100" i="37"/>
  <c r="D104" i="38"/>
  <c r="B105" i="38"/>
  <c r="F95" i="39"/>
  <c r="H94" i="39"/>
  <c r="J94" i="39" s="1"/>
  <c r="K94" i="39" s="1"/>
  <c r="C104" i="39"/>
  <c r="D101" i="37"/>
  <c r="B102" i="37"/>
  <c r="G101" i="39"/>
  <c r="I100" i="39"/>
  <c r="H92" i="32"/>
  <c r="J92" i="33"/>
  <c r="C107" i="35"/>
  <c r="F93" i="36"/>
  <c r="H92" i="36"/>
  <c r="J92" i="36" s="1"/>
  <c r="K92" i="36" s="1"/>
  <c r="L92" i="36" s="1"/>
  <c r="D103" i="34"/>
  <c r="G99" i="33"/>
  <c r="G98" i="32"/>
  <c r="I98" i="33"/>
  <c r="L90" i="33"/>
  <c r="L90" i="32" s="1"/>
  <c r="K90" i="32"/>
  <c r="M90" i="32" s="1"/>
  <c r="M90" i="33"/>
  <c r="C102" i="36"/>
  <c r="L96" i="35"/>
  <c r="M96" i="35"/>
  <c r="C106" i="38"/>
  <c r="C103" i="37"/>
  <c r="K91" i="33"/>
  <c r="J91" i="32"/>
  <c r="B103" i="39"/>
  <c r="D102" i="39"/>
  <c r="F96" i="34"/>
  <c r="H95" i="34"/>
  <c r="J95" i="34" s="1"/>
  <c r="K95" i="34" s="1"/>
  <c r="G100" i="36"/>
  <c r="I99" i="36"/>
  <c r="G103" i="38"/>
  <c r="I102" i="38"/>
  <c r="G102" i="34"/>
  <c r="I101" i="34"/>
  <c r="F93" i="32"/>
  <c r="F94" i="33"/>
  <c r="H93" i="33"/>
  <c r="B103" i="33"/>
  <c r="D102" i="33"/>
  <c r="D102" i="32" s="1"/>
  <c r="B102" i="32"/>
  <c r="C105" i="34"/>
  <c r="B104" i="34"/>
  <c r="L95" i="38"/>
  <c r="M95" i="38"/>
  <c r="F98" i="35"/>
  <c r="H97" i="35"/>
  <c r="J97" i="35" s="1"/>
  <c r="K97" i="35" s="1"/>
  <c r="D100" i="36"/>
  <c r="B101" i="36"/>
  <c r="L93" i="39"/>
  <c r="M93" i="39"/>
  <c r="C104" i="33"/>
  <c r="C103" i="32"/>
  <c r="L95" i="34" l="1"/>
  <c r="M95" i="34"/>
  <c r="B104" i="39"/>
  <c r="D103" i="39"/>
  <c r="C104" i="37"/>
  <c r="G99" i="32"/>
  <c r="G100" i="33"/>
  <c r="I99" i="33"/>
  <c r="F94" i="36"/>
  <c r="H93" i="36"/>
  <c r="J93" i="36" s="1"/>
  <c r="K93" i="36" s="1"/>
  <c r="L93" i="36" s="1"/>
  <c r="D104" i="34"/>
  <c r="D112" i="32" s="1"/>
  <c r="H93" i="32"/>
  <c r="J93" i="33"/>
  <c r="G103" i="34"/>
  <c r="I102" i="34"/>
  <c r="G101" i="36"/>
  <c r="I100" i="36"/>
  <c r="J92" i="32"/>
  <c r="K92" i="33"/>
  <c r="D102" i="37"/>
  <c r="B103" i="37"/>
  <c r="C105" i="39"/>
  <c r="B106" i="38"/>
  <c r="D105" i="38"/>
  <c r="L96" i="38"/>
  <c r="M96" i="38"/>
  <c r="C106" i="34"/>
  <c r="B105" i="34"/>
  <c r="L94" i="39"/>
  <c r="M94" i="39"/>
  <c r="D101" i="36"/>
  <c r="B102" i="36"/>
  <c r="F99" i="35"/>
  <c r="H98" i="35"/>
  <c r="J98" i="35" s="1"/>
  <c r="K98" i="35" s="1"/>
  <c r="B104" i="33"/>
  <c r="B103" i="32"/>
  <c r="D103" i="33"/>
  <c r="D103" i="32" s="1"/>
  <c r="G104" i="38"/>
  <c r="I103" i="38"/>
  <c r="F97" i="34"/>
  <c r="H96" i="34"/>
  <c r="J96" i="34" s="1"/>
  <c r="K96" i="34" s="1"/>
  <c r="C107" i="38"/>
  <c r="C103" i="36"/>
  <c r="C108" i="35"/>
  <c r="F96" i="39"/>
  <c r="H95" i="39"/>
  <c r="J95" i="39" s="1"/>
  <c r="K95" i="39" s="1"/>
  <c r="G103" i="35"/>
  <c r="I102" i="35"/>
  <c r="L93" i="37"/>
  <c r="M93" i="37"/>
  <c r="L97" i="35"/>
  <c r="M97" i="35"/>
  <c r="F94" i="32"/>
  <c r="F95" i="33"/>
  <c r="H94" i="33"/>
  <c r="F98" i="38"/>
  <c r="H97" i="38"/>
  <c r="J97" i="38" s="1"/>
  <c r="K97" i="38" s="1"/>
  <c r="C105" i="33"/>
  <c r="C104" i="32"/>
  <c r="L91" i="33"/>
  <c r="L91" i="32" s="1"/>
  <c r="K91" i="32"/>
  <c r="M91" i="32" s="1"/>
  <c r="M91" i="33"/>
  <c r="I98" i="32"/>
  <c r="G102" i="39"/>
  <c r="I101" i="39"/>
  <c r="G102" i="37"/>
  <c r="I101" i="37"/>
  <c r="B107" i="35"/>
  <c r="D106" i="35"/>
  <c r="F95" i="37"/>
  <c r="H94" i="37"/>
  <c r="J94" i="37" s="1"/>
  <c r="K94" i="37" s="1"/>
  <c r="L94" i="37" l="1"/>
  <c r="M94" i="37"/>
  <c r="F95" i="32"/>
  <c r="F96" i="33"/>
  <c r="H95" i="33"/>
  <c r="L96" i="34"/>
  <c r="M96" i="34"/>
  <c r="F98" i="34"/>
  <c r="H97" i="34"/>
  <c r="J97" i="34" s="1"/>
  <c r="K97" i="34" s="1"/>
  <c r="H94" i="32"/>
  <c r="J94" i="33"/>
  <c r="G104" i="35"/>
  <c r="I103" i="35"/>
  <c r="F97" i="39"/>
  <c r="H96" i="39"/>
  <c r="J96" i="39" s="1"/>
  <c r="K96" i="39" s="1"/>
  <c r="C109" i="35"/>
  <c r="G105" i="38"/>
  <c r="I104" i="38"/>
  <c r="B103" i="36"/>
  <c r="D102" i="36"/>
  <c r="B107" i="38"/>
  <c r="D106" i="38"/>
  <c r="K93" i="33"/>
  <c r="J93" i="32"/>
  <c r="I99" i="32"/>
  <c r="C105" i="37"/>
  <c r="D105" i="34"/>
  <c r="D113" i="32" s="1"/>
  <c r="C106" i="39"/>
  <c r="G102" i="36"/>
  <c r="I101" i="36"/>
  <c r="L97" i="38"/>
  <c r="M97" i="38"/>
  <c r="C104" i="36"/>
  <c r="B108" i="35"/>
  <c r="D107" i="35"/>
  <c r="D127" i="32" s="1"/>
  <c r="G103" i="39"/>
  <c r="I102" i="39"/>
  <c r="C106" i="33"/>
  <c r="C105" i="32"/>
  <c r="L98" i="35"/>
  <c r="M98" i="35"/>
  <c r="G101" i="33"/>
  <c r="G100" i="32"/>
  <c r="I100" i="33"/>
  <c r="F96" i="37"/>
  <c r="H95" i="37"/>
  <c r="J95" i="37" s="1"/>
  <c r="K95" i="37" s="1"/>
  <c r="F100" i="35"/>
  <c r="H99" i="35"/>
  <c r="J99" i="35" s="1"/>
  <c r="K99" i="35" s="1"/>
  <c r="C107" i="34"/>
  <c r="B106" i="34"/>
  <c r="L92" i="33"/>
  <c r="L92" i="32" s="1"/>
  <c r="K92" i="32"/>
  <c r="M92" i="32" s="1"/>
  <c r="M92" i="33"/>
  <c r="G103" i="37"/>
  <c r="I102" i="37"/>
  <c r="F99" i="38"/>
  <c r="H98" i="38"/>
  <c r="J98" i="38" s="1"/>
  <c r="K98" i="38" s="1"/>
  <c r="L95" i="39"/>
  <c r="M95" i="39"/>
  <c r="C108" i="38"/>
  <c r="B104" i="32"/>
  <c r="B105" i="33"/>
  <c r="D104" i="33"/>
  <c r="D104" i="32" s="1"/>
  <c r="D103" i="37"/>
  <c r="B104" i="37"/>
  <c r="G104" i="34"/>
  <c r="I103" i="34"/>
  <c r="F95" i="36"/>
  <c r="H94" i="36"/>
  <c r="J94" i="36" s="1"/>
  <c r="K94" i="36" s="1"/>
  <c r="L94" i="36" s="1"/>
  <c r="D104" i="39"/>
  <c r="B105" i="39"/>
  <c r="D105" i="39" l="1"/>
  <c r="B106" i="39"/>
  <c r="D106" i="34"/>
  <c r="D114" i="32" s="1"/>
  <c r="B109" i="35"/>
  <c r="D108" i="35"/>
  <c r="D128" i="32" s="1"/>
  <c r="C106" i="37"/>
  <c r="L98" i="38"/>
  <c r="M98" i="38"/>
  <c r="G104" i="37"/>
  <c r="I103" i="37"/>
  <c r="D105" i="33"/>
  <c r="D105" i="32" s="1"/>
  <c r="B106" i="33"/>
  <c r="B105" i="32"/>
  <c r="L95" i="37"/>
  <c r="M95" i="37"/>
  <c r="C106" i="32"/>
  <c r="C107" i="33"/>
  <c r="F96" i="36"/>
  <c r="H95" i="36"/>
  <c r="J95" i="36" s="1"/>
  <c r="K95" i="36" s="1"/>
  <c r="L95" i="36" s="1"/>
  <c r="B105" i="37"/>
  <c r="D104" i="37"/>
  <c r="C109" i="38"/>
  <c r="F101" i="35"/>
  <c r="H100" i="35"/>
  <c r="J100" i="35" s="1"/>
  <c r="K100" i="35" s="1"/>
  <c r="F97" i="37"/>
  <c r="H96" i="37"/>
  <c r="J96" i="37" s="1"/>
  <c r="K96" i="37" s="1"/>
  <c r="C105" i="36"/>
  <c r="G103" i="36"/>
  <c r="I102" i="36"/>
  <c r="G106" i="38"/>
  <c r="I105" i="38"/>
  <c r="F98" i="39"/>
  <c r="H97" i="39"/>
  <c r="J97" i="39" s="1"/>
  <c r="K97" i="39" s="1"/>
  <c r="F99" i="34"/>
  <c r="H98" i="34"/>
  <c r="J98" i="34" s="1"/>
  <c r="K98" i="34" s="1"/>
  <c r="F96" i="32"/>
  <c r="F97" i="33"/>
  <c r="H96" i="33"/>
  <c r="C107" i="39"/>
  <c r="C108" i="34"/>
  <c r="B107" i="34"/>
  <c r="G104" i="39"/>
  <c r="I103" i="39"/>
  <c r="D107" i="38"/>
  <c r="D163" i="32" s="1"/>
  <c r="B108" i="38"/>
  <c r="D103" i="36"/>
  <c r="B104" i="36"/>
  <c r="C110" i="35"/>
  <c r="G105" i="35"/>
  <c r="I104" i="35"/>
  <c r="I100" i="32"/>
  <c r="G105" i="34"/>
  <c r="I104" i="34"/>
  <c r="F100" i="38"/>
  <c r="H99" i="38"/>
  <c r="J99" i="38" s="1"/>
  <c r="K99" i="38" s="1"/>
  <c r="L99" i="35"/>
  <c r="M99" i="35"/>
  <c r="G102" i="33"/>
  <c r="G101" i="32"/>
  <c r="I101" i="33"/>
  <c r="L93" i="33"/>
  <c r="L93" i="32" s="1"/>
  <c r="K93" i="32"/>
  <c r="M93" i="32" s="1"/>
  <c r="M93" i="33"/>
  <c r="L96" i="39"/>
  <c r="M96" i="39"/>
  <c r="K94" i="33"/>
  <c r="J94" i="32"/>
  <c r="L97" i="34"/>
  <c r="M97" i="34"/>
  <c r="H95" i="32"/>
  <c r="J95" i="33"/>
  <c r="I101" i="32" l="1"/>
  <c r="G106" i="34"/>
  <c r="I105" i="34"/>
  <c r="F97" i="32"/>
  <c r="F98" i="33"/>
  <c r="H97" i="33"/>
  <c r="L97" i="39"/>
  <c r="M97" i="39"/>
  <c r="L96" i="37"/>
  <c r="M96" i="37"/>
  <c r="C110" i="38"/>
  <c r="B106" i="37"/>
  <c r="D105" i="37"/>
  <c r="B110" i="35"/>
  <c r="D109" i="35"/>
  <c r="D129" i="32" s="1"/>
  <c r="C108" i="39"/>
  <c r="G105" i="37"/>
  <c r="I104" i="37"/>
  <c r="C107" i="37"/>
  <c r="L94" i="33"/>
  <c r="L94" i="32" s="1"/>
  <c r="K94" i="32"/>
  <c r="M94" i="32" s="1"/>
  <c r="M94" i="33"/>
  <c r="F101" i="38"/>
  <c r="H100" i="38"/>
  <c r="J100" i="38" s="1"/>
  <c r="K100" i="38" s="1"/>
  <c r="C109" i="34"/>
  <c r="B108" i="34"/>
  <c r="L98" i="34"/>
  <c r="M98" i="34"/>
  <c r="L100" i="35"/>
  <c r="M100" i="35"/>
  <c r="F97" i="36"/>
  <c r="H96" i="36"/>
  <c r="J96" i="36" s="1"/>
  <c r="K96" i="36" s="1"/>
  <c r="L96" i="36" s="1"/>
  <c r="D106" i="33"/>
  <c r="D106" i="32" s="1"/>
  <c r="B107" i="33"/>
  <c r="B106" i="32"/>
  <c r="D106" i="39"/>
  <c r="B107" i="39"/>
  <c r="K95" i="33"/>
  <c r="J95" i="32"/>
  <c r="L99" i="38"/>
  <c r="M99" i="38"/>
  <c r="G106" i="35"/>
  <c r="I105" i="35"/>
  <c r="D104" i="36"/>
  <c r="B105" i="36"/>
  <c r="D107" i="34"/>
  <c r="D115" i="32" s="1"/>
  <c r="F99" i="39"/>
  <c r="H98" i="39"/>
  <c r="J98" i="39" s="1"/>
  <c r="K98" i="39" s="1"/>
  <c r="G104" i="36"/>
  <c r="I103" i="36"/>
  <c r="F98" i="37"/>
  <c r="H97" i="37"/>
  <c r="J97" i="37" s="1"/>
  <c r="K97" i="37" s="1"/>
  <c r="G103" i="33"/>
  <c r="G102" i="32"/>
  <c r="I102" i="33"/>
  <c r="C111" i="35"/>
  <c r="D108" i="38"/>
  <c r="D164" i="32" s="1"/>
  <c r="B109" i="38"/>
  <c r="G105" i="39"/>
  <c r="I104" i="39"/>
  <c r="H96" i="32"/>
  <c r="J96" i="33"/>
  <c r="F100" i="34"/>
  <c r="H99" i="34"/>
  <c r="J99" i="34" s="1"/>
  <c r="K99" i="34" s="1"/>
  <c r="G107" i="38"/>
  <c r="I106" i="38"/>
  <c r="C106" i="36"/>
  <c r="F102" i="35"/>
  <c r="H101" i="35"/>
  <c r="J101" i="35" s="1"/>
  <c r="K101" i="35" s="1"/>
  <c r="C107" i="32"/>
  <c r="C108" i="33"/>
  <c r="C109" i="33" l="1"/>
  <c r="C108" i="32"/>
  <c r="F103" i="35"/>
  <c r="H102" i="35"/>
  <c r="J102" i="35" s="1"/>
  <c r="K102" i="35" s="1"/>
  <c r="D109" i="38"/>
  <c r="D165" i="32" s="1"/>
  <c r="B110" i="38"/>
  <c r="D107" i="39"/>
  <c r="D175" i="32" s="1"/>
  <c r="B108" i="39"/>
  <c r="C110" i="34"/>
  <c r="B109" i="34"/>
  <c r="C109" i="39"/>
  <c r="B111" i="35"/>
  <c r="D110" i="35"/>
  <c r="D130" i="32" s="1"/>
  <c r="D106" i="37"/>
  <c r="B107" i="37"/>
  <c r="L101" i="35"/>
  <c r="M101" i="35"/>
  <c r="J96" i="32"/>
  <c r="K96" i="33"/>
  <c r="I102" i="32"/>
  <c r="F99" i="37"/>
  <c r="H98" i="37"/>
  <c r="J98" i="37" s="1"/>
  <c r="K98" i="37" s="1"/>
  <c r="F100" i="39"/>
  <c r="H99" i="39"/>
  <c r="J99" i="39" s="1"/>
  <c r="K99" i="39" s="1"/>
  <c r="D107" i="33"/>
  <c r="D107" i="32" s="1"/>
  <c r="B107" i="32"/>
  <c r="B108" i="33"/>
  <c r="F98" i="36"/>
  <c r="H97" i="36"/>
  <c r="J97" i="36" s="1"/>
  <c r="K97" i="36" s="1"/>
  <c r="L97" i="36" s="1"/>
  <c r="D108" i="34"/>
  <c r="D116" i="32" s="1"/>
  <c r="L100" i="38"/>
  <c r="M100" i="38"/>
  <c r="G106" i="37"/>
  <c r="I105" i="37"/>
  <c r="G107" i="34"/>
  <c r="I106" i="34"/>
  <c r="C107" i="36"/>
  <c r="L99" i="34"/>
  <c r="M99" i="34"/>
  <c r="G103" i="32"/>
  <c r="G104" i="33"/>
  <c r="I103" i="33"/>
  <c r="G105" i="36"/>
  <c r="I104" i="36"/>
  <c r="C108" i="37"/>
  <c r="H97" i="32"/>
  <c r="J97" i="33"/>
  <c r="G108" i="38"/>
  <c r="I107" i="38"/>
  <c r="F102" i="38"/>
  <c r="H101" i="38"/>
  <c r="J101" i="38" s="1"/>
  <c r="K101" i="38" s="1"/>
  <c r="F101" i="34"/>
  <c r="H100" i="34"/>
  <c r="J100" i="34" s="1"/>
  <c r="K100" i="34" s="1"/>
  <c r="G106" i="39"/>
  <c r="I105" i="39"/>
  <c r="C112" i="35"/>
  <c r="L97" i="37"/>
  <c r="M97" i="37"/>
  <c r="L98" i="39"/>
  <c r="M98" i="39"/>
  <c r="D105" i="36"/>
  <c r="B106" i="36"/>
  <c r="G107" i="35"/>
  <c r="I106" i="35"/>
  <c r="L95" i="33"/>
  <c r="L95" i="32" s="1"/>
  <c r="K95" i="32"/>
  <c r="M95" i="32" s="1"/>
  <c r="M95" i="33"/>
  <c r="C111" i="38"/>
  <c r="F99" i="33"/>
  <c r="F98" i="32"/>
  <c r="H98" i="33"/>
  <c r="B107" i="36" l="1"/>
  <c r="D106" i="36"/>
  <c r="K97" i="33"/>
  <c r="J97" i="32"/>
  <c r="I103" i="32"/>
  <c r="G107" i="37"/>
  <c r="I106" i="37"/>
  <c r="F101" i="39"/>
  <c r="H100" i="39"/>
  <c r="J100" i="39" s="1"/>
  <c r="K100" i="39" s="1"/>
  <c r="H98" i="32"/>
  <c r="J98" i="33"/>
  <c r="F102" i="34"/>
  <c r="H101" i="34"/>
  <c r="J101" i="34" s="1"/>
  <c r="K101" i="34" s="1"/>
  <c r="G109" i="38"/>
  <c r="I108" i="38"/>
  <c r="C109" i="37"/>
  <c r="G106" i="36"/>
  <c r="I105" i="36"/>
  <c r="D108" i="33"/>
  <c r="D108" i="32" s="1"/>
  <c r="B108" i="32"/>
  <c r="B109" i="33"/>
  <c r="L99" i="39"/>
  <c r="M99" i="39"/>
  <c r="D110" i="38"/>
  <c r="D166" i="32" s="1"/>
  <c r="B111" i="38"/>
  <c r="F104" i="35"/>
  <c r="H103" i="35"/>
  <c r="J103" i="35" s="1"/>
  <c r="K103" i="35" s="1"/>
  <c r="D108" i="39"/>
  <c r="D176" i="32" s="1"/>
  <c r="B109" i="39"/>
  <c r="F99" i="32"/>
  <c r="F100" i="33"/>
  <c r="H99" i="33"/>
  <c r="F103" i="38"/>
  <c r="H102" i="38"/>
  <c r="J102" i="38" s="1"/>
  <c r="K102" i="38" s="1"/>
  <c r="G104" i="32"/>
  <c r="G105" i="33"/>
  <c r="I104" i="33"/>
  <c r="L98" i="37"/>
  <c r="M98" i="37"/>
  <c r="D107" i="37"/>
  <c r="D151" i="32" s="1"/>
  <c r="B108" i="37"/>
  <c r="B112" i="35"/>
  <c r="D111" i="35"/>
  <c r="D131" i="32" s="1"/>
  <c r="D109" i="34"/>
  <c r="D117" i="32" s="1"/>
  <c r="C110" i="33"/>
  <c r="C109" i="32"/>
  <c r="L101" i="38"/>
  <c r="M101" i="38"/>
  <c r="C108" i="36"/>
  <c r="G107" i="39"/>
  <c r="I106" i="39"/>
  <c r="C112" i="38"/>
  <c r="G108" i="35"/>
  <c r="I107" i="35"/>
  <c r="C113" i="35"/>
  <c r="L100" i="34"/>
  <c r="M100" i="34"/>
  <c r="G108" i="34"/>
  <c r="I107" i="34"/>
  <c r="F99" i="36"/>
  <c r="H98" i="36"/>
  <c r="J98" i="36" s="1"/>
  <c r="K98" i="36" s="1"/>
  <c r="L98" i="36" s="1"/>
  <c r="F100" i="37"/>
  <c r="H99" i="37"/>
  <c r="J99" i="37" s="1"/>
  <c r="K99" i="37" s="1"/>
  <c r="L96" i="33"/>
  <c r="L96" i="32" s="1"/>
  <c r="K96" i="32"/>
  <c r="M96" i="32" s="1"/>
  <c r="M96" i="33"/>
  <c r="C110" i="39"/>
  <c r="C111" i="34"/>
  <c r="B110" i="34"/>
  <c r="L102" i="35"/>
  <c r="M102" i="35"/>
  <c r="C112" i="34" l="1"/>
  <c r="B111" i="34"/>
  <c r="G109" i="35"/>
  <c r="I108" i="35"/>
  <c r="C109" i="36"/>
  <c r="F103" i="34"/>
  <c r="H102" i="34"/>
  <c r="J102" i="34" s="1"/>
  <c r="K102" i="34" s="1"/>
  <c r="C111" i="39"/>
  <c r="D110" i="34"/>
  <c r="D118" i="32" s="1"/>
  <c r="F101" i="37"/>
  <c r="H100" i="37"/>
  <c r="J100" i="37" s="1"/>
  <c r="K100" i="37" s="1"/>
  <c r="G109" i="34"/>
  <c r="I108" i="34"/>
  <c r="G106" i="33"/>
  <c r="G105" i="32"/>
  <c r="I105" i="33"/>
  <c r="H99" i="32"/>
  <c r="J99" i="33"/>
  <c r="D109" i="39"/>
  <c r="D177" i="32" s="1"/>
  <c r="B110" i="39"/>
  <c r="D111" i="38"/>
  <c r="D167" i="32" s="1"/>
  <c r="B112" i="38"/>
  <c r="C110" i="37"/>
  <c r="L101" i="34"/>
  <c r="M101" i="34"/>
  <c r="L100" i="39"/>
  <c r="M100" i="39"/>
  <c r="L97" i="33"/>
  <c r="L97" i="32" s="1"/>
  <c r="K97" i="32"/>
  <c r="M97" i="32" s="1"/>
  <c r="M97" i="33"/>
  <c r="B109" i="37"/>
  <c r="D108" i="37"/>
  <c r="D152" i="32" s="1"/>
  <c r="F100" i="32"/>
  <c r="F101" i="33"/>
  <c r="H100" i="33"/>
  <c r="L103" i="35"/>
  <c r="M103" i="35"/>
  <c r="F102" i="39"/>
  <c r="H101" i="39"/>
  <c r="J101" i="39" s="1"/>
  <c r="K101" i="39" s="1"/>
  <c r="F100" i="36"/>
  <c r="H99" i="36"/>
  <c r="J99" i="36" s="1"/>
  <c r="K99" i="36" s="1"/>
  <c r="L99" i="36" s="1"/>
  <c r="C113" i="38"/>
  <c r="L102" i="38"/>
  <c r="M102" i="38"/>
  <c r="F105" i="35"/>
  <c r="H104" i="35"/>
  <c r="J104" i="35" s="1"/>
  <c r="K104" i="35" s="1"/>
  <c r="K98" i="33"/>
  <c r="J98" i="32"/>
  <c r="G108" i="39"/>
  <c r="I107" i="39"/>
  <c r="C110" i="32"/>
  <c r="C111" i="33"/>
  <c r="D109" i="33"/>
  <c r="D109" i="32" s="1"/>
  <c r="B110" i="33"/>
  <c r="B109" i="32"/>
  <c r="L99" i="37"/>
  <c r="M99" i="37"/>
  <c r="C114" i="35"/>
  <c r="B113" i="35"/>
  <c r="D112" i="35"/>
  <c r="D132" i="32" s="1"/>
  <c r="I104" i="32"/>
  <c r="F104" i="38"/>
  <c r="H103" i="38"/>
  <c r="J103" i="38" s="1"/>
  <c r="K103" i="38" s="1"/>
  <c r="G107" i="36"/>
  <c r="I106" i="36"/>
  <c r="G110" i="38"/>
  <c r="I109" i="38"/>
  <c r="G108" i="37"/>
  <c r="I107" i="37"/>
  <c r="B108" i="36"/>
  <c r="D107" i="36"/>
  <c r="D139" i="32" s="1"/>
  <c r="B109" i="36" l="1"/>
  <c r="D108" i="36"/>
  <c r="D140" i="32" s="1"/>
  <c r="D110" i="33"/>
  <c r="D110" i="32" s="1"/>
  <c r="B111" i="33"/>
  <c r="B110" i="32"/>
  <c r="C111" i="37"/>
  <c r="K99" i="33"/>
  <c r="J99" i="32"/>
  <c r="G107" i="33"/>
  <c r="G106" i="32"/>
  <c r="I106" i="33"/>
  <c r="F102" i="37"/>
  <c r="H101" i="37"/>
  <c r="J101" i="37" s="1"/>
  <c r="K101" i="37" s="1"/>
  <c r="F104" i="34"/>
  <c r="H103" i="34"/>
  <c r="J103" i="34" s="1"/>
  <c r="K103" i="34" s="1"/>
  <c r="G110" i="35"/>
  <c r="I109" i="35"/>
  <c r="C112" i="39"/>
  <c r="C110" i="36"/>
  <c r="G108" i="36"/>
  <c r="I107" i="36"/>
  <c r="F101" i="36"/>
  <c r="H100" i="36"/>
  <c r="J100" i="36" s="1"/>
  <c r="K100" i="36" s="1"/>
  <c r="L100" i="36" s="1"/>
  <c r="L103" i="38"/>
  <c r="M103" i="38"/>
  <c r="C111" i="32"/>
  <c r="C112" i="33"/>
  <c r="G109" i="39"/>
  <c r="I108" i="39"/>
  <c r="L98" i="33"/>
  <c r="L98" i="32" s="1"/>
  <c r="K98" i="32"/>
  <c r="M98" i="32" s="1"/>
  <c r="M98" i="33"/>
  <c r="L104" i="35"/>
  <c r="M104" i="35"/>
  <c r="C114" i="38"/>
  <c r="L101" i="39"/>
  <c r="M101" i="39"/>
  <c r="H100" i="32"/>
  <c r="J100" i="33"/>
  <c r="D112" i="38"/>
  <c r="D168" i="32" s="1"/>
  <c r="B113" i="38"/>
  <c r="D110" i="39"/>
  <c r="D178" i="32" s="1"/>
  <c r="B111" i="39"/>
  <c r="I105" i="32"/>
  <c r="G110" i="34"/>
  <c r="I109" i="34"/>
  <c r="D111" i="34"/>
  <c r="D119" i="32" s="1"/>
  <c r="G109" i="37"/>
  <c r="I108" i="37"/>
  <c r="B114" i="35"/>
  <c r="D113" i="35"/>
  <c r="D133" i="32" s="1"/>
  <c r="G111" i="38"/>
  <c r="I110" i="38"/>
  <c r="F105" i="38"/>
  <c r="H104" i="38"/>
  <c r="J104" i="38" s="1"/>
  <c r="K104" i="38" s="1"/>
  <c r="C115" i="35"/>
  <c r="F106" i="35"/>
  <c r="H105" i="35"/>
  <c r="J105" i="35" s="1"/>
  <c r="K105" i="35" s="1"/>
  <c r="F103" i="39"/>
  <c r="H102" i="39"/>
  <c r="J102" i="39" s="1"/>
  <c r="K102" i="39" s="1"/>
  <c r="F101" i="32"/>
  <c r="F102" i="33"/>
  <c r="H101" i="33"/>
  <c r="D109" i="37"/>
  <c r="D153" i="32" s="1"/>
  <c r="B110" i="37"/>
  <c r="L100" i="37"/>
  <c r="M100" i="37"/>
  <c r="L102" i="34"/>
  <c r="M102" i="34"/>
  <c r="C113" i="34"/>
  <c r="B112" i="34"/>
  <c r="C114" i="34" l="1"/>
  <c r="B113" i="34"/>
  <c r="F106" i="38"/>
  <c r="H105" i="38"/>
  <c r="J105" i="38" s="1"/>
  <c r="K105" i="38" s="1"/>
  <c r="L102" i="39"/>
  <c r="M102" i="39"/>
  <c r="C116" i="35"/>
  <c r="G110" i="37"/>
  <c r="I109" i="37"/>
  <c r="G111" i="34"/>
  <c r="I110" i="34"/>
  <c r="D113" i="38"/>
  <c r="D169" i="32" s="1"/>
  <c r="B114" i="38"/>
  <c r="G109" i="36"/>
  <c r="I108" i="36"/>
  <c r="G111" i="35"/>
  <c r="I110" i="35"/>
  <c r="F103" i="37"/>
  <c r="H102" i="37"/>
  <c r="J102" i="37" s="1"/>
  <c r="K102" i="37" s="1"/>
  <c r="D109" i="36"/>
  <c r="D141" i="32" s="1"/>
  <c r="B110" i="36"/>
  <c r="H101" i="32"/>
  <c r="J101" i="33"/>
  <c r="D111" i="39"/>
  <c r="D179" i="32" s="1"/>
  <c r="B112" i="39"/>
  <c r="C111" i="36"/>
  <c r="L103" i="34"/>
  <c r="M103" i="34"/>
  <c r="I106" i="32"/>
  <c r="L99" i="33"/>
  <c r="L99" i="32" s="1"/>
  <c r="K99" i="32"/>
  <c r="M99" i="32" s="1"/>
  <c r="B18" i="31" s="1"/>
  <c r="M99" i="33"/>
  <c r="D111" i="33"/>
  <c r="D111" i="32" s="1"/>
  <c r="B111" i="32"/>
  <c r="B112" i="33"/>
  <c r="F104" i="39"/>
  <c r="H103" i="39"/>
  <c r="J103" i="39" s="1"/>
  <c r="K103" i="39" s="1"/>
  <c r="G112" i="38"/>
  <c r="I111" i="38"/>
  <c r="D112" i="34"/>
  <c r="D120" i="32" s="1"/>
  <c r="D110" i="37"/>
  <c r="D154" i="32" s="1"/>
  <c r="B111" i="37"/>
  <c r="F102" i="32"/>
  <c r="F103" i="33"/>
  <c r="H102" i="33"/>
  <c r="L105" i="35"/>
  <c r="M105" i="35"/>
  <c r="L104" i="38"/>
  <c r="M104" i="38"/>
  <c r="B115" i="35"/>
  <c r="D114" i="35"/>
  <c r="D134" i="32" s="1"/>
  <c r="J100" i="32"/>
  <c r="K100" i="33"/>
  <c r="C115" i="38"/>
  <c r="G110" i="39"/>
  <c r="I109" i="39"/>
  <c r="F102" i="36"/>
  <c r="H101" i="36"/>
  <c r="J101" i="36" s="1"/>
  <c r="K101" i="36" s="1"/>
  <c r="L101" i="36" s="1"/>
  <c r="F105" i="34"/>
  <c r="H104" i="34"/>
  <c r="J104" i="34" s="1"/>
  <c r="K104" i="34" s="1"/>
  <c r="F107" i="35"/>
  <c r="H106" i="35"/>
  <c r="J106" i="35" s="1"/>
  <c r="K106" i="35" s="1"/>
  <c r="C113" i="33"/>
  <c r="C112" i="32"/>
  <c r="C113" i="39"/>
  <c r="L101" i="37"/>
  <c r="M101" i="37"/>
  <c r="G107" i="32"/>
  <c r="G108" i="33"/>
  <c r="I107" i="33"/>
  <c r="C112" i="37"/>
  <c r="G108" i="32" l="1"/>
  <c r="G109" i="33"/>
  <c r="I108" i="33"/>
  <c r="L104" i="34"/>
  <c r="M104" i="34"/>
  <c r="L100" i="33"/>
  <c r="L100" i="32" s="1"/>
  <c r="K100" i="32"/>
  <c r="M100" i="32" s="1"/>
  <c r="M100" i="33"/>
  <c r="B116" i="35"/>
  <c r="D115" i="35"/>
  <c r="D135" i="32" s="1"/>
  <c r="D111" i="37"/>
  <c r="D155" i="32" s="1"/>
  <c r="B112" i="37"/>
  <c r="F105" i="39"/>
  <c r="H104" i="39"/>
  <c r="J104" i="39" s="1"/>
  <c r="K104" i="39" s="1"/>
  <c r="B111" i="36"/>
  <c r="D110" i="36"/>
  <c r="D142" i="32" s="1"/>
  <c r="D114" i="38"/>
  <c r="D170" i="32" s="1"/>
  <c r="B115" i="38"/>
  <c r="G112" i="34"/>
  <c r="I111" i="34"/>
  <c r="F107" i="38"/>
  <c r="H106" i="38"/>
  <c r="J106" i="38" s="1"/>
  <c r="K106" i="38" s="1"/>
  <c r="C113" i="37"/>
  <c r="C114" i="39"/>
  <c r="G113" i="38"/>
  <c r="I112" i="38"/>
  <c r="F106" i="34"/>
  <c r="H105" i="34"/>
  <c r="J105" i="34" s="1"/>
  <c r="K105" i="34" s="1"/>
  <c r="G111" i="39"/>
  <c r="I110" i="39"/>
  <c r="H102" i="32"/>
  <c r="J102" i="33"/>
  <c r="B112" i="32"/>
  <c r="B113" i="33"/>
  <c r="K101" i="33"/>
  <c r="J101" i="32"/>
  <c r="G112" i="35"/>
  <c r="I111" i="35"/>
  <c r="D18" i="31"/>
  <c r="C18" i="31"/>
  <c r="C112" i="36"/>
  <c r="D112" i="39"/>
  <c r="D180" i="32" s="1"/>
  <c r="B113" i="39"/>
  <c r="L102" i="37"/>
  <c r="M102" i="37"/>
  <c r="G111" i="37"/>
  <c r="I110" i="37"/>
  <c r="C117" i="35"/>
  <c r="D113" i="34"/>
  <c r="D121" i="32" s="1"/>
  <c r="L106" i="35"/>
  <c r="M106" i="35"/>
  <c r="C116" i="38"/>
  <c r="F103" i="32"/>
  <c r="F104" i="33"/>
  <c r="H103" i="33"/>
  <c r="I107" i="32"/>
  <c r="C114" i="33"/>
  <c r="C113" i="32"/>
  <c r="F108" i="35"/>
  <c r="H107" i="35"/>
  <c r="J107" i="35" s="1"/>
  <c r="K107" i="35" s="1"/>
  <c r="F103" i="36"/>
  <c r="H102" i="36"/>
  <c r="J102" i="36" s="1"/>
  <c r="K102" i="36" s="1"/>
  <c r="L102" i="36" s="1"/>
  <c r="L103" i="39"/>
  <c r="M103" i="39"/>
  <c r="F104" i="37"/>
  <c r="H103" i="37"/>
  <c r="J103" i="37" s="1"/>
  <c r="K103" i="37" s="1"/>
  <c r="G110" i="36"/>
  <c r="I109" i="36"/>
  <c r="L105" i="38"/>
  <c r="M105" i="38"/>
  <c r="C115" i="34"/>
  <c r="B114" i="34"/>
  <c r="L103" i="37" l="1"/>
  <c r="M103" i="37"/>
  <c r="F104" i="36"/>
  <c r="H103" i="36"/>
  <c r="J103" i="36" s="1"/>
  <c r="K103" i="36" s="1"/>
  <c r="L103" i="36" s="1"/>
  <c r="G111" i="36"/>
  <c r="I110" i="36"/>
  <c r="F109" i="35"/>
  <c r="H108" i="35"/>
  <c r="J108" i="35" s="1"/>
  <c r="K108" i="35" s="1"/>
  <c r="F104" i="32"/>
  <c r="F105" i="33"/>
  <c r="H104" i="33"/>
  <c r="D113" i="39"/>
  <c r="D181" i="32" s="1"/>
  <c r="B114" i="39"/>
  <c r="E18" i="31"/>
  <c r="F18" i="31" s="1"/>
  <c r="B114" i="33"/>
  <c r="B113" i="32"/>
  <c r="G112" i="39"/>
  <c r="I111" i="39"/>
  <c r="G114" i="38"/>
  <c r="I113" i="38"/>
  <c r="G113" i="34"/>
  <c r="I112" i="34"/>
  <c r="B112" i="36"/>
  <c r="D111" i="36"/>
  <c r="D143" i="32" s="1"/>
  <c r="C118" i="35"/>
  <c r="G113" i="35"/>
  <c r="I112" i="35"/>
  <c r="K102" i="33"/>
  <c r="J102" i="32"/>
  <c r="L105" i="34"/>
  <c r="M105" i="34"/>
  <c r="C115" i="39"/>
  <c r="L106" i="38"/>
  <c r="M106" i="38"/>
  <c r="B113" i="37"/>
  <c r="D112" i="37"/>
  <c r="D156" i="32" s="1"/>
  <c r="B117" i="35"/>
  <c r="D116" i="35"/>
  <c r="D136" i="32" s="1"/>
  <c r="I108" i="32"/>
  <c r="D114" i="34"/>
  <c r="D122" i="32" s="1"/>
  <c r="F105" i="37"/>
  <c r="H104" i="37"/>
  <c r="J104" i="37" s="1"/>
  <c r="K104" i="37" s="1"/>
  <c r="C117" i="38"/>
  <c r="F107" i="34"/>
  <c r="H106" i="34"/>
  <c r="J106" i="34" s="1"/>
  <c r="K106" i="34" s="1"/>
  <c r="F108" i="38"/>
  <c r="H107" i="38"/>
  <c r="J107" i="38" s="1"/>
  <c r="K107" i="38" s="1"/>
  <c r="D115" i="38"/>
  <c r="D171" i="32" s="1"/>
  <c r="B116" i="38"/>
  <c r="L104" i="39"/>
  <c r="M104" i="39"/>
  <c r="G110" i="33"/>
  <c r="G109" i="32"/>
  <c r="I109" i="33"/>
  <c r="C116" i="34"/>
  <c r="B115" i="34"/>
  <c r="L107" i="35"/>
  <c r="M107" i="35"/>
  <c r="C115" i="33"/>
  <c r="C114" i="32"/>
  <c r="H103" i="32"/>
  <c r="J103" i="33"/>
  <c r="G112" i="37"/>
  <c r="I111" i="37"/>
  <c r="C113" i="36"/>
  <c r="L101" i="33"/>
  <c r="L101" i="32" s="1"/>
  <c r="K101" i="32"/>
  <c r="M101" i="32" s="1"/>
  <c r="M101" i="33"/>
  <c r="C114" i="37"/>
  <c r="F106" i="39"/>
  <c r="H105" i="39"/>
  <c r="J105" i="39" s="1"/>
  <c r="K105" i="39" s="1"/>
  <c r="C117" i="34" l="1"/>
  <c r="B116" i="34"/>
  <c r="F108" i="34"/>
  <c r="H107" i="34"/>
  <c r="J107" i="34" s="1"/>
  <c r="K107" i="34" s="1"/>
  <c r="C116" i="39"/>
  <c r="G115" i="38"/>
  <c r="I114" i="38"/>
  <c r="H104" i="32"/>
  <c r="J104" i="33"/>
  <c r="L108" i="35"/>
  <c r="M108" i="35"/>
  <c r="L105" i="39"/>
  <c r="M105" i="39"/>
  <c r="I109" i="32"/>
  <c r="L107" i="38"/>
  <c r="M107" i="38"/>
  <c r="L104" i="37"/>
  <c r="M104" i="37"/>
  <c r="B114" i="37"/>
  <c r="D113" i="37"/>
  <c r="D157" i="32" s="1"/>
  <c r="L102" i="33"/>
  <c r="L102" i="32" s="1"/>
  <c r="K102" i="32"/>
  <c r="M102" i="32" s="1"/>
  <c r="M102" i="33"/>
  <c r="C119" i="35"/>
  <c r="B115" i="33"/>
  <c r="B114" i="32"/>
  <c r="F105" i="32"/>
  <c r="F106" i="33"/>
  <c r="H105" i="33"/>
  <c r="F110" i="35"/>
  <c r="H109" i="35"/>
  <c r="J109" i="35" s="1"/>
  <c r="K109" i="35" s="1"/>
  <c r="F105" i="36"/>
  <c r="H104" i="36"/>
  <c r="J104" i="36" s="1"/>
  <c r="K104" i="36" s="1"/>
  <c r="L104" i="36" s="1"/>
  <c r="G113" i="37"/>
  <c r="I112" i="37"/>
  <c r="F107" i="39"/>
  <c r="H106" i="39"/>
  <c r="J106" i="39" s="1"/>
  <c r="K106" i="39" s="1"/>
  <c r="C115" i="37"/>
  <c r="C114" i="36"/>
  <c r="K103" i="33"/>
  <c r="J103" i="32"/>
  <c r="C116" i="33"/>
  <c r="C115" i="32"/>
  <c r="D116" i="38"/>
  <c r="D172" i="32" s="1"/>
  <c r="B117" i="38"/>
  <c r="F109" i="38"/>
  <c r="H108" i="38"/>
  <c r="J108" i="38" s="1"/>
  <c r="K108" i="38" s="1"/>
  <c r="F106" i="37"/>
  <c r="H105" i="37"/>
  <c r="J105" i="37" s="1"/>
  <c r="K105" i="37" s="1"/>
  <c r="B118" i="35"/>
  <c r="D117" i="35"/>
  <c r="D137" i="32" s="1"/>
  <c r="G114" i="34"/>
  <c r="I113" i="34"/>
  <c r="G113" i="39"/>
  <c r="I112" i="39"/>
  <c r="D114" i="39"/>
  <c r="D182" i="32" s="1"/>
  <c r="B115" i="39"/>
  <c r="D115" i="34"/>
  <c r="D123" i="32" s="1"/>
  <c r="G111" i="33"/>
  <c r="G110" i="32"/>
  <c r="I110" i="33"/>
  <c r="L106" i="34"/>
  <c r="M106" i="34"/>
  <c r="C118" i="38"/>
  <c r="G114" i="35"/>
  <c r="I113" i="35"/>
  <c r="B113" i="36"/>
  <c r="D112" i="36"/>
  <c r="D144" i="32" s="1"/>
  <c r="G112" i="36"/>
  <c r="I111" i="36"/>
  <c r="G114" i="39" l="1"/>
  <c r="I113" i="39"/>
  <c r="B119" i="35"/>
  <c r="F110" i="38"/>
  <c r="H109" i="38"/>
  <c r="J109" i="38" s="1"/>
  <c r="K109" i="38" s="1"/>
  <c r="L103" i="33"/>
  <c r="L103" i="32" s="1"/>
  <c r="K103" i="32"/>
  <c r="M103" i="32" s="1"/>
  <c r="M103" i="33"/>
  <c r="C116" i="37"/>
  <c r="G114" i="37"/>
  <c r="I113" i="37"/>
  <c r="F111" i="35"/>
  <c r="H110" i="35"/>
  <c r="J110" i="35" s="1"/>
  <c r="K110" i="35" s="1"/>
  <c r="D116" i="34"/>
  <c r="D124" i="32" s="1"/>
  <c r="D115" i="39"/>
  <c r="D183" i="32" s="1"/>
  <c r="B116" i="39"/>
  <c r="L105" i="37"/>
  <c r="M105" i="37"/>
  <c r="C117" i="33"/>
  <c r="C116" i="32"/>
  <c r="C115" i="36"/>
  <c r="L106" i="39"/>
  <c r="M106" i="39"/>
  <c r="H105" i="32"/>
  <c r="J105" i="33"/>
  <c r="B116" i="33"/>
  <c r="B115" i="32"/>
  <c r="D114" i="37"/>
  <c r="D158" i="32" s="1"/>
  <c r="B115" i="37"/>
  <c r="L107" i="34"/>
  <c r="M107" i="34"/>
  <c r="C118" i="34"/>
  <c r="B117" i="34"/>
  <c r="G112" i="33"/>
  <c r="G111" i="32"/>
  <c r="I111" i="33"/>
  <c r="G115" i="35"/>
  <c r="I114" i="35"/>
  <c r="G113" i="36"/>
  <c r="I112" i="36"/>
  <c r="D113" i="36"/>
  <c r="D145" i="32" s="1"/>
  <c r="B114" i="36"/>
  <c r="C119" i="38"/>
  <c r="I110" i="32"/>
  <c r="G115" i="34"/>
  <c r="I114" i="34"/>
  <c r="F107" i="37"/>
  <c r="H106" i="37"/>
  <c r="J106" i="37" s="1"/>
  <c r="K106" i="37" s="1"/>
  <c r="D117" i="38"/>
  <c r="D173" i="32" s="1"/>
  <c r="B118" i="38"/>
  <c r="F108" i="39"/>
  <c r="H107" i="39"/>
  <c r="J107" i="39" s="1"/>
  <c r="K107" i="39" s="1"/>
  <c r="F106" i="36"/>
  <c r="H105" i="36"/>
  <c r="J105" i="36" s="1"/>
  <c r="K105" i="36" s="1"/>
  <c r="L105" i="36" s="1"/>
  <c r="F107" i="33"/>
  <c r="F106" i="32"/>
  <c r="H106" i="33"/>
  <c r="G116" i="38"/>
  <c r="I115" i="38"/>
  <c r="F109" i="34"/>
  <c r="H108" i="34"/>
  <c r="J108" i="34" s="1"/>
  <c r="K108" i="34" s="1"/>
  <c r="L108" i="38"/>
  <c r="M108" i="38"/>
  <c r="L109" i="35"/>
  <c r="M109" i="35"/>
  <c r="C120" i="35"/>
  <c r="J104" i="32"/>
  <c r="K104" i="33"/>
  <c r="C117" i="39"/>
  <c r="L108" i="34" l="1"/>
  <c r="M108" i="34"/>
  <c r="C119" i="34"/>
  <c r="B118" i="34"/>
  <c r="C116" i="36"/>
  <c r="G115" i="37"/>
  <c r="I114" i="37"/>
  <c r="L104" i="33"/>
  <c r="L104" i="32" s="1"/>
  <c r="K104" i="32"/>
  <c r="M104" i="32" s="1"/>
  <c r="M104" i="33"/>
  <c r="H106" i="32"/>
  <c r="J106" i="33"/>
  <c r="F108" i="37"/>
  <c r="H107" i="37"/>
  <c r="J107" i="37" s="1"/>
  <c r="K107" i="37" s="1"/>
  <c r="F110" i="34"/>
  <c r="H109" i="34"/>
  <c r="J109" i="34" s="1"/>
  <c r="K109" i="34" s="1"/>
  <c r="L107" i="39"/>
  <c r="M107" i="39"/>
  <c r="B115" i="36"/>
  <c r="D114" i="36"/>
  <c r="D146" i="32" s="1"/>
  <c r="G113" i="33"/>
  <c r="G112" i="32"/>
  <c r="I112" i="33"/>
  <c r="D116" i="39"/>
  <c r="D184" i="32" s="1"/>
  <c r="B117" i="39"/>
  <c r="L110" i="35"/>
  <c r="M110" i="35"/>
  <c r="B120" i="35"/>
  <c r="C118" i="39"/>
  <c r="F108" i="33"/>
  <c r="F107" i="32"/>
  <c r="H107" i="33"/>
  <c r="F109" i="39"/>
  <c r="H108" i="39"/>
  <c r="J108" i="39" s="1"/>
  <c r="K108" i="39" s="1"/>
  <c r="G116" i="34"/>
  <c r="I115" i="34"/>
  <c r="C120" i="38"/>
  <c r="G116" i="35"/>
  <c r="I115" i="35"/>
  <c r="D115" i="37"/>
  <c r="D159" i="32" s="1"/>
  <c r="B116" i="37"/>
  <c r="B116" i="32"/>
  <c r="B117" i="33"/>
  <c r="F112" i="35"/>
  <c r="H111" i="35"/>
  <c r="J111" i="35" s="1"/>
  <c r="K111" i="35" s="1"/>
  <c r="C117" i="37"/>
  <c r="L109" i="38"/>
  <c r="M109" i="38"/>
  <c r="F107" i="36"/>
  <c r="H106" i="36"/>
  <c r="J106" i="36" s="1"/>
  <c r="K106" i="36" s="1"/>
  <c r="L106" i="36" s="1"/>
  <c r="G114" i="36"/>
  <c r="I113" i="36"/>
  <c r="C121" i="35"/>
  <c r="G117" i="38"/>
  <c r="I116" i="38"/>
  <c r="B119" i="38"/>
  <c r="L106" i="37"/>
  <c r="M106" i="37"/>
  <c r="I111" i="32"/>
  <c r="D117" i="34"/>
  <c r="D125" i="32" s="1"/>
  <c r="K105" i="33"/>
  <c r="J105" i="32"/>
  <c r="C118" i="33"/>
  <c r="C117" i="32"/>
  <c r="F111" i="38"/>
  <c r="H110" i="38"/>
  <c r="J110" i="38" s="1"/>
  <c r="K110" i="38" s="1"/>
  <c r="G115" i="39"/>
  <c r="I114" i="39"/>
  <c r="L105" i="33" l="1"/>
  <c r="L105" i="32" s="1"/>
  <c r="K105" i="32"/>
  <c r="M105" i="32" s="1"/>
  <c r="M105" i="33"/>
  <c r="B120" i="38"/>
  <c r="F108" i="36"/>
  <c r="H107" i="36"/>
  <c r="J107" i="36" s="1"/>
  <c r="K107" i="36" s="1"/>
  <c r="L107" i="36" s="1"/>
  <c r="F113" i="35"/>
  <c r="H112" i="35"/>
  <c r="J112" i="35" s="1"/>
  <c r="K112" i="35" s="1"/>
  <c r="G117" i="35"/>
  <c r="I116" i="35"/>
  <c r="G117" i="34"/>
  <c r="I116" i="34"/>
  <c r="D115" i="36"/>
  <c r="D147" i="32" s="1"/>
  <c r="B116" i="36"/>
  <c r="F109" i="37"/>
  <c r="H108" i="37"/>
  <c r="J108" i="37" s="1"/>
  <c r="K108" i="37" s="1"/>
  <c r="C120" i="34"/>
  <c r="B119" i="34"/>
  <c r="F112" i="38"/>
  <c r="H111" i="38"/>
  <c r="J111" i="38" s="1"/>
  <c r="K111" i="38" s="1"/>
  <c r="C121" i="38"/>
  <c r="I112" i="32"/>
  <c r="C117" i="36"/>
  <c r="B117" i="37"/>
  <c r="D116" i="37"/>
  <c r="D160" i="32" s="1"/>
  <c r="F108" i="32"/>
  <c r="F109" i="33"/>
  <c r="H108" i="33"/>
  <c r="J106" i="32"/>
  <c r="K106" i="33"/>
  <c r="C119" i="33"/>
  <c r="C118" i="32"/>
  <c r="G118" i="38"/>
  <c r="I117" i="38"/>
  <c r="G115" i="36"/>
  <c r="I114" i="36"/>
  <c r="B118" i="33"/>
  <c r="B117" i="32"/>
  <c r="F110" i="39"/>
  <c r="H109" i="39"/>
  <c r="J109" i="39" s="1"/>
  <c r="K109" i="39" s="1"/>
  <c r="B121" i="35"/>
  <c r="F111" i="34"/>
  <c r="H110" i="34"/>
  <c r="J110" i="34" s="1"/>
  <c r="K110" i="34" s="1"/>
  <c r="L110" i="38"/>
  <c r="M110" i="38"/>
  <c r="C118" i="37"/>
  <c r="L108" i="39"/>
  <c r="M108" i="39"/>
  <c r="L109" i="34"/>
  <c r="M109" i="34"/>
  <c r="G116" i="39"/>
  <c r="I115" i="39"/>
  <c r="C122" i="35"/>
  <c r="L111" i="35"/>
  <c r="M111" i="35"/>
  <c r="H107" i="32"/>
  <c r="J107" i="33"/>
  <c r="D117" i="39"/>
  <c r="D185" i="32" s="1"/>
  <c r="B118" i="39"/>
  <c r="G114" i="33"/>
  <c r="G113" i="32"/>
  <c r="I113" i="33"/>
  <c r="L107" i="37"/>
  <c r="M107" i="37"/>
  <c r="G116" i="37"/>
  <c r="I115" i="37"/>
  <c r="G114" i="32" l="1"/>
  <c r="G115" i="33"/>
  <c r="I114" i="33"/>
  <c r="G117" i="39"/>
  <c r="I116" i="39"/>
  <c r="B122" i="35"/>
  <c r="G116" i="36"/>
  <c r="I115" i="36"/>
  <c r="L106" i="33"/>
  <c r="L106" i="32" s="1"/>
  <c r="K106" i="32"/>
  <c r="M106" i="32" s="1"/>
  <c r="M106" i="33"/>
  <c r="L111" i="38"/>
  <c r="M111" i="38"/>
  <c r="G118" i="34"/>
  <c r="I117" i="34"/>
  <c r="F114" i="35"/>
  <c r="H113" i="35"/>
  <c r="J113" i="35" s="1"/>
  <c r="K113" i="35" s="1"/>
  <c r="B121" i="38"/>
  <c r="C123" i="35"/>
  <c r="C119" i="32"/>
  <c r="C120" i="33"/>
  <c r="F113" i="38"/>
  <c r="H112" i="38"/>
  <c r="J112" i="38" s="1"/>
  <c r="K112" i="38" s="1"/>
  <c r="L108" i="37"/>
  <c r="M108" i="37"/>
  <c r="K107" i="33"/>
  <c r="J107" i="32"/>
  <c r="C119" i="37"/>
  <c r="I113" i="32"/>
  <c r="L110" i="34"/>
  <c r="M110" i="34"/>
  <c r="L109" i="39"/>
  <c r="M109" i="39"/>
  <c r="B119" i="33"/>
  <c r="B118" i="32"/>
  <c r="G119" i="38"/>
  <c r="I118" i="38"/>
  <c r="H108" i="32"/>
  <c r="J108" i="33"/>
  <c r="C118" i="36"/>
  <c r="F110" i="37"/>
  <c r="H109" i="37"/>
  <c r="J109" i="37" s="1"/>
  <c r="K109" i="37" s="1"/>
  <c r="G118" i="35"/>
  <c r="I117" i="35"/>
  <c r="F109" i="36"/>
  <c r="H108" i="36"/>
  <c r="J108" i="36" s="1"/>
  <c r="K108" i="36" s="1"/>
  <c r="L108" i="36" s="1"/>
  <c r="G117" i="37"/>
  <c r="I116" i="37"/>
  <c r="F112" i="34"/>
  <c r="H111" i="34"/>
  <c r="J111" i="34" s="1"/>
  <c r="K111" i="34" s="1"/>
  <c r="F111" i="39"/>
  <c r="H110" i="39"/>
  <c r="J110" i="39" s="1"/>
  <c r="K110" i="39" s="1"/>
  <c r="F109" i="32"/>
  <c r="F110" i="33"/>
  <c r="H109" i="33"/>
  <c r="D117" i="37"/>
  <c r="D161" i="32" s="1"/>
  <c r="B118" i="37"/>
  <c r="C122" i="38"/>
  <c r="B120" i="34"/>
  <c r="C121" i="34"/>
  <c r="D116" i="36"/>
  <c r="D148" i="32" s="1"/>
  <c r="B117" i="36"/>
  <c r="L112" i="35"/>
  <c r="M112" i="35"/>
  <c r="D117" i="36" l="1"/>
  <c r="D149" i="32" s="1"/>
  <c r="B118" i="36"/>
  <c r="B119" i="37"/>
  <c r="H109" i="32"/>
  <c r="J109" i="33"/>
  <c r="L110" i="39"/>
  <c r="M110" i="39"/>
  <c r="L109" i="37"/>
  <c r="M109" i="37"/>
  <c r="G120" i="38"/>
  <c r="I119" i="38"/>
  <c r="C121" i="33"/>
  <c r="C120" i="32"/>
  <c r="B122" i="38"/>
  <c r="G119" i="34"/>
  <c r="I118" i="34"/>
  <c r="G117" i="36"/>
  <c r="I116" i="36"/>
  <c r="G118" i="39"/>
  <c r="I118" i="39" s="1"/>
  <c r="I117" i="39"/>
  <c r="F111" i="33"/>
  <c r="F110" i="32"/>
  <c r="H110" i="33"/>
  <c r="F112" i="39"/>
  <c r="H111" i="39"/>
  <c r="J111" i="39" s="1"/>
  <c r="K111" i="39" s="1"/>
  <c r="F110" i="36"/>
  <c r="H109" i="36"/>
  <c r="J109" i="36" s="1"/>
  <c r="K109" i="36" s="1"/>
  <c r="L109" i="36" s="1"/>
  <c r="F111" i="37"/>
  <c r="H110" i="37"/>
  <c r="J110" i="37" s="1"/>
  <c r="K110" i="37" s="1"/>
  <c r="K108" i="33"/>
  <c r="J108" i="32"/>
  <c r="L107" i="33"/>
  <c r="L107" i="32" s="1"/>
  <c r="K107" i="32"/>
  <c r="M107" i="32" s="1"/>
  <c r="M107" i="33"/>
  <c r="C124" i="35"/>
  <c r="L113" i="35"/>
  <c r="M113" i="35"/>
  <c r="B123" i="35"/>
  <c r="I114" i="32"/>
  <c r="C123" i="38"/>
  <c r="L111" i="34"/>
  <c r="M111" i="34"/>
  <c r="B120" i="33"/>
  <c r="B119" i="32"/>
  <c r="L112" i="38"/>
  <c r="M112" i="38"/>
  <c r="F115" i="35"/>
  <c r="H114" i="35"/>
  <c r="J114" i="35" s="1"/>
  <c r="K114" i="35" s="1"/>
  <c r="G115" i="32"/>
  <c r="G116" i="33"/>
  <c r="I115" i="33"/>
  <c r="C122" i="34"/>
  <c r="B121" i="34"/>
  <c r="F113" i="34"/>
  <c r="H112" i="34"/>
  <c r="J112" i="34" s="1"/>
  <c r="K112" i="34" s="1"/>
  <c r="G118" i="37"/>
  <c r="I117" i="37"/>
  <c r="G119" i="35"/>
  <c r="I118" i="35"/>
  <c r="C119" i="36"/>
  <c r="C120" i="37"/>
  <c r="F114" i="38"/>
  <c r="H113" i="38"/>
  <c r="J113" i="38" s="1"/>
  <c r="K113" i="38" s="1"/>
  <c r="F115" i="38" l="1"/>
  <c r="H114" i="38"/>
  <c r="J114" i="38" s="1"/>
  <c r="K114" i="38" s="1"/>
  <c r="L112" i="34"/>
  <c r="M112" i="34"/>
  <c r="C123" i="34"/>
  <c r="B122" i="34"/>
  <c r="L114" i="35"/>
  <c r="M114" i="35"/>
  <c r="L108" i="33"/>
  <c r="L108" i="32" s="1"/>
  <c r="K108" i="32"/>
  <c r="M108" i="32" s="1"/>
  <c r="M108" i="33"/>
  <c r="F111" i="36"/>
  <c r="H110" i="36"/>
  <c r="J110" i="36" s="1"/>
  <c r="K110" i="36" s="1"/>
  <c r="L110" i="36" s="1"/>
  <c r="B119" i="36"/>
  <c r="G120" i="35"/>
  <c r="I119" i="35"/>
  <c r="F114" i="34"/>
  <c r="H113" i="34"/>
  <c r="J113" i="34" s="1"/>
  <c r="K113" i="34" s="1"/>
  <c r="I115" i="32"/>
  <c r="F116" i="35"/>
  <c r="H115" i="35"/>
  <c r="J115" i="35" s="1"/>
  <c r="K115" i="35" s="1"/>
  <c r="L110" i="37"/>
  <c r="M110" i="37"/>
  <c r="L111" i="39"/>
  <c r="M111" i="39"/>
  <c r="F112" i="33"/>
  <c r="F111" i="32"/>
  <c r="H111" i="33"/>
  <c r="G118" i="36"/>
  <c r="I117" i="36"/>
  <c r="B123" i="38"/>
  <c r="B120" i="37"/>
  <c r="C121" i="37"/>
  <c r="G117" i="33"/>
  <c r="G116" i="32"/>
  <c r="I116" i="33"/>
  <c r="B121" i="33"/>
  <c r="B120" i="32"/>
  <c r="C124" i="38"/>
  <c r="F112" i="37"/>
  <c r="H111" i="37"/>
  <c r="J111" i="37" s="1"/>
  <c r="K111" i="37" s="1"/>
  <c r="F113" i="39"/>
  <c r="H112" i="39"/>
  <c r="J112" i="39" s="1"/>
  <c r="K112" i="39" s="1"/>
  <c r="G121" i="38"/>
  <c r="I120" i="38"/>
  <c r="L113" i="38"/>
  <c r="M113" i="38"/>
  <c r="C120" i="36"/>
  <c r="G119" i="37"/>
  <c r="I118" i="37"/>
  <c r="B124" i="35"/>
  <c r="C125" i="35"/>
  <c r="H110" i="32"/>
  <c r="J110" i="33"/>
  <c r="G120" i="34"/>
  <c r="I119" i="34"/>
  <c r="C122" i="33"/>
  <c r="C121" i="32"/>
  <c r="K109" i="33"/>
  <c r="J109" i="32"/>
  <c r="C121" i="36" l="1"/>
  <c r="G122" i="38"/>
  <c r="I121" i="38"/>
  <c r="F113" i="37"/>
  <c r="H112" i="37"/>
  <c r="J112" i="37" s="1"/>
  <c r="K112" i="37" s="1"/>
  <c r="G118" i="33"/>
  <c r="G117" i="32"/>
  <c r="I117" i="33"/>
  <c r="C122" i="37"/>
  <c r="B121" i="37"/>
  <c r="F115" i="34"/>
  <c r="H114" i="34"/>
  <c r="J114" i="34" s="1"/>
  <c r="K114" i="34" s="1"/>
  <c r="B120" i="36"/>
  <c r="L109" i="33"/>
  <c r="L109" i="32" s="1"/>
  <c r="K109" i="32"/>
  <c r="M109" i="32" s="1"/>
  <c r="M109" i="33"/>
  <c r="K110" i="33"/>
  <c r="J110" i="32"/>
  <c r="B125" i="35"/>
  <c r="L112" i="39"/>
  <c r="M112" i="39"/>
  <c r="C125" i="38"/>
  <c r="B122" i="33"/>
  <c r="B121" i="32"/>
  <c r="F113" i="33"/>
  <c r="F112" i="32"/>
  <c r="H112" i="33"/>
  <c r="G121" i="34"/>
  <c r="I120" i="34"/>
  <c r="G120" i="37"/>
  <c r="I119" i="37"/>
  <c r="F114" i="39"/>
  <c r="H113" i="39"/>
  <c r="J113" i="39" s="1"/>
  <c r="K113" i="39" s="1"/>
  <c r="I116" i="32"/>
  <c r="G119" i="36"/>
  <c r="I118" i="36"/>
  <c r="L115" i="35"/>
  <c r="M115" i="35"/>
  <c r="G121" i="35"/>
  <c r="I120" i="35"/>
  <c r="L114" i="38"/>
  <c r="M114" i="38"/>
  <c r="C123" i="33"/>
  <c r="C122" i="32"/>
  <c r="C126" i="35"/>
  <c r="L111" i="37"/>
  <c r="M111" i="37"/>
  <c r="B124" i="38"/>
  <c r="H111" i="32"/>
  <c r="J111" i="33"/>
  <c r="F117" i="35"/>
  <c r="H116" i="35"/>
  <c r="J116" i="35" s="1"/>
  <c r="K116" i="35" s="1"/>
  <c r="L113" i="34"/>
  <c r="M113" i="34"/>
  <c r="F112" i="36"/>
  <c r="H111" i="36"/>
  <c r="J111" i="36" s="1"/>
  <c r="K111" i="36" s="1"/>
  <c r="L111" i="36" s="1"/>
  <c r="C124" i="34"/>
  <c r="B123" i="34"/>
  <c r="F116" i="38"/>
  <c r="H115" i="38"/>
  <c r="J115" i="38" s="1"/>
  <c r="K115" i="38" s="1"/>
  <c r="L115" i="38" l="1"/>
  <c r="M115" i="38"/>
  <c r="G122" i="35"/>
  <c r="I121" i="35"/>
  <c r="G120" i="36"/>
  <c r="I119" i="36"/>
  <c r="L113" i="39"/>
  <c r="M113" i="39"/>
  <c r="H112" i="32"/>
  <c r="J112" i="33"/>
  <c r="L110" i="33"/>
  <c r="L110" i="32" s="1"/>
  <c r="K110" i="32"/>
  <c r="M110" i="32" s="1"/>
  <c r="M110" i="33"/>
  <c r="L114" i="34"/>
  <c r="M114" i="34"/>
  <c r="L116" i="35"/>
  <c r="M116" i="35"/>
  <c r="F115" i="39"/>
  <c r="H114" i="39"/>
  <c r="J114" i="39" s="1"/>
  <c r="K114" i="39" s="1"/>
  <c r="G122" i="34"/>
  <c r="I121" i="34"/>
  <c r="B126" i="35"/>
  <c r="F116" i="34"/>
  <c r="H115" i="34"/>
  <c r="J115" i="34" s="1"/>
  <c r="K115" i="34" s="1"/>
  <c r="C123" i="37"/>
  <c r="G118" i="32"/>
  <c r="G119" i="33"/>
  <c r="I118" i="33"/>
  <c r="G123" i="38"/>
  <c r="I122" i="38"/>
  <c r="B125" i="38"/>
  <c r="F118" i="35"/>
  <c r="H117" i="35"/>
  <c r="J117" i="35" s="1"/>
  <c r="K117" i="35" s="1"/>
  <c r="D118" i="35"/>
  <c r="D138" i="32" s="1"/>
  <c r="F114" i="33"/>
  <c r="F113" i="32"/>
  <c r="H113" i="33"/>
  <c r="B123" i="33"/>
  <c r="B122" i="32"/>
  <c r="B121" i="36"/>
  <c r="L112" i="37"/>
  <c r="M112" i="37"/>
  <c r="C127" i="35"/>
  <c r="F117" i="38"/>
  <c r="H116" i="38"/>
  <c r="J116" i="38" s="1"/>
  <c r="K116" i="38" s="1"/>
  <c r="F113" i="36"/>
  <c r="H112" i="36"/>
  <c r="J112" i="36" s="1"/>
  <c r="K112" i="36" s="1"/>
  <c r="L112" i="36" s="1"/>
  <c r="B124" i="34"/>
  <c r="C125" i="34"/>
  <c r="K111" i="33"/>
  <c r="J111" i="32"/>
  <c r="C123" i="32"/>
  <c r="C124" i="33"/>
  <c r="G121" i="37"/>
  <c r="I120" i="37"/>
  <c r="C126" i="38"/>
  <c r="B122" i="37"/>
  <c r="I117" i="32"/>
  <c r="F114" i="37"/>
  <c r="H113" i="37"/>
  <c r="J113" i="37" s="1"/>
  <c r="K113" i="37" s="1"/>
  <c r="C122" i="36"/>
  <c r="C127" i="38" l="1"/>
  <c r="C126" i="34"/>
  <c r="B125" i="34"/>
  <c r="F114" i="36"/>
  <c r="H113" i="36"/>
  <c r="J113" i="36" s="1"/>
  <c r="K113" i="36" s="1"/>
  <c r="L113" i="36" s="1"/>
  <c r="C128" i="35"/>
  <c r="B122" i="36"/>
  <c r="H113" i="32"/>
  <c r="J113" i="33"/>
  <c r="F119" i="35"/>
  <c r="H118" i="35"/>
  <c r="J118" i="35" s="1"/>
  <c r="K118" i="35" s="1"/>
  <c r="F117" i="34"/>
  <c r="H116" i="34"/>
  <c r="J116" i="34" s="1"/>
  <c r="K116" i="34" s="1"/>
  <c r="G123" i="34"/>
  <c r="I122" i="34"/>
  <c r="J112" i="32"/>
  <c r="K112" i="33"/>
  <c r="L116" i="38"/>
  <c r="M116" i="38"/>
  <c r="G124" i="38"/>
  <c r="I123" i="38"/>
  <c r="B127" i="35"/>
  <c r="L114" i="39"/>
  <c r="M114" i="39"/>
  <c r="G123" i="35"/>
  <c r="I122" i="35"/>
  <c r="L113" i="37"/>
  <c r="M113" i="37"/>
  <c r="F115" i="37"/>
  <c r="H114" i="37"/>
  <c r="J114" i="37" s="1"/>
  <c r="K114" i="37" s="1"/>
  <c r="D118" i="38"/>
  <c r="D174" i="32" s="1"/>
  <c r="H117" i="38"/>
  <c r="J117" i="38" s="1"/>
  <c r="K117" i="38" s="1"/>
  <c r="B123" i="32"/>
  <c r="B124" i="33"/>
  <c r="F115" i="33"/>
  <c r="F114" i="32"/>
  <c r="H114" i="33"/>
  <c r="B126" i="38"/>
  <c r="I118" i="32"/>
  <c r="C124" i="37"/>
  <c r="F116" i="39"/>
  <c r="H115" i="39"/>
  <c r="J115" i="39" s="1"/>
  <c r="K115" i="39" s="1"/>
  <c r="C123" i="36"/>
  <c r="B123" i="37"/>
  <c r="G122" i="37"/>
  <c r="I121" i="37"/>
  <c r="C124" i="32"/>
  <c r="C125" i="33"/>
  <c r="L111" i="33"/>
  <c r="L111" i="32" s="1"/>
  <c r="K111" i="32"/>
  <c r="M111" i="32" s="1"/>
  <c r="B19" i="31" s="1"/>
  <c r="M111" i="33"/>
  <c r="L117" i="35"/>
  <c r="M117" i="35"/>
  <c r="G119" i="32"/>
  <c r="G120" i="33"/>
  <c r="I119" i="33"/>
  <c r="L115" i="34"/>
  <c r="M115" i="34"/>
  <c r="G121" i="36"/>
  <c r="I120" i="36"/>
  <c r="L115" i="39" l="1"/>
  <c r="M115" i="39"/>
  <c r="B127" i="38"/>
  <c r="B124" i="32"/>
  <c r="B125" i="33"/>
  <c r="L114" i="37"/>
  <c r="M114" i="37"/>
  <c r="L112" i="33"/>
  <c r="L112" i="32" s="1"/>
  <c r="K112" i="32"/>
  <c r="M112" i="32" s="1"/>
  <c r="M112" i="33"/>
  <c r="L116" i="34"/>
  <c r="M116" i="34"/>
  <c r="L118" i="35"/>
  <c r="M118" i="35"/>
  <c r="B123" i="36"/>
  <c r="C127" i="34"/>
  <c r="B126" i="34"/>
  <c r="I119" i="32"/>
  <c r="C125" i="32"/>
  <c r="C126" i="33"/>
  <c r="G123" i="37"/>
  <c r="I122" i="37"/>
  <c r="C124" i="36"/>
  <c r="F117" i="39"/>
  <c r="H116" i="39"/>
  <c r="J116" i="39" s="1"/>
  <c r="K116" i="39" s="1"/>
  <c r="H114" i="32"/>
  <c r="J114" i="33"/>
  <c r="F118" i="38"/>
  <c r="F116" i="37"/>
  <c r="H115" i="37"/>
  <c r="J115" i="37" s="1"/>
  <c r="K115" i="37" s="1"/>
  <c r="G124" i="35"/>
  <c r="I123" i="35"/>
  <c r="B128" i="35"/>
  <c r="F118" i="34"/>
  <c r="H117" i="34"/>
  <c r="J117" i="34" s="1"/>
  <c r="K117" i="34" s="1"/>
  <c r="D118" i="34"/>
  <c r="D126" i="32" s="1"/>
  <c r="F120" i="35"/>
  <c r="H119" i="35"/>
  <c r="J119" i="35" s="1"/>
  <c r="K119" i="35" s="1"/>
  <c r="F115" i="36"/>
  <c r="H114" i="36"/>
  <c r="J114" i="36" s="1"/>
  <c r="K114" i="36" s="1"/>
  <c r="L114" i="36" s="1"/>
  <c r="G122" i="36"/>
  <c r="I121" i="36"/>
  <c r="G121" i="33"/>
  <c r="G120" i="32"/>
  <c r="I120" i="33"/>
  <c r="K113" i="33"/>
  <c r="J113" i="32"/>
  <c r="C128" i="38"/>
  <c r="C19" i="31"/>
  <c r="D19" i="31"/>
  <c r="B124" i="37"/>
  <c r="C125" i="37"/>
  <c r="F116" i="33"/>
  <c r="F115" i="32"/>
  <c r="H115" i="33"/>
  <c r="L117" i="38"/>
  <c r="M117" i="38"/>
  <c r="G125" i="38"/>
  <c r="I124" i="38"/>
  <c r="G124" i="34"/>
  <c r="I123" i="34"/>
  <c r="C129" i="35"/>
  <c r="G126" i="38" l="1"/>
  <c r="I125" i="38"/>
  <c r="C129" i="38"/>
  <c r="I120" i="32"/>
  <c r="G123" i="36"/>
  <c r="I122" i="36"/>
  <c r="L119" i="35"/>
  <c r="M119" i="35"/>
  <c r="F119" i="34"/>
  <c r="H118" i="34"/>
  <c r="J118" i="34" s="1"/>
  <c r="K118" i="34" s="1"/>
  <c r="G125" i="35"/>
  <c r="I124" i="35"/>
  <c r="K114" i="33"/>
  <c r="J114" i="32"/>
  <c r="H117" i="39"/>
  <c r="J117" i="39" s="1"/>
  <c r="K117" i="39" s="1"/>
  <c r="D118" i="39"/>
  <c r="D186" i="32" s="1"/>
  <c r="G124" i="37"/>
  <c r="I123" i="37"/>
  <c r="B128" i="38"/>
  <c r="B124" i="36"/>
  <c r="B126" i="33"/>
  <c r="B125" i="32"/>
  <c r="G125" i="34"/>
  <c r="I124" i="34"/>
  <c r="G122" i="33"/>
  <c r="G121" i="32"/>
  <c r="I121" i="33"/>
  <c r="F117" i="37"/>
  <c r="H116" i="37"/>
  <c r="J116" i="37" s="1"/>
  <c r="K116" i="37" s="1"/>
  <c r="F116" i="32"/>
  <c r="F117" i="33"/>
  <c r="H116" i="33"/>
  <c r="B125" i="37"/>
  <c r="F121" i="35"/>
  <c r="H120" i="35"/>
  <c r="J120" i="35" s="1"/>
  <c r="K120" i="35" s="1"/>
  <c r="B129" i="35"/>
  <c r="L115" i="37"/>
  <c r="M115" i="37"/>
  <c r="C125" i="36"/>
  <c r="C127" i="33"/>
  <c r="C126" i="32"/>
  <c r="C130" i="35"/>
  <c r="H115" i="32"/>
  <c r="J115" i="33"/>
  <c r="C126" i="37"/>
  <c r="E19" i="31"/>
  <c r="F19" i="31" s="1"/>
  <c r="L113" i="33"/>
  <c r="L113" i="32" s="1"/>
  <c r="K113" i="32"/>
  <c r="M113" i="32" s="1"/>
  <c r="M113" i="33"/>
  <c r="F116" i="36"/>
  <c r="H115" i="36"/>
  <c r="J115" i="36" s="1"/>
  <c r="K115" i="36" s="1"/>
  <c r="L115" i="36" s="1"/>
  <c r="L117" i="34"/>
  <c r="M117" i="34"/>
  <c r="F119" i="38"/>
  <c r="H118" i="38"/>
  <c r="J118" i="38" s="1"/>
  <c r="K118" i="38" s="1"/>
  <c r="L116" i="39"/>
  <c r="M116" i="39"/>
  <c r="C128" i="34"/>
  <c r="B127" i="34"/>
  <c r="H116" i="32" l="1"/>
  <c r="J116" i="33"/>
  <c r="G123" i="33"/>
  <c r="G122" i="32"/>
  <c r="I122" i="33"/>
  <c r="F120" i="38"/>
  <c r="H119" i="38"/>
  <c r="J119" i="38" s="1"/>
  <c r="K119" i="38" s="1"/>
  <c r="C127" i="37"/>
  <c r="C126" i="36"/>
  <c r="B130" i="35"/>
  <c r="L114" i="33"/>
  <c r="L114" i="32" s="1"/>
  <c r="K114" i="32"/>
  <c r="M114" i="32" s="1"/>
  <c r="M114" i="33"/>
  <c r="F120" i="34"/>
  <c r="H119" i="34"/>
  <c r="J119" i="34" s="1"/>
  <c r="K119" i="34" s="1"/>
  <c r="G124" i="36"/>
  <c r="I123" i="36"/>
  <c r="B128" i="34"/>
  <c r="C129" i="34"/>
  <c r="L120" i="35"/>
  <c r="M120" i="35"/>
  <c r="L117" i="39"/>
  <c r="M117" i="39"/>
  <c r="C130" i="38"/>
  <c r="F117" i="36"/>
  <c r="H116" i="36"/>
  <c r="J116" i="36" s="1"/>
  <c r="K116" i="36" s="1"/>
  <c r="L116" i="36" s="1"/>
  <c r="K115" i="33"/>
  <c r="J115" i="32"/>
  <c r="C127" i="32"/>
  <c r="C128" i="33"/>
  <c r="F122" i="35"/>
  <c r="H121" i="35"/>
  <c r="J121" i="35" s="1"/>
  <c r="K121" i="35" s="1"/>
  <c r="F118" i="33"/>
  <c r="F117" i="32"/>
  <c r="H117" i="33"/>
  <c r="F118" i="37"/>
  <c r="H117" i="37"/>
  <c r="J117" i="37" s="1"/>
  <c r="K117" i="37" s="1"/>
  <c r="D118" i="37"/>
  <c r="D162" i="32" s="1"/>
  <c r="B126" i="32"/>
  <c r="B127" i="33"/>
  <c r="F118" i="39"/>
  <c r="H118" i="39" s="1"/>
  <c r="J118" i="39" s="1"/>
  <c r="K118" i="39" s="1"/>
  <c r="G126" i="35"/>
  <c r="I125" i="35"/>
  <c r="L116" i="37"/>
  <c r="M116" i="37"/>
  <c r="L118" i="38"/>
  <c r="M118" i="38"/>
  <c r="C131" i="35"/>
  <c r="B126" i="37"/>
  <c r="I121" i="32"/>
  <c r="G126" i="34"/>
  <c r="I125" i="34"/>
  <c r="B125" i="36"/>
  <c r="B129" i="38"/>
  <c r="G125" i="37"/>
  <c r="I124" i="37"/>
  <c r="L118" i="34"/>
  <c r="M118" i="34"/>
  <c r="G127" i="38"/>
  <c r="I126" i="38"/>
  <c r="G127" i="34" l="1"/>
  <c r="I126" i="34"/>
  <c r="F119" i="37"/>
  <c r="H118" i="37"/>
  <c r="J118" i="37" s="1"/>
  <c r="K118" i="37" s="1"/>
  <c r="L121" i="35"/>
  <c r="M121" i="35"/>
  <c r="D118" i="36"/>
  <c r="D150" i="32" s="1"/>
  <c r="H117" i="36"/>
  <c r="J117" i="36" s="1"/>
  <c r="K117" i="36" s="1"/>
  <c r="L117" i="36" s="1"/>
  <c r="C130" i="34"/>
  <c r="B129" i="34"/>
  <c r="G125" i="36"/>
  <c r="I124" i="36"/>
  <c r="L119" i="38"/>
  <c r="M119" i="38"/>
  <c r="G128" i="38"/>
  <c r="I127" i="38"/>
  <c r="B127" i="37"/>
  <c r="G127" i="35"/>
  <c r="I126" i="35"/>
  <c r="B127" i="32"/>
  <c r="B128" i="33"/>
  <c r="H117" i="32"/>
  <c r="J117" i="33"/>
  <c r="F123" i="35"/>
  <c r="H122" i="35"/>
  <c r="J122" i="35" s="1"/>
  <c r="K122" i="35" s="1"/>
  <c r="L119" i="34"/>
  <c r="M119" i="34"/>
  <c r="C127" i="36"/>
  <c r="F121" i="38"/>
  <c r="H120" i="38"/>
  <c r="J120" i="38" s="1"/>
  <c r="K120" i="38" s="1"/>
  <c r="G123" i="32"/>
  <c r="G124" i="33"/>
  <c r="I123" i="33"/>
  <c r="G126" i="37"/>
  <c r="I125" i="37"/>
  <c r="B126" i="36"/>
  <c r="L118" i="39"/>
  <c r="M118" i="39"/>
  <c r="C129" i="33"/>
  <c r="C128" i="32"/>
  <c r="K115" i="32"/>
  <c r="M115" i="32" s="1"/>
  <c r="L115" i="33"/>
  <c r="L115" i="32" s="1"/>
  <c r="M115" i="33"/>
  <c r="F121" i="34"/>
  <c r="H120" i="34"/>
  <c r="J120" i="34" s="1"/>
  <c r="K120" i="34" s="1"/>
  <c r="C128" i="37"/>
  <c r="K116" i="33"/>
  <c r="J116" i="32"/>
  <c r="B130" i="38"/>
  <c r="C132" i="35"/>
  <c r="L117" i="37"/>
  <c r="M117" i="37"/>
  <c r="F119" i="33"/>
  <c r="F118" i="32"/>
  <c r="H118" i="33"/>
  <c r="B131" i="35"/>
  <c r="I122" i="32"/>
  <c r="L120" i="34" l="1"/>
  <c r="M120" i="34"/>
  <c r="C130" i="33"/>
  <c r="C129" i="32"/>
  <c r="G125" i="33"/>
  <c r="G124" i="32"/>
  <c r="I124" i="33"/>
  <c r="L118" i="37"/>
  <c r="M118" i="37"/>
  <c r="C128" i="36"/>
  <c r="L122" i="35"/>
  <c r="M122" i="35"/>
  <c r="B128" i="32"/>
  <c r="B129" i="33"/>
  <c r="G128" i="35"/>
  <c r="I127" i="35"/>
  <c r="F118" i="36"/>
  <c r="F120" i="37"/>
  <c r="H119" i="37"/>
  <c r="J119" i="37" s="1"/>
  <c r="K119" i="37" s="1"/>
  <c r="G128" i="34"/>
  <c r="I127" i="34"/>
  <c r="H118" i="32"/>
  <c r="J118" i="33"/>
  <c r="L116" i="33"/>
  <c r="L116" i="32" s="1"/>
  <c r="K116" i="32"/>
  <c r="M116" i="32" s="1"/>
  <c r="M116" i="33"/>
  <c r="F122" i="34"/>
  <c r="H121" i="34"/>
  <c r="J121" i="34" s="1"/>
  <c r="K121" i="34" s="1"/>
  <c r="B132" i="35"/>
  <c r="F120" i="33"/>
  <c r="F119" i="32"/>
  <c r="H119" i="33"/>
  <c r="C133" i="35"/>
  <c r="C129" i="37"/>
  <c r="G127" i="37"/>
  <c r="I126" i="37"/>
  <c r="L120" i="38"/>
  <c r="M120" i="38"/>
  <c r="F124" i="35"/>
  <c r="H123" i="35"/>
  <c r="J123" i="35" s="1"/>
  <c r="K123" i="35" s="1"/>
  <c r="C131" i="34"/>
  <c r="B130" i="34"/>
  <c r="B127" i="36"/>
  <c r="I123" i="32"/>
  <c r="F122" i="38"/>
  <c r="H121" i="38"/>
  <c r="J121" i="38" s="1"/>
  <c r="K121" i="38" s="1"/>
  <c r="K117" i="33"/>
  <c r="J117" i="32"/>
  <c r="B128" i="37"/>
  <c r="G129" i="38"/>
  <c r="I128" i="38"/>
  <c r="G126" i="36"/>
  <c r="I125" i="36"/>
  <c r="C132" i="34" l="1"/>
  <c r="B131" i="34"/>
  <c r="C134" i="35"/>
  <c r="G127" i="36"/>
  <c r="I126" i="36"/>
  <c r="B129" i="37"/>
  <c r="F123" i="38"/>
  <c r="H122" i="38"/>
  <c r="J122" i="38" s="1"/>
  <c r="K122" i="38" s="1"/>
  <c r="C130" i="37"/>
  <c r="F123" i="34"/>
  <c r="H122" i="34"/>
  <c r="J122" i="34" s="1"/>
  <c r="K122" i="34" s="1"/>
  <c r="K118" i="33"/>
  <c r="J118" i="32"/>
  <c r="L119" i="37"/>
  <c r="M119" i="37"/>
  <c r="C129" i="36"/>
  <c r="I124" i="32"/>
  <c r="L123" i="35"/>
  <c r="M123" i="35"/>
  <c r="F120" i="32"/>
  <c r="F121" i="33"/>
  <c r="H120" i="33"/>
  <c r="G129" i="35"/>
  <c r="I128" i="35"/>
  <c r="C131" i="33"/>
  <c r="C130" i="32"/>
  <c r="G130" i="38"/>
  <c r="I130" i="38" s="1"/>
  <c r="I129" i="38"/>
  <c r="L117" i="33"/>
  <c r="L117" i="32" s="1"/>
  <c r="K117" i="32"/>
  <c r="M117" i="32" s="1"/>
  <c r="M117" i="33"/>
  <c r="F125" i="35"/>
  <c r="H124" i="35"/>
  <c r="J124" i="35" s="1"/>
  <c r="K124" i="35" s="1"/>
  <c r="G128" i="37"/>
  <c r="I127" i="37"/>
  <c r="B133" i="35"/>
  <c r="F119" i="36"/>
  <c r="H118" i="36"/>
  <c r="J118" i="36" s="1"/>
  <c r="K118" i="36" s="1"/>
  <c r="L118" i="36" s="1"/>
  <c r="B130" i="33"/>
  <c r="B129" i="32"/>
  <c r="G126" i="33"/>
  <c r="G125" i="32"/>
  <c r="I125" i="33"/>
  <c r="B128" i="36"/>
  <c r="F121" i="37"/>
  <c r="H120" i="37"/>
  <c r="J120" i="37" s="1"/>
  <c r="K120" i="37" s="1"/>
  <c r="L121" i="38"/>
  <c r="M121" i="38"/>
  <c r="H119" i="32"/>
  <c r="J119" i="33"/>
  <c r="L121" i="34"/>
  <c r="M121" i="34"/>
  <c r="G129" i="34"/>
  <c r="I128" i="34"/>
  <c r="J119" i="32" l="1"/>
  <c r="K119" i="33"/>
  <c r="B131" i="33"/>
  <c r="B130" i="32"/>
  <c r="G129" i="37"/>
  <c r="I128" i="37"/>
  <c r="C132" i="33"/>
  <c r="C131" i="32"/>
  <c r="F121" i="32"/>
  <c r="F122" i="33"/>
  <c r="H121" i="33"/>
  <c r="C130" i="36"/>
  <c r="F124" i="34"/>
  <c r="H123" i="34"/>
  <c r="J123" i="34" s="1"/>
  <c r="K123" i="34" s="1"/>
  <c r="L122" i="38"/>
  <c r="M122" i="38"/>
  <c r="G130" i="34"/>
  <c r="I129" i="34"/>
  <c r="B129" i="36"/>
  <c r="G127" i="33"/>
  <c r="G126" i="32"/>
  <c r="I126" i="33"/>
  <c r="C131" i="37"/>
  <c r="F124" i="38"/>
  <c r="H123" i="38"/>
  <c r="J123" i="38" s="1"/>
  <c r="K123" i="38" s="1"/>
  <c r="G128" i="36"/>
  <c r="I127" i="36"/>
  <c r="C133" i="34"/>
  <c r="B132" i="34"/>
  <c r="L124" i="35"/>
  <c r="M124" i="35"/>
  <c r="F122" i="37"/>
  <c r="H121" i="37"/>
  <c r="J121" i="37" s="1"/>
  <c r="K121" i="37" s="1"/>
  <c r="F120" i="36"/>
  <c r="H119" i="36"/>
  <c r="J119" i="36" s="1"/>
  <c r="K119" i="36" s="1"/>
  <c r="L119" i="36" s="1"/>
  <c r="B134" i="35"/>
  <c r="F126" i="35"/>
  <c r="H125" i="35"/>
  <c r="J125" i="35" s="1"/>
  <c r="K125" i="35" s="1"/>
  <c r="G130" i="35"/>
  <c r="I129" i="35"/>
  <c r="L118" i="33"/>
  <c r="L118" i="32" s="1"/>
  <c r="K118" i="32"/>
  <c r="M118" i="32" s="1"/>
  <c r="M118" i="33"/>
  <c r="B130" i="37"/>
  <c r="C135" i="35"/>
  <c r="L120" i="37"/>
  <c r="M120" i="37"/>
  <c r="I125" i="32"/>
  <c r="H120" i="32"/>
  <c r="J120" i="33"/>
  <c r="L122" i="34"/>
  <c r="M122" i="34"/>
  <c r="L125" i="35" l="1"/>
  <c r="M125" i="35"/>
  <c r="F125" i="38"/>
  <c r="H124" i="38"/>
  <c r="J124" i="38" s="1"/>
  <c r="K124" i="38" s="1"/>
  <c r="L123" i="34"/>
  <c r="M123" i="34"/>
  <c r="G130" i="37"/>
  <c r="I129" i="37"/>
  <c r="K119" i="32"/>
  <c r="M119" i="32" s="1"/>
  <c r="L119" i="33"/>
  <c r="L119" i="32" s="1"/>
  <c r="M119" i="33"/>
  <c r="C136" i="35"/>
  <c r="G131" i="35"/>
  <c r="I130" i="35"/>
  <c r="F127" i="35"/>
  <c r="H126" i="35"/>
  <c r="J126" i="35" s="1"/>
  <c r="K126" i="35" s="1"/>
  <c r="F121" i="36"/>
  <c r="H120" i="36"/>
  <c r="J120" i="36" s="1"/>
  <c r="K120" i="36" s="1"/>
  <c r="L120" i="36" s="1"/>
  <c r="I126" i="32"/>
  <c r="B130" i="36"/>
  <c r="F125" i="34"/>
  <c r="H124" i="34"/>
  <c r="J124" i="34" s="1"/>
  <c r="K124" i="34" s="1"/>
  <c r="H121" i="32"/>
  <c r="J121" i="33"/>
  <c r="C133" i="33"/>
  <c r="C132" i="32"/>
  <c r="J120" i="32"/>
  <c r="K120" i="33"/>
  <c r="L121" i="37"/>
  <c r="M121" i="37"/>
  <c r="G129" i="36"/>
  <c r="I128" i="36"/>
  <c r="C132" i="37"/>
  <c r="C131" i="36"/>
  <c r="F122" i="32"/>
  <c r="F123" i="33"/>
  <c r="H122" i="33"/>
  <c r="B132" i="33"/>
  <c r="B131" i="32"/>
  <c r="B131" i="37"/>
  <c r="B135" i="35"/>
  <c r="F123" i="37"/>
  <c r="H122" i="37"/>
  <c r="J122" i="37" s="1"/>
  <c r="K122" i="37" s="1"/>
  <c r="C134" i="34"/>
  <c r="B133" i="34"/>
  <c r="L123" i="38"/>
  <c r="M123" i="38"/>
  <c r="G128" i="33"/>
  <c r="G127" i="32"/>
  <c r="I127" i="33"/>
  <c r="G131" i="34"/>
  <c r="I130" i="34"/>
  <c r="I127" i="32" l="1"/>
  <c r="L122" i="37"/>
  <c r="M122" i="37"/>
  <c r="B132" i="37"/>
  <c r="B132" i="32"/>
  <c r="B133" i="33"/>
  <c r="K121" i="33"/>
  <c r="J121" i="32"/>
  <c r="B131" i="36"/>
  <c r="L126" i="35"/>
  <c r="M126" i="35"/>
  <c r="F124" i="37"/>
  <c r="H123" i="37"/>
  <c r="J123" i="37" s="1"/>
  <c r="K123" i="37" s="1"/>
  <c r="H122" i="32"/>
  <c r="J122" i="33"/>
  <c r="C132" i="36"/>
  <c r="C133" i="37"/>
  <c r="F128" i="35"/>
  <c r="H127" i="35"/>
  <c r="J127" i="35" s="1"/>
  <c r="K127" i="35" s="1"/>
  <c r="C137" i="35"/>
  <c r="G129" i="33"/>
  <c r="G128" i="32"/>
  <c r="I128" i="33"/>
  <c r="F124" i="33"/>
  <c r="F123" i="32"/>
  <c r="H123" i="33"/>
  <c r="L124" i="34"/>
  <c r="M124" i="34"/>
  <c r="L124" i="38"/>
  <c r="M124" i="38"/>
  <c r="G132" i="34"/>
  <c r="I131" i="34"/>
  <c r="C135" i="34"/>
  <c r="B134" i="34"/>
  <c r="B136" i="35"/>
  <c r="G130" i="36"/>
  <c r="I129" i="36"/>
  <c r="K120" i="32"/>
  <c r="M120" i="32" s="1"/>
  <c r="L120" i="33"/>
  <c r="L120" i="32" s="1"/>
  <c r="M120" i="33"/>
  <c r="C134" i="33"/>
  <c r="C133" i="32"/>
  <c r="F126" i="34"/>
  <c r="H125" i="34"/>
  <c r="J125" i="34" s="1"/>
  <c r="K125" i="34" s="1"/>
  <c r="F122" i="36"/>
  <c r="H121" i="36"/>
  <c r="J121" i="36" s="1"/>
  <c r="K121" i="36" s="1"/>
  <c r="L121" i="36" s="1"/>
  <c r="G132" i="35"/>
  <c r="I131" i="35"/>
  <c r="G131" i="37"/>
  <c r="I130" i="37"/>
  <c r="F126" i="38"/>
  <c r="H125" i="38"/>
  <c r="J125" i="38" s="1"/>
  <c r="K125" i="38" s="1"/>
  <c r="L125" i="38" l="1"/>
  <c r="M125" i="38"/>
  <c r="C138" i="35"/>
  <c r="K122" i="33"/>
  <c r="J122" i="32"/>
  <c r="L125" i="34"/>
  <c r="M125" i="34"/>
  <c r="C135" i="33"/>
  <c r="C134" i="32"/>
  <c r="G133" i="34"/>
  <c r="I132" i="34"/>
  <c r="F124" i="32"/>
  <c r="F125" i="33"/>
  <c r="H124" i="33"/>
  <c r="G130" i="33"/>
  <c r="G129" i="32"/>
  <c r="I129" i="33"/>
  <c r="C134" i="37"/>
  <c r="K121" i="32"/>
  <c r="M121" i="32" s="1"/>
  <c r="L121" i="33"/>
  <c r="L121" i="32" s="1"/>
  <c r="M121" i="33"/>
  <c r="F127" i="38"/>
  <c r="H126" i="38"/>
  <c r="J126" i="38" s="1"/>
  <c r="K126" i="38" s="1"/>
  <c r="G133" i="35"/>
  <c r="I132" i="35"/>
  <c r="F127" i="34"/>
  <c r="H126" i="34"/>
  <c r="J126" i="34" s="1"/>
  <c r="K126" i="34" s="1"/>
  <c r="G131" i="36"/>
  <c r="I130" i="36"/>
  <c r="L127" i="35"/>
  <c r="M127" i="35"/>
  <c r="C133" i="36"/>
  <c r="L123" i="37"/>
  <c r="M123" i="37"/>
  <c r="B133" i="37"/>
  <c r="G132" i="37"/>
  <c r="I131" i="37"/>
  <c r="F123" i="36"/>
  <c r="H122" i="36"/>
  <c r="J122" i="36" s="1"/>
  <c r="K122" i="36" s="1"/>
  <c r="L122" i="36" s="1"/>
  <c r="B137" i="35"/>
  <c r="C136" i="34"/>
  <c r="B135" i="34"/>
  <c r="H123" i="32"/>
  <c r="J123" i="33"/>
  <c r="I128" i="32"/>
  <c r="F129" i="35"/>
  <c r="H128" i="35"/>
  <c r="J128" i="35" s="1"/>
  <c r="K128" i="35" s="1"/>
  <c r="F125" i="37"/>
  <c r="H124" i="37"/>
  <c r="J124" i="37" s="1"/>
  <c r="K124" i="37" s="1"/>
  <c r="B132" i="36"/>
  <c r="B134" i="33"/>
  <c r="B133" i="32"/>
  <c r="F130" i="35" l="1"/>
  <c r="H129" i="35"/>
  <c r="J129" i="35" s="1"/>
  <c r="K129" i="35" s="1"/>
  <c r="J123" i="32"/>
  <c r="K123" i="33"/>
  <c r="F124" i="36"/>
  <c r="H123" i="36"/>
  <c r="J123" i="36" s="1"/>
  <c r="K123" i="36" s="1"/>
  <c r="L123" i="36" s="1"/>
  <c r="B134" i="37"/>
  <c r="F128" i="34"/>
  <c r="H127" i="34"/>
  <c r="J127" i="34" s="1"/>
  <c r="K127" i="34" s="1"/>
  <c r="G134" i="35"/>
  <c r="I133" i="35"/>
  <c r="I129" i="32"/>
  <c r="F126" i="33"/>
  <c r="F125" i="32"/>
  <c r="H125" i="33"/>
  <c r="L122" i="33"/>
  <c r="L122" i="32" s="1"/>
  <c r="K122" i="32"/>
  <c r="M122" i="32" s="1"/>
  <c r="M122" i="33"/>
  <c r="L124" i="37"/>
  <c r="M124" i="37"/>
  <c r="B138" i="35"/>
  <c r="L126" i="38"/>
  <c r="M126" i="38"/>
  <c r="B135" i="33"/>
  <c r="B134" i="32"/>
  <c r="F126" i="37"/>
  <c r="H125" i="37"/>
  <c r="J125" i="37" s="1"/>
  <c r="K125" i="37" s="1"/>
  <c r="G133" i="37"/>
  <c r="I132" i="37"/>
  <c r="G132" i="36"/>
  <c r="I131" i="36"/>
  <c r="F128" i="38"/>
  <c r="H127" i="38"/>
  <c r="J127" i="38" s="1"/>
  <c r="K127" i="38" s="1"/>
  <c r="C135" i="37"/>
  <c r="G130" i="32"/>
  <c r="G131" i="33"/>
  <c r="I130" i="33"/>
  <c r="C134" i="36"/>
  <c r="B133" i="36"/>
  <c r="L128" i="35"/>
  <c r="M128" i="35"/>
  <c r="B136" i="34"/>
  <c r="C137" i="34"/>
  <c r="L126" i="34"/>
  <c r="M126" i="34"/>
  <c r="H124" i="32"/>
  <c r="J124" i="33"/>
  <c r="G134" i="34"/>
  <c r="I133" i="34"/>
  <c r="C135" i="32"/>
  <c r="C136" i="33"/>
  <c r="C139" i="35"/>
  <c r="F129" i="38" l="1"/>
  <c r="H128" i="38"/>
  <c r="J128" i="38" s="1"/>
  <c r="K128" i="38" s="1"/>
  <c r="G134" i="37"/>
  <c r="I133" i="37"/>
  <c r="F127" i="37"/>
  <c r="H126" i="37"/>
  <c r="J126" i="37" s="1"/>
  <c r="K126" i="37" s="1"/>
  <c r="F127" i="33"/>
  <c r="F126" i="32"/>
  <c r="H126" i="33"/>
  <c r="K123" i="32"/>
  <c r="M123" i="32" s="1"/>
  <c r="B20" i="31" s="1"/>
  <c r="L123" i="33"/>
  <c r="L123" i="32" s="1"/>
  <c r="M123" i="33"/>
  <c r="C140" i="35"/>
  <c r="C135" i="36"/>
  <c r="G135" i="35"/>
  <c r="I134" i="35"/>
  <c r="B135" i="37"/>
  <c r="B137" i="34"/>
  <c r="C138" i="34"/>
  <c r="C137" i="33"/>
  <c r="C136" i="32"/>
  <c r="G135" i="34"/>
  <c r="I134" i="34"/>
  <c r="I130" i="32"/>
  <c r="C136" i="37"/>
  <c r="G133" i="36"/>
  <c r="I132" i="36"/>
  <c r="B136" i="33"/>
  <c r="B135" i="32"/>
  <c r="B139" i="35"/>
  <c r="H125" i="32"/>
  <c r="J125" i="33"/>
  <c r="L127" i="34"/>
  <c r="M127" i="34"/>
  <c r="L129" i="35"/>
  <c r="M129" i="35"/>
  <c r="J124" i="32"/>
  <c r="K124" i="33"/>
  <c r="B134" i="36"/>
  <c r="G131" i="32"/>
  <c r="G132" i="33"/>
  <c r="I131" i="33"/>
  <c r="L127" i="38"/>
  <c r="M127" i="38"/>
  <c r="L125" i="37"/>
  <c r="M125" i="37"/>
  <c r="F129" i="34"/>
  <c r="H128" i="34"/>
  <c r="J128" i="34" s="1"/>
  <c r="K128" i="34" s="1"/>
  <c r="F125" i="36"/>
  <c r="H124" i="36"/>
  <c r="J124" i="36" s="1"/>
  <c r="K124" i="36" s="1"/>
  <c r="L124" i="36" s="1"/>
  <c r="F131" i="35"/>
  <c r="H130" i="35"/>
  <c r="J130" i="35" s="1"/>
  <c r="K130" i="35" s="1"/>
  <c r="G136" i="35" l="1"/>
  <c r="I135" i="35"/>
  <c r="D20" i="31"/>
  <c r="C20" i="31"/>
  <c r="L128" i="34"/>
  <c r="M128" i="34"/>
  <c r="K125" i="33"/>
  <c r="J125" i="32"/>
  <c r="B138" i="34"/>
  <c r="C139" i="34"/>
  <c r="F130" i="34"/>
  <c r="H129" i="34"/>
  <c r="J129" i="34" s="1"/>
  <c r="K129" i="34" s="1"/>
  <c r="I131" i="32"/>
  <c r="C141" i="35"/>
  <c r="F128" i="33"/>
  <c r="F127" i="32"/>
  <c r="H127" i="33"/>
  <c r="G135" i="37"/>
  <c r="I134" i="37"/>
  <c r="L130" i="35"/>
  <c r="M130" i="35"/>
  <c r="B135" i="36"/>
  <c r="G134" i="36"/>
  <c r="I133" i="36"/>
  <c r="F132" i="35"/>
  <c r="H131" i="35"/>
  <c r="J131" i="35" s="1"/>
  <c r="K131" i="35" s="1"/>
  <c r="G133" i="33"/>
  <c r="G132" i="32"/>
  <c r="I132" i="33"/>
  <c r="L124" i="33"/>
  <c r="L124" i="32" s="1"/>
  <c r="K124" i="32"/>
  <c r="M124" i="32" s="1"/>
  <c r="M124" i="33"/>
  <c r="B137" i="33"/>
  <c r="B136" i="32"/>
  <c r="C137" i="37"/>
  <c r="C138" i="33"/>
  <c r="C137" i="32"/>
  <c r="B136" i="37"/>
  <c r="L126" i="37"/>
  <c r="M126" i="37"/>
  <c r="L128" i="38"/>
  <c r="M128" i="38"/>
  <c r="G136" i="34"/>
  <c r="I135" i="34"/>
  <c r="F126" i="36"/>
  <c r="H125" i="36"/>
  <c r="J125" i="36" s="1"/>
  <c r="K125" i="36" s="1"/>
  <c r="L125" i="36" s="1"/>
  <c r="B140" i="35"/>
  <c r="C136" i="36"/>
  <c r="H126" i="32"/>
  <c r="J126" i="33"/>
  <c r="F128" i="37"/>
  <c r="H127" i="37"/>
  <c r="J127" i="37" s="1"/>
  <c r="K127" i="37" s="1"/>
  <c r="F130" i="38"/>
  <c r="H130" i="38" s="1"/>
  <c r="J130" i="38" s="1"/>
  <c r="K130" i="38" s="1"/>
  <c r="H129" i="38"/>
  <c r="J129" i="38" s="1"/>
  <c r="K129" i="38" s="1"/>
  <c r="L127" i="37" l="1"/>
  <c r="M127" i="37"/>
  <c r="B141" i="35"/>
  <c r="C138" i="37"/>
  <c r="H127" i="32"/>
  <c r="J127" i="33"/>
  <c r="E20" i="31"/>
  <c r="F20" i="31" s="1"/>
  <c r="F129" i="37"/>
  <c r="H128" i="37"/>
  <c r="J128" i="37" s="1"/>
  <c r="K128" i="37" s="1"/>
  <c r="C137" i="36"/>
  <c r="G137" i="34"/>
  <c r="I136" i="34"/>
  <c r="C139" i="33"/>
  <c r="C138" i="32"/>
  <c r="G134" i="33"/>
  <c r="G133" i="32"/>
  <c r="I133" i="33"/>
  <c r="G135" i="36"/>
  <c r="I134" i="36"/>
  <c r="L129" i="34"/>
  <c r="M129" i="34"/>
  <c r="L129" i="38"/>
  <c r="M129" i="38"/>
  <c r="L131" i="35"/>
  <c r="M131" i="35"/>
  <c r="F129" i="33"/>
  <c r="F128" i="32"/>
  <c r="H128" i="33"/>
  <c r="F131" i="34"/>
  <c r="H130" i="34"/>
  <c r="J130" i="34" s="1"/>
  <c r="K130" i="34" s="1"/>
  <c r="K126" i="33"/>
  <c r="J126" i="32"/>
  <c r="L130" i="38"/>
  <c r="M130" i="38"/>
  <c r="F127" i="36"/>
  <c r="H126" i="36"/>
  <c r="J126" i="36" s="1"/>
  <c r="K126" i="36" s="1"/>
  <c r="L126" i="36" s="1"/>
  <c r="B137" i="37"/>
  <c r="B138" i="33"/>
  <c r="B137" i="32"/>
  <c r="I132" i="32"/>
  <c r="F133" i="35"/>
  <c r="H132" i="35"/>
  <c r="J132" i="35" s="1"/>
  <c r="K132" i="35" s="1"/>
  <c r="B136" i="36"/>
  <c r="G136" i="37"/>
  <c r="I135" i="37"/>
  <c r="C142" i="35"/>
  <c r="C140" i="34"/>
  <c r="B139" i="34"/>
  <c r="L125" i="33"/>
  <c r="L125" i="32" s="1"/>
  <c r="K125" i="32"/>
  <c r="M125" i="32" s="1"/>
  <c r="M125" i="33"/>
  <c r="G137" i="35"/>
  <c r="I136" i="35"/>
  <c r="G138" i="35" l="1"/>
  <c r="I137" i="35"/>
  <c r="C143" i="35"/>
  <c r="B139" i="33"/>
  <c r="B138" i="32"/>
  <c r="F128" i="36"/>
  <c r="H127" i="36"/>
  <c r="J127" i="36" s="1"/>
  <c r="K127" i="36" s="1"/>
  <c r="L127" i="36" s="1"/>
  <c r="L126" i="33"/>
  <c r="L126" i="32" s="1"/>
  <c r="K126" i="32"/>
  <c r="M126" i="32" s="1"/>
  <c r="M126" i="33"/>
  <c r="F132" i="34"/>
  <c r="H131" i="34"/>
  <c r="J131" i="34" s="1"/>
  <c r="K131" i="34" s="1"/>
  <c r="F130" i="33"/>
  <c r="F129" i="32"/>
  <c r="H129" i="33"/>
  <c r="C139" i="32"/>
  <c r="C140" i="33"/>
  <c r="C139" i="37"/>
  <c r="L132" i="35"/>
  <c r="M132" i="35"/>
  <c r="B138" i="37"/>
  <c r="G134" i="32"/>
  <c r="G135" i="33"/>
  <c r="I134" i="33"/>
  <c r="L128" i="37"/>
  <c r="M128" i="37"/>
  <c r="K127" i="33"/>
  <c r="J127" i="32"/>
  <c r="B142" i="35"/>
  <c r="C141" i="34"/>
  <c r="B140" i="34"/>
  <c r="G137" i="37"/>
  <c r="I136" i="37"/>
  <c r="F134" i="35"/>
  <c r="H133" i="35"/>
  <c r="J133" i="35" s="1"/>
  <c r="K133" i="35" s="1"/>
  <c r="H128" i="32"/>
  <c r="J128" i="33"/>
  <c r="G136" i="36"/>
  <c r="I135" i="36"/>
  <c r="G138" i="34"/>
  <c r="I137" i="34"/>
  <c r="F130" i="37"/>
  <c r="H129" i="37"/>
  <c r="J129" i="37" s="1"/>
  <c r="K129" i="37" s="1"/>
  <c r="B137" i="36"/>
  <c r="L130" i="34"/>
  <c r="M130" i="34"/>
  <c r="I133" i="32"/>
  <c r="C138" i="36"/>
  <c r="G138" i="37" l="1"/>
  <c r="I137" i="37"/>
  <c r="I134" i="32"/>
  <c r="F131" i="33"/>
  <c r="F130" i="32"/>
  <c r="H130" i="33"/>
  <c r="L129" i="37"/>
  <c r="M129" i="37"/>
  <c r="L133" i="35"/>
  <c r="M133" i="35"/>
  <c r="B143" i="35"/>
  <c r="G135" i="32"/>
  <c r="G136" i="33"/>
  <c r="I135" i="33"/>
  <c r="B139" i="37"/>
  <c r="L131" i="34"/>
  <c r="M131" i="34"/>
  <c r="B139" i="32"/>
  <c r="B140" i="33"/>
  <c r="C144" i="35"/>
  <c r="C139" i="36"/>
  <c r="B138" i="36"/>
  <c r="F131" i="37"/>
  <c r="H130" i="37"/>
  <c r="J130" i="37" s="1"/>
  <c r="K130" i="37" s="1"/>
  <c r="G137" i="36"/>
  <c r="I136" i="36"/>
  <c r="F135" i="35"/>
  <c r="H134" i="35"/>
  <c r="J134" i="35" s="1"/>
  <c r="K134" i="35" s="1"/>
  <c r="C142" i="34"/>
  <c r="B141" i="34"/>
  <c r="C140" i="37"/>
  <c r="H129" i="32"/>
  <c r="J129" i="33"/>
  <c r="F133" i="34"/>
  <c r="H132" i="34"/>
  <c r="J132" i="34" s="1"/>
  <c r="K132" i="34" s="1"/>
  <c r="G139" i="34"/>
  <c r="I138" i="34"/>
  <c r="J128" i="32"/>
  <c r="K128" i="33"/>
  <c r="L127" i="33"/>
  <c r="L127" i="32" s="1"/>
  <c r="K127" i="32"/>
  <c r="M127" i="32" s="1"/>
  <c r="M127" i="33"/>
  <c r="C140" i="32"/>
  <c r="C141" i="33"/>
  <c r="F129" i="36"/>
  <c r="H128" i="36"/>
  <c r="J128" i="36" s="1"/>
  <c r="K128" i="36" s="1"/>
  <c r="L128" i="36" s="1"/>
  <c r="G139" i="35"/>
  <c r="I138" i="35"/>
  <c r="H130" i="32" l="1"/>
  <c r="J130" i="33"/>
  <c r="C140" i="36"/>
  <c r="G140" i="35"/>
  <c r="I139" i="35"/>
  <c r="L132" i="34"/>
  <c r="M132" i="34"/>
  <c r="C143" i="34"/>
  <c r="B142" i="34"/>
  <c r="G138" i="36"/>
  <c r="I137" i="36"/>
  <c r="B139" i="36"/>
  <c r="B140" i="37"/>
  <c r="G140" i="34"/>
  <c r="I139" i="34"/>
  <c r="F134" i="34"/>
  <c r="H133" i="34"/>
  <c r="J133" i="34" s="1"/>
  <c r="K133" i="34" s="1"/>
  <c r="C141" i="37"/>
  <c r="L134" i="35"/>
  <c r="M134" i="35"/>
  <c r="L130" i="37"/>
  <c r="M130" i="37"/>
  <c r="C145" i="35"/>
  <c r="I135" i="32"/>
  <c r="B144" i="35"/>
  <c r="F132" i="33"/>
  <c r="F131" i="32"/>
  <c r="H131" i="33"/>
  <c r="C142" i="33"/>
  <c r="C141" i="32"/>
  <c r="L128" i="33"/>
  <c r="L128" i="32" s="1"/>
  <c r="K128" i="32"/>
  <c r="M128" i="32" s="1"/>
  <c r="M128" i="33"/>
  <c r="F130" i="36"/>
  <c r="H129" i="36"/>
  <c r="J129" i="36" s="1"/>
  <c r="K129" i="36" s="1"/>
  <c r="L129" i="36" s="1"/>
  <c r="K129" i="33"/>
  <c r="J129" i="32"/>
  <c r="F136" i="35"/>
  <c r="H135" i="35"/>
  <c r="J135" i="35" s="1"/>
  <c r="K135" i="35" s="1"/>
  <c r="F132" i="37"/>
  <c r="H131" i="37"/>
  <c r="J131" i="37" s="1"/>
  <c r="K131" i="37" s="1"/>
  <c r="B140" i="32"/>
  <c r="B141" i="33"/>
  <c r="G137" i="33"/>
  <c r="G136" i="32"/>
  <c r="I136" i="33"/>
  <c r="G139" i="37"/>
  <c r="I138" i="37"/>
  <c r="G138" i="33" l="1"/>
  <c r="G137" i="32"/>
  <c r="I137" i="33"/>
  <c r="F131" i="36"/>
  <c r="H130" i="36"/>
  <c r="J130" i="36" s="1"/>
  <c r="K130" i="36" s="1"/>
  <c r="L130" i="36" s="1"/>
  <c r="G141" i="34"/>
  <c r="I140" i="34"/>
  <c r="G140" i="37"/>
  <c r="I139" i="37"/>
  <c r="B142" i="33"/>
  <c r="B141" i="32"/>
  <c r="F133" i="37"/>
  <c r="H132" i="37"/>
  <c r="J132" i="37" s="1"/>
  <c r="K132" i="37" s="1"/>
  <c r="H131" i="32"/>
  <c r="J131" i="33"/>
  <c r="C146" i="35"/>
  <c r="L133" i="34"/>
  <c r="M133" i="34"/>
  <c r="C144" i="34"/>
  <c r="B143" i="34"/>
  <c r="G141" i="35"/>
  <c r="I140" i="35"/>
  <c r="L131" i="37"/>
  <c r="M131" i="37"/>
  <c r="L129" i="33"/>
  <c r="L129" i="32" s="1"/>
  <c r="K129" i="32"/>
  <c r="M129" i="32" s="1"/>
  <c r="M129" i="33"/>
  <c r="F135" i="34"/>
  <c r="H134" i="34"/>
  <c r="J134" i="34" s="1"/>
  <c r="K134" i="34" s="1"/>
  <c r="B141" i="37"/>
  <c r="G139" i="36"/>
  <c r="I138" i="36"/>
  <c r="C141" i="36"/>
  <c r="K130" i="33"/>
  <c r="J130" i="32"/>
  <c r="B145" i="35"/>
  <c r="I136" i="32"/>
  <c r="L135" i="35"/>
  <c r="M135" i="35"/>
  <c r="F137" i="35"/>
  <c r="H136" i="35"/>
  <c r="J136" i="35" s="1"/>
  <c r="K136" i="35" s="1"/>
  <c r="C143" i="33"/>
  <c r="C142" i="32"/>
  <c r="F132" i="32"/>
  <c r="F133" i="33"/>
  <c r="H132" i="33"/>
  <c r="C142" i="37"/>
  <c r="B140" i="36"/>
  <c r="C143" i="32" l="1"/>
  <c r="C144" i="33"/>
  <c r="F138" i="35"/>
  <c r="H137" i="35"/>
  <c r="J137" i="35" s="1"/>
  <c r="K137" i="35" s="1"/>
  <c r="B142" i="37"/>
  <c r="K131" i="33"/>
  <c r="J131" i="32"/>
  <c r="G141" i="37"/>
  <c r="I140" i="37"/>
  <c r="F132" i="36"/>
  <c r="H131" i="36"/>
  <c r="J131" i="36" s="1"/>
  <c r="K131" i="36" s="1"/>
  <c r="L131" i="36" s="1"/>
  <c r="B141" i="36"/>
  <c r="H132" i="32"/>
  <c r="J132" i="33"/>
  <c r="C142" i="36"/>
  <c r="I137" i="32"/>
  <c r="F134" i="33"/>
  <c r="F133" i="32"/>
  <c r="H133" i="33"/>
  <c r="L134" i="34"/>
  <c r="M134" i="34"/>
  <c r="C145" i="34"/>
  <c r="B144" i="34"/>
  <c r="L132" i="37"/>
  <c r="M132" i="37"/>
  <c r="B142" i="32"/>
  <c r="B143" i="33"/>
  <c r="G142" i="34"/>
  <c r="I141" i="34"/>
  <c r="L136" i="35"/>
  <c r="M136" i="35"/>
  <c r="B146" i="35"/>
  <c r="L130" i="33"/>
  <c r="L130" i="32" s="1"/>
  <c r="K130" i="32"/>
  <c r="M130" i="32" s="1"/>
  <c r="M130" i="33"/>
  <c r="G140" i="36"/>
  <c r="I139" i="36"/>
  <c r="F136" i="34"/>
  <c r="H135" i="34"/>
  <c r="J135" i="34" s="1"/>
  <c r="K135" i="34" s="1"/>
  <c r="G142" i="35"/>
  <c r="I141" i="35"/>
  <c r="C147" i="35"/>
  <c r="F134" i="37"/>
  <c r="H133" i="37"/>
  <c r="J133" i="37" s="1"/>
  <c r="K133" i="37" s="1"/>
  <c r="G139" i="33"/>
  <c r="G138" i="32"/>
  <c r="I138" i="33"/>
  <c r="L135" i="34" l="1"/>
  <c r="M135" i="34"/>
  <c r="B147" i="35"/>
  <c r="C146" i="34"/>
  <c r="B145" i="34"/>
  <c r="I138" i="32"/>
  <c r="C148" i="35"/>
  <c r="F137" i="34"/>
  <c r="H136" i="34"/>
  <c r="J136" i="34" s="1"/>
  <c r="K136" i="34" s="1"/>
  <c r="G143" i="34"/>
  <c r="I142" i="34"/>
  <c r="F135" i="33"/>
  <c r="F134" i="32"/>
  <c r="H134" i="33"/>
  <c r="C143" i="36"/>
  <c r="B142" i="36"/>
  <c r="G142" i="37"/>
  <c r="I142" i="37" s="1"/>
  <c r="I141" i="37"/>
  <c r="C145" i="33"/>
  <c r="C144" i="32"/>
  <c r="B143" i="32"/>
  <c r="B144" i="33"/>
  <c r="K132" i="33"/>
  <c r="J132" i="32"/>
  <c r="L137" i="35"/>
  <c r="M137" i="35"/>
  <c r="L133" i="37"/>
  <c r="M133" i="37"/>
  <c r="G139" i="32"/>
  <c r="G140" i="33"/>
  <c r="I139" i="33"/>
  <c r="F135" i="37"/>
  <c r="H134" i="37"/>
  <c r="J134" i="37" s="1"/>
  <c r="K134" i="37" s="1"/>
  <c r="G143" i="35"/>
  <c r="I142" i="35"/>
  <c r="G141" i="36"/>
  <c r="I140" i="36"/>
  <c r="H133" i="32"/>
  <c r="J133" i="33"/>
  <c r="F133" i="36"/>
  <c r="H132" i="36"/>
  <c r="J132" i="36" s="1"/>
  <c r="K132" i="36" s="1"/>
  <c r="L132" i="36" s="1"/>
  <c r="K131" i="32"/>
  <c r="M131" i="32" s="1"/>
  <c r="L131" i="33"/>
  <c r="L131" i="32" s="1"/>
  <c r="M131" i="33"/>
  <c r="F139" i="35"/>
  <c r="H138" i="35"/>
  <c r="J138" i="35" s="1"/>
  <c r="K138" i="35" s="1"/>
  <c r="F140" i="35" l="1"/>
  <c r="H139" i="35"/>
  <c r="J139" i="35" s="1"/>
  <c r="K139" i="35" s="1"/>
  <c r="G144" i="35"/>
  <c r="I143" i="35"/>
  <c r="G141" i="33"/>
  <c r="G140" i="32"/>
  <c r="I140" i="33"/>
  <c r="L132" i="33"/>
  <c r="L132" i="32" s="1"/>
  <c r="K132" i="32"/>
  <c r="M132" i="32" s="1"/>
  <c r="M132" i="33"/>
  <c r="C146" i="33"/>
  <c r="C145" i="32"/>
  <c r="B143" i="36"/>
  <c r="H134" i="32"/>
  <c r="J134" i="33"/>
  <c r="G144" i="34"/>
  <c r="I143" i="34"/>
  <c r="C149" i="35"/>
  <c r="F134" i="36"/>
  <c r="H133" i="36"/>
  <c r="J133" i="36" s="1"/>
  <c r="K133" i="36" s="1"/>
  <c r="L133" i="36" s="1"/>
  <c r="B144" i="32"/>
  <c r="B145" i="33"/>
  <c r="L136" i="34"/>
  <c r="M136" i="34"/>
  <c r="C147" i="34"/>
  <c r="B146" i="34"/>
  <c r="B148" i="35"/>
  <c r="L134" i="37"/>
  <c r="M134" i="37"/>
  <c r="K133" i="33"/>
  <c r="J133" i="32"/>
  <c r="G142" i="36"/>
  <c r="I141" i="36"/>
  <c r="F136" i="37"/>
  <c r="H135" i="37"/>
  <c r="J135" i="37" s="1"/>
  <c r="K135" i="37" s="1"/>
  <c r="F136" i="33"/>
  <c r="F135" i="32"/>
  <c r="H135" i="33"/>
  <c r="F138" i="34"/>
  <c r="H137" i="34"/>
  <c r="J137" i="34" s="1"/>
  <c r="K137" i="34" s="1"/>
  <c r="L138" i="35"/>
  <c r="M138" i="35"/>
  <c r="I139" i="32"/>
  <c r="C144" i="36"/>
  <c r="C145" i="36" l="1"/>
  <c r="H135" i="32"/>
  <c r="J135" i="33"/>
  <c r="G143" i="36"/>
  <c r="I142" i="36"/>
  <c r="L135" i="37"/>
  <c r="M135" i="37"/>
  <c r="C147" i="33"/>
  <c r="C146" i="32"/>
  <c r="I140" i="32"/>
  <c r="G145" i="35"/>
  <c r="I144" i="35"/>
  <c r="L137" i="34"/>
  <c r="M137" i="34"/>
  <c r="F136" i="32"/>
  <c r="F137" i="33"/>
  <c r="H136" i="33"/>
  <c r="F137" i="37"/>
  <c r="H136" i="37"/>
  <c r="J136" i="37" s="1"/>
  <c r="K136" i="37" s="1"/>
  <c r="L133" i="33"/>
  <c r="L133" i="32" s="1"/>
  <c r="K133" i="32"/>
  <c r="M133" i="32" s="1"/>
  <c r="M133" i="33"/>
  <c r="B149" i="35"/>
  <c r="C148" i="34"/>
  <c r="B147" i="34"/>
  <c r="B146" i="33"/>
  <c r="B145" i="32"/>
  <c r="F135" i="36"/>
  <c r="H134" i="36"/>
  <c r="J134" i="36" s="1"/>
  <c r="K134" i="36" s="1"/>
  <c r="L134" i="36" s="1"/>
  <c r="G145" i="34"/>
  <c r="I144" i="34"/>
  <c r="B144" i="36"/>
  <c r="L139" i="35"/>
  <c r="M139" i="35"/>
  <c r="F139" i="34"/>
  <c r="H138" i="34"/>
  <c r="J138" i="34" s="1"/>
  <c r="K138" i="34" s="1"/>
  <c r="C150" i="35"/>
  <c r="K134" i="33"/>
  <c r="J134" i="32"/>
  <c r="G142" i="33"/>
  <c r="G141" i="32"/>
  <c r="I141" i="33"/>
  <c r="F141" i="35"/>
  <c r="H140" i="35"/>
  <c r="J140" i="35" s="1"/>
  <c r="K140" i="35" s="1"/>
  <c r="L140" i="35" l="1"/>
  <c r="M140" i="35"/>
  <c r="G143" i="33"/>
  <c r="G142" i="32"/>
  <c r="I142" i="33"/>
  <c r="F136" i="36"/>
  <c r="H135" i="36"/>
  <c r="J135" i="36" s="1"/>
  <c r="K135" i="36" s="1"/>
  <c r="L135" i="36" s="1"/>
  <c r="B150" i="35"/>
  <c r="L136" i="37"/>
  <c r="M136" i="37"/>
  <c r="G146" i="35"/>
  <c r="I145" i="35"/>
  <c r="J135" i="32"/>
  <c r="K135" i="33"/>
  <c r="F138" i="37"/>
  <c r="H137" i="37"/>
  <c r="J137" i="37" s="1"/>
  <c r="K137" i="37" s="1"/>
  <c r="F142" i="35"/>
  <c r="H141" i="35"/>
  <c r="J141" i="35" s="1"/>
  <c r="K141" i="35" s="1"/>
  <c r="I141" i="32"/>
  <c r="L134" i="33"/>
  <c r="L134" i="32" s="1"/>
  <c r="K134" i="32"/>
  <c r="M134" i="32" s="1"/>
  <c r="M134" i="33"/>
  <c r="L138" i="34"/>
  <c r="M138" i="34"/>
  <c r="G146" i="34"/>
  <c r="I145" i="34"/>
  <c r="B148" i="34"/>
  <c r="C149" i="34"/>
  <c r="H136" i="32"/>
  <c r="J136" i="33"/>
  <c r="C148" i="33"/>
  <c r="C147" i="32"/>
  <c r="C151" i="35"/>
  <c r="F140" i="34"/>
  <c r="H139" i="34"/>
  <c r="J139" i="34" s="1"/>
  <c r="K139" i="34" s="1"/>
  <c r="B145" i="36"/>
  <c r="B147" i="33"/>
  <c r="B146" i="32"/>
  <c r="F137" i="32"/>
  <c r="F138" i="33"/>
  <c r="H137" i="33"/>
  <c r="G144" i="36"/>
  <c r="I143" i="36"/>
  <c r="C146" i="36"/>
  <c r="C152" i="35" l="1"/>
  <c r="C149" i="33"/>
  <c r="C148" i="32"/>
  <c r="B149" i="34"/>
  <c r="C150" i="34"/>
  <c r="G147" i="34"/>
  <c r="I146" i="34"/>
  <c r="F143" i="35"/>
  <c r="H142" i="35"/>
  <c r="J142" i="35" s="1"/>
  <c r="K142" i="35" s="1"/>
  <c r="G147" i="35"/>
  <c r="I146" i="35"/>
  <c r="B151" i="35"/>
  <c r="C147" i="36"/>
  <c r="B146" i="36"/>
  <c r="K135" i="32"/>
  <c r="M135" i="32" s="1"/>
  <c r="B21" i="31" s="1"/>
  <c r="L135" i="33"/>
  <c r="L135" i="32" s="1"/>
  <c r="M135" i="33"/>
  <c r="G144" i="33"/>
  <c r="G143" i="32"/>
  <c r="I143" i="33"/>
  <c r="H137" i="32"/>
  <c r="J137" i="33"/>
  <c r="B148" i="33"/>
  <c r="B147" i="32"/>
  <c r="L139" i="34"/>
  <c r="M139" i="34"/>
  <c r="J136" i="32"/>
  <c r="K136" i="33"/>
  <c r="L137" i="37"/>
  <c r="M137" i="37"/>
  <c r="F137" i="36"/>
  <c r="H136" i="36"/>
  <c r="J136" i="36" s="1"/>
  <c r="K136" i="36" s="1"/>
  <c r="L136" i="36" s="1"/>
  <c r="G145" i="36"/>
  <c r="I144" i="36"/>
  <c r="F139" i="33"/>
  <c r="F138" i="32"/>
  <c r="H138" i="33"/>
  <c r="F141" i="34"/>
  <c r="H140" i="34"/>
  <c r="J140" i="34" s="1"/>
  <c r="K140" i="34" s="1"/>
  <c r="L141" i="35"/>
  <c r="M141" i="35"/>
  <c r="F139" i="37"/>
  <c r="H138" i="37"/>
  <c r="J138" i="37" s="1"/>
  <c r="K138" i="37" s="1"/>
  <c r="I142" i="32"/>
  <c r="L140" i="34" l="1"/>
  <c r="M140" i="34"/>
  <c r="F140" i="33"/>
  <c r="F139" i="32"/>
  <c r="H139" i="33"/>
  <c r="F138" i="36"/>
  <c r="H137" i="36"/>
  <c r="J137" i="36" s="1"/>
  <c r="K137" i="36" s="1"/>
  <c r="L137" i="36" s="1"/>
  <c r="B147" i="36"/>
  <c r="L142" i="35"/>
  <c r="M142" i="35"/>
  <c r="B150" i="34"/>
  <c r="C151" i="34"/>
  <c r="L138" i="37"/>
  <c r="M138" i="37"/>
  <c r="F142" i="34"/>
  <c r="H141" i="34"/>
  <c r="J141" i="34" s="1"/>
  <c r="K141" i="34" s="1"/>
  <c r="B148" i="32"/>
  <c r="B149" i="33"/>
  <c r="I143" i="32"/>
  <c r="B152" i="35"/>
  <c r="F144" i="35"/>
  <c r="H143" i="35"/>
  <c r="J143" i="35" s="1"/>
  <c r="K143" i="35" s="1"/>
  <c r="C150" i="33"/>
  <c r="C149" i="32"/>
  <c r="H138" i="32"/>
  <c r="J138" i="33"/>
  <c r="C21" i="31"/>
  <c r="E21" i="31" s="1"/>
  <c r="F21" i="31" s="1"/>
  <c r="D21" i="31"/>
  <c r="C148" i="36"/>
  <c r="F140" i="37"/>
  <c r="H139" i="37"/>
  <c r="J139" i="37" s="1"/>
  <c r="K139" i="37" s="1"/>
  <c r="G146" i="36"/>
  <c r="I145" i="36"/>
  <c r="K137" i="33"/>
  <c r="J137" i="32"/>
  <c r="K136" i="32"/>
  <c r="M136" i="32" s="1"/>
  <c r="L136" i="33"/>
  <c r="L136" i="32" s="1"/>
  <c r="M136" i="33"/>
  <c r="G145" i="33"/>
  <c r="G144" i="32"/>
  <c r="I144" i="33"/>
  <c r="G148" i="35"/>
  <c r="I147" i="35"/>
  <c r="G148" i="34"/>
  <c r="I147" i="34"/>
  <c r="C153" i="35"/>
  <c r="F141" i="37" l="1"/>
  <c r="H140" i="37"/>
  <c r="J140" i="37" s="1"/>
  <c r="K140" i="37" s="1"/>
  <c r="I144" i="32"/>
  <c r="J138" i="32"/>
  <c r="K138" i="33"/>
  <c r="C151" i="33"/>
  <c r="C150" i="32"/>
  <c r="B153" i="35"/>
  <c r="B148" i="36"/>
  <c r="G149" i="34"/>
  <c r="I148" i="34"/>
  <c r="G147" i="36"/>
  <c r="I146" i="36"/>
  <c r="C149" i="36"/>
  <c r="L141" i="34"/>
  <c r="M141" i="34"/>
  <c r="F140" i="32"/>
  <c r="F141" i="33"/>
  <c r="H140" i="33"/>
  <c r="C154" i="35"/>
  <c r="G146" i="33"/>
  <c r="G145" i="32"/>
  <c r="I145" i="33"/>
  <c r="L139" i="37"/>
  <c r="M139" i="37"/>
  <c r="L143" i="35"/>
  <c r="M143" i="35"/>
  <c r="B150" i="33"/>
  <c r="B149" i="32"/>
  <c r="F143" i="34"/>
  <c r="H142" i="34"/>
  <c r="J142" i="34" s="1"/>
  <c r="K142" i="34" s="1"/>
  <c r="C152" i="34"/>
  <c r="B151" i="34"/>
  <c r="F139" i="36"/>
  <c r="H138" i="36"/>
  <c r="J138" i="36" s="1"/>
  <c r="K138" i="36" s="1"/>
  <c r="L138" i="36" s="1"/>
  <c r="G149" i="35"/>
  <c r="I148" i="35"/>
  <c r="L137" i="33"/>
  <c r="L137" i="32" s="1"/>
  <c r="K137" i="32"/>
  <c r="M137" i="32" s="1"/>
  <c r="M137" i="33"/>
  <c r="F145" i="35"/>
  <c r="H144" i="35"/>
  <c r="J144" i="35" s="1"/>
  <c r="K144" i="35" s="1"/>
  <c r="H139" i="32"/>
  <c r="J139" i="33"/>
  <c r="J139" i="32" l="1"/>
  <c r="K139" i="33"/>
  <c r="F140" i="36"/>
  <c r="H139" i="36"/>
  <c r="J139" i="36" s="1"/>
  <c r="K139" i="36" s="1"/>
  <c r="L139" i="36" s="1"/>
  <c r="L142" i="34"/>
  <c r="M142" i="34"/>
  <c r="B151" i="33"/>
  <c r="B150" i="32"/>
  <c r="H140" i="32"/>
  <c r="J140" i="33"/>
  <c r="G148" i="36"/>
  <c r="I147" i="36"/>
  <c r="L144" i="35"/>
  <c r="M144" i="35"/>
  <c r="F146" i="35"/>
  <c r="H145" i="35"/>
  <c r="J145" i="35" s="1"/>
  <c r="K145" i="35" s="1"/>
  <c r="F144" i="34"/>
  <c r="H143" i="34"/>
  <c r="J143" i="34" s="1"/>
  <c r="K143" i="34" s="1"/>
  <c r="I145" i="32"/>
  <c r="F142" i="33"/>
  <c r="F141" i="32"/>
  <c r="H141" i="33"/>
  <c r="C150" i="36"/>
  <c r="B154" i="35"/>
  <c r="C151" i="32"/>
  <c r="C152" i="33"/>
  <c r="G150" i="35"/>
  <c r="I149" i="35"/>
  <c r="C155" i="35"/>
  <c r="G150" i="34"/>
  <c r="I149" i="34"/>
  <c r="L138" i="33"/>
  <c r="L138" i="32" s="1"/>
  <c r="K138" i="32"/>
  <c r="M138" i="32" s="1"/>
  <c r="M138" i="33"/>
  <c r="L140" i="37"/>
  <c r="M140" i="37"/>
  <c r="B152" i="34"/>
  <c r="C153" i="34"/>
  <c r="G146" i="32"/>
  <c r="G147" i="33"/>
  <c r="I146" i="33"/>
  <c r="B149" i="36"/>
  <c r="F142" i="37"/>
  <c r="H142" i="37" s="1"/>
  <c r="J142" i="37" s="1"/>
  <c r="K142" i="37" s="1"/>
  <c r="H141" i="37"/>
  <c r="J141" i="37" s="1"/>
  <c r="K141" i="37" s="1"/>
  <c r="L141" i="37" l="1"/>
  <c r="M141" i="37"/>
  <c r="B153" i="34"/>
  <c r="C154" i="34"/>
  <c r="C153" i="33"/>
  <c r="C152" i="32"/>
  <c r="C151" i="36"/>
  <c r="F145" i="34"/>
  <c r="H144" i="34"/>
  <c r="J144" i="34" s="1"/>
  <c r="K144" i="34" s="1"/>
  <c r="F147" i="35"/>
  <c r="H146" i="35"/>
  <c r="J146" i="35" s="1"/>
  <c r="K146" i="35" s="1"/>
  <c r="G149" i="36"/>
  <c r="I148" i="36"/>
  <c r="B152" i="33"/>
  <c r="B151" i="32"/>
  <c r="L143" i="37"/>
  <c r="L142" i="37"/>
  <c r="M142" i="37"/>
  <c r="I146" i="32"/>
  <c r="H141" i="32"/>
  <c r="J141" i="33"/>
  <c r="J140" i="32"/>
  <c r="K140" i="33"/>
  <c r="F141" i="36"/>
  <c r="H140" i="36"/>
  <c r="J140" i="36" s="1"/>
  <c r="K140" i="36" s="1"/>
  <c r="L140" i="36" s="1"/>
  <c r="B150" i="36"/>
  <c r="G147" i="32"/>
  <c r="G148" i="33"/>
  <c r="I147" i="33"/>
  <c r="G151" i="34"/>
  <c r="I150" i="34"/>
  <c r="K139" i="32"/>
  <c r="M139" i="32" s="1"/>
  <c r="L139" i="33"/>
  <c r="L139" i="32" s="1"/>
  <c r="M139" i="33"/>
  <c r="C156" i="35"/>
  <c r="G151" i="35"/>
  <c r="I150" i="35"/>
  <c r="B155" i="35"/>
  <c r="F143" i="33"/>
  <c r="F142" i="32"/>
  <c r="H142" i="33"/>
  <c r="L143" i="34"/>
  <c r="M143" i="34"/>
  <c r="L145" i="35"/>
  <c r="M145" i="35"/>
  <c r="H142" i="32" l="1"/>
  <c r="J142" i="33"/>
  <c r="B156" i="35"/>
  <c r="C157" i="35"/>
  <c r="G152" i="34"/>
  <c r="I151" i="34"/>
  <c r="B151" i="36"/>
  <c r="L140" i="33"/>
  <c r="L140" i="32" s="1"/>
  <c r="K140" i="32"/>
  <c r="M140" i="32" s="1"/>
  <c r="M140" i="33"/>
  <c r="L144" i="34"/>
  <c r="M144" i="34"/>
  <c r="I147" i="32"/>
  <c r="G150" i="36"/>
  <c r="I149" i="36"/>
  <c r="F146" i="34"/>
  <c r="H145" i="34"/>
  <c r="J145" i="34" s="1"/>
  <c r="K145" i="34" s="1"/>
  <c r="C154" i="33"/>
  <c r="C153" i="32"/>
  <c r="F144" i="33"/>
  <c r="F143" i="32"/>
  <c r="H143" i="33"/>
  <c r="G152" i="35"/>
  <c r="I151" i="35"/>
  <c r="G149" i="33"/>
  <c r="G148" i="32"/>
  <c r="I148" i="33"/>
  <c r="K141" i="33"/>
  <c r="J141" i="32"/>
  <c r="L146" i="35"/>
  <c r="M146" i="35"/>
  <c r="C152" i="36"/>
  <c r="F142" i="36"/>
  <c r="H141" i="36"/>
  <c r="J141" i="36" s="1"/>
  <c r="K141" i="36" s="1"/>
  <c r="L141" i="36" s="1"/>
  <c r="B153" i="33"/>
  <c r="B152" i="32"/>
  <c r="F148" i="35"/>
  <c r="H147" i="35"/>
  <c r="J147" i="35" s="1"/>
  <c r="K147" i="35" s="1"/>
  <c r="B154" i="34"/>
  <c r="C155" i="34"/>
  <c r="C153" i="36" l="1"/>
  <c r="L141" i="33"/>
  <c r="L141" i="32" s="1"/>
  <c r="K141" i="32"/>
  <c r="M141" i="32" s="1"/>
  <c r="M141" i="33"/>
  <c r="F145" i="33"/>
  <c r="F144" i="32"/>
  <c r="H144" i="33"/>
  <c r="L145" i="34"/>
  <c r="M145" i="34"/>
  <c r="C158" i="35"/>
  <c r="K142" i="33"/>
  <c r="J142" i="32"/>
  <c r="F143" i="36"/>
  <c r="H142" i="36"/>
  <c r="J142" i="36" s="1"/>
  <c r="K142" i="36" s="1"/>
  <c r="L142" i="36" s="1"/>
  <c r="I148" i="32"/>
  <c r="G153" i="35"/>
  <c r="I152" i="35"/>
  <c r="F147" i="34"/>
  <c r="H146" i="34"/>
  <c r="J146" i="34" s="1"/>
  <c r="K146" i="34" s="1"/>
  <c r="B152" i="36"/>
  <c r="H143" i="32"/>
  <c r="J143" i="33"/>
  <c r="C155" i="33"/>
  <c r="C154" i="32"/>
  <c r="B157" i="35"/>
  <c r="L147" i="35"/>
  <c r="M147" i="35"/>
  <c r="B154" i="33"/>
  <c r="B153" i="32"/>
  <c r="C156" i="34"/>
  <c r="B155" i="34"/>
  <c r="F149" i="35"/>
  <c r="H148" i="35"/>
  <c r="J148" i="35" s="1"/>
  <c r="K148" i="35" s="1"/>
  <c r="G149" i="32"/>
  <c r="G150" i="33"/>
  <c r="I149" i="33"/>
  <c r="G151" i="36"/>
  <c r="I150" i="36"/>
  <c r="G153" i="34"/>
  <c r="I152" i="34"/>
  <c r="I149" i="32" l="1"/>
  <c r="C155" i="32"/>
  <c r="C156" i="33"/>
  <c r="G154" i="35"/>
  <c r="I153" i="35"/>
  <c r="L142" i="33"/>
  <c r="L142" i="32" s="1"/>
  <c r="K142" i="32"/>
  <c r="M142" i="32" s="1"/>
  <c r="M142" i="33"/>
  <c r="F146" i="33"/>
  <c r="F145" i="32"/>
  <c r="H145" i="33"/>
  <c r="G154" i="34"/>
  <c r="I153" i="34"/>
  <c r="G150" i="32"/>
  <c r="G151" i="33"/>
  <c r="I150" i="33"/>
  <c r="B158" i="35"/>
  <c r="K143" i="33"/>
  <c r="J143" i="32"/>
  <c r="L146" i="34"/>
  <c r="M146" i="34"/>
  <c r="F144" i="36"/>
  <c r="H143" i="36"/>
  <c r="J143" i="36" s="1"/>
  <c r="K143" i="36" s="1"/>
  <c r="L143" i="36" s="1"/>
  <c r="B155" i="33"/>
  <c r="B154" i="32"/>
  <c r="F148" i="34"/>
  <c r="H147" i="34"/>
  <c r="J147" i="34" s="1"/>
  <c r="K147" i="34" s="1"/>
  <c r="C159" i="35"/>
  <c r="H144" i="32"/>
  <c r="J144" i="33"/>
  <c r="C154" i="36"/>
  <c r="F150" i="35"/>
  <c r="H149" i="35"/>
  <c r="J149" i="35" s="1"/>
  <c r="K149" i="35" s="1"/>
  <c r="G152" i="36"/>
  <c r="I151" i="36"/>
  <c r="L148" i="35"/>
  <c r="M148" i="35"/>
  <c r="C157" i="34"/>
  <c r="B156" i="34"/>
  <c r="B153" i="36"/>
  <c r="F151" i="35" l="1"/>
  <c r="H150" i="35"/>
  <c r="J150" i="35" s="1"/>
  <c r="K150" i="35" s="1"/>
  <c r="C160" i="35"/>
  <c r="F147" i="33"/>
  <c r="F146" i="32"/>
  <c r="H146" i="33"/>
  <c r="C158" i="34"/>
  <c r="B157" i="34"/>
  <c r="J144" i="32"/>
  <c r="K144" i="33"/>
  <c r="B155" i="32"/>
  <c r="B156" i="33"/>
  <c r="I150" i="32"/>
  <c r="G155" i="34"/>
  <c r="I154" i="34"/>
  <c r="G155" i="35"/>
  <c r="I154" i="35"/>
  <c r="L147" i="34"/>
  <c r="M147" i="34"/>
  <c r="F145" i="36"/>
  <c r="H144" i="36"/>
  <c r="J144" i="36" s="1"/>
  <c r="K144" i="36" s="1"/>
  <c r="L144" i="36" s="1"/>
  <c r="L143" i="33"/>
  <c r="L143" i="32" s="1"/>
  <c r="K143" i="32"/>
  <c r="M143" i="32" s="1"/>
  <c r="M143" i="33"/>
  <c r="G151" i="32"/>
  <c r="G152" i="33"/>
  <c r="I151" i="33"/>
  <c r="H145" i="32"/>
  <c r="J145" i="33"/>
  <c r="C156" i="32"/>
  <c r="C157" i="33"/>
  <c r="G153" i="36"/>
  <c r="I152" i="36"/>
  <c r="B154" i="36"/>
  <c r="L149" i="35"/>
  <c r="M149" i="35"/>
  <c r="F149" i="34"/>
  <c r="H148" i="34"/>
  <c r="J148" i="34" s="1"/>
  <c r="K148" i="34" s="1"/>
  <c r="B159" i="35"/>
  <c r="F150" i="34" l="1"/>
  <c r="H149" i="34"/>
  <c r="J149" i="34" s="1"/>
  <c r="K149" i="34" s="1"/>
  <c r="C157" i="32"/>
  <c r="C158" i="33"/>
  <c r="F146" i="36"/>
  <c r="H145" i="36"/>
  <c r="J145" i="36" s="1"/>
  <c r="K145" i="36" s="1"/>
  <c r="L145" i="36" s="1"/>
  <c r="G156" i="35"/>
  <c r="I155" i="35"/>
  <c r="I151" i="32"/>
  <c r="L144" i="33"/>
  <c r="L144" i="32" s="1"/>
  <c r="K144" i="32"/>
  <c r="M144" i="32" s="1"/>
  <c r="M144" i="33"/>
  <c r="H146" i="32"/>
  <c r="J146" i="33"/>
  <c r="L150" i="35"/>
  <c r="M150" i="35"/>
  <c r="B160" i="35"/>
  <c r="G154" i="36"/>
  <c r="I154" i="36" s="1"/>
  <c r="I153" i="36"/>
  <c r="G153" i="33"/>
  <c r="G152" i="32"/>
  <c r="I152" i="33"/>
  <c r="G156" i="34"/>
  <c r="I155" i="34"/>
  <c r="B156" i="32"/>
  <c r="B157" i="33"/>
  <c r="C159" i="34"/>
  <c r="B158" i="34"/>
  <c r="F152" i="35"/>
  <c r="H151" i="35"/>
  <c r="J151" i="35" s="1"/>
  <c r="K151" i="35" s="1"/>
  <c r="L148" i="34"/>
  <c r="M148" i="34"/>
  <c r="K145" i="33"/>
  <c r="J145" i="32"/>
  <c r="F148" i="33"/>
  <c r="F147" i="32"/>
  <c r="H147" i="33"/>
  <c r="C161" i="35"/>
  <c r="F153" i="35" l="1"/>
  <c r="H152" i="35"/>
  <c r="J152" i="35" s="1"/>
  <c r="K152" i="35" s="1"/>
  <c r="B158" i="33"/>
  <c r="B157" i="32"/>
  <c r="G157" i="34"/>
  <c r="I156" i="34"/>
  <c r="G157" i="35"/>
  <c r="I156" i="35"/>
  <c r="H147" i="32"/>
  <c r="J147" i="33"/>
  <c r="I152" i="32"/>
  <c r="B161" i="35"/>
  <c r="K146" i="33"/>
  <c r="J146" i="32"/>
  <c r="F147" i="36"/>
  <c r="H146" i="36"/>
  <c r="J146" i="36" s="1"/>
  <c r="K146" i="36" s="1"/>
  <c r="L146" i="36" s="1"/>
  <c r="L149" i="34"/>
  <c r="M149" i="34"/>
  <c r="C162" i="35"/>
  <c r="F148" i="32"/>
  <c r="F149" i="33"/>
  <c r="H148" i="33"/>
  <c r="L145" i="33"/>
  <c r="L145" i="32" s="1"/>
  <c r="K145" i="32"/>
  <c r="M145" i="32" s="1"/>
  <c r="M145" i="33"/>
  <c r="L151" i="35"/>
  <c r="M151" i="35"/>
  <c r="C160" i="34"/>
  <c r="B159" i="34"/>
  <c r="G154" i="33"/>
  <c r="G153" i="32"/>
  <c r="I153" i="33"/>
  <c r="C159" i="33"/>
  <c r="C158" i="32"/>
  <c r="F151" i="34"/>
  <c r="H150" i="34"/>
  <c r="J150" i="34" s="1"/>
  <c r="K150" i="34" s="1"/>
  <c r="I153" i="32" l="1"/>
  <c r="L146" i="33"/>
  <c r="L146" i="32" s="1"/>
  <c r="K146" i="32"/>
  <c r="M146" i="32" s="1"/>
  <c r="M146" i="33"/>
  <c r="K147" i="33"/>
  <c r="J147" i="32"/>
  <c r="H148" i="32"/>
  <c r="J148" i="33"/>
  <c r="C163" i="35"/>
  <c r="F148" i="36"/>
  <c r="H147" i="36"/>
  <c r="J147" i="36" s="1"/>
  <c r="K147" i="36" s="1"/>
  <c r="L147" i="36" s="1"/>
  <c r="B159" i="33"/>
  <c r="B158" i="32"/>
  <c r="L150" i="34"/>
  <c r="M150" i="34"/>
  <c r="C159" i="32"/>
  <c r="C160" i="33"/>
  <c r="F152" i="34"/>
  <c r="H151" i="34"/>
  <c r="J151" i="34" s="1"/>
  <c r="K151" i="34" s="1"/>
  <c r="G155" i="33"/>
  <c r="G154" i="32"/>
  <c r="I154" i="33"/>
  <c r="F150" i="33"/>
  <c r="F149" i="32"/>
  <c r="H149" i="33"/>
  <c r="B162" i="35"/>
  <c r="G158" i="34"/>
  <c r="I157" i="34"/>
  <c r="L152" i="35"/>
  <c r="M152" i="35"/>
  <c r="C161" i="34"/>
  <c r="B160" i="34"/>
  <c r="G158" i="35"/>
  <c r="I157" i="35"/>
  <c r="F154" i="35"/>
  <c r="H153" i="35"/>
  <c r="J153" i="35" s="1"/>
  <c r="K153" i="35" s="1"/>
  <c r="C164" i="35" l="1"/>
  <c r="K147" i="32"/>
  <c r="M147" i="32" s="1"/>
  <c r="B22" i="31" s="1"/>
  <c r="L147" i="33"/>
  <c r="L147" i="32" s="1"/>
  <c r="M147" i="33"/>
  <c r="L153" i="35"/>
  <c r="M153" i="35"/>
  <c r="F155" i="35"/>
  <c r="H154" i="35"/>
  <c r="J154" i="35" s="1"/>
  <c r="K154" i="35" s="1"/>
  <c r="L151" i="34"/>
  <c r="M151" i="34"/>
  <c r="B159" i="32"/>
  <c r="B160" i="33"/>
  <c r="K148" i="33"/>
  <c r="J148" i="32"/>
  <c r="C162" i="34"/>
  <c r="B161" i="34"/>
  <c r="F151" i="33"/>
  <c r="F150" i="32"/>
  <c r="H150" i="33"/>
  <c r="G155" i="32"/>
  <c r="G156" i="33"/>
  <c r="I155" i="33"/>
  <c r="G159" i="34"/>
  <c r="I158" i="34"/>
  <c r="B163" i="35"/>
  <c r="G159" i="35"/>
  <c r="I158" i="35"/>
  <c r="H149" i="32"/>
  <c r="J149" i="33"/>
  <c r="I154" i="32"/>
  <c r="F153" i="34"/>
  <c r="H152" i="34"/>
  <c r="J152" i="34" s="1"/>
  <c r="K152" i="34" s="1"/>
  <c r="F149" i="36"/>
  <c r="H148" i="36"/>
  <c r="J148" i="36" s="1"/>
  <c r="K148" i="36" s="1"/>
  <c r="L148" i="36" s="1"/>
  <c r="C161" i="33"/>
  <c r="C160" i="32"/>
  <c r="C162" i="33" l="1"/>
  <c r="C161" i="32"/>
  <c r="K149" i="33"/>
  <c r="J149" i="32"/>
  <c r="F150" i="36"/>
  <c r="H149" i="36"/>
  <c r="J149" i="36" s="1"/>
  <c r="K149" i="36" s="1"/>
  <c r="L149" i="36" s="1"/>
  <c r="I155" i="32"/>
  <c r="C163" i="34"/>
  <c r="B162" i="34"/>
  <c r="L154" i="35"/>
  <c r="M154" i="35"/>
  <c r="C165" i="35"/>
  <c r="L152" i="34"/>
  <c r="M152" i="34"/>
  <c r="G160" i="35"/>
  <c r="I159" i="35"/>
  <c r="G160" i="34"/>
  <c r="I159" i="34"/>
  <c r="G157" i="33"/>
  <c r="G156" i="32"/>
  <c r="I156" i="33"/>
  <c r="F152" i="33"/>
  <c r="F151" i="32"/>
  <c r="H151" i="33"/>
  <c r="F156" i="35"/>
  <c r="H155" i="35"/>
  <c r="J155" i="35" s="1"/>
  <c r="K155" i="35" s="1"/>
  <c r="F154" i="34"/>
  <c r="H153" i="34"/>
  <c r="J153" i="34" s="1"/>
  <c r="K153" i="34" s="1"/>
  <c r="D22" i="31"/>
  <c r="C22" i="31"/>
  <c r="L148" i="33"/>
  <c r="L148" i="32" s="1"/>
  <c r="K148" i="32"/>
  <c r="M148" i="32" s="1"/>
  <c r="M148" i="33"/>
  <c r="B164" i="35"/>
  <c r="H150" i="32"/>
  <c r="J150" i="33"/>
  <c r="B160" i="32"/>
  <c r="B161" i="33"/>
  <c r="K150" i="33" l="1"/>
  <c r="J150" i="32"/>
  <c r="E22" i="31"/>
  <c r="F22" i="31" s="1"/>
  <c r="F155" i="34"/>
  <c r="H154" i="34"/>
  <c r="J154" i="34" s="1"/>
  <c r="K154" i="34" s="1"/>
  <c r="G158" i="33"/>
  <c r="G157" i="32"/>
  <c r="I157" i="33"/>
  <c r="G161" i="35"/>
  <c r="I160" i="35"/>
  <c r="L149" i="33"/>
  <c r="L149" i="32" s="1"/>
  <c r="K149" i="32"/>
  <c r="M149" i="32" s="1"/>
  <c r="M149" i="33"/>
  <c r="L155" i="35"/>
  <c r="M155" i="35"/>
  <c r="F152" i="32"/>
  <c r="F153" i="33"/>
  <c r="H152" i="33"/>
  <c r="C164" i="34"/>
  <c r="B163" i="34"/>
  <c r="B162" i="33"/>
  <c r="B161" i="32"/>
  <c r="B165" i="35"/>
  <c r="F157" i="35"/>
  <c r="H156" i="35"/>
  <c r="J156" i="35" s="1"/>
  <c r="K156" i="35" s="1"/>
  <c r="I156" i="32"/>
  <c r="G161" i="34"/>
  <c r="I160" i="34"/>
  <c r="F151" i="36"/>
  <c r="H150" i="36"/>
  <c r="J150" i="36" s="1"/>
  <c r="K150" i="36" s="1"/>
  <c r="L150" i="36" s="1"/>
  <c r="L153" i="34"/>
  <c r="M153" i="34"/>
  <c r="H151" i="32"/>
  <c r="J151" i="33"/>
  <c r="C166" i="35"/>
  <c r="C163" i="33"/>
  <c r="C162" i="32"/>
  <c r="C164" i="33" l="1"/>
  <c r="C163" i="32"/>
  <c r="B163" i="33"/>
  <c r="B162" i="32"/>
  <c r="I157" i="32"/>
  <c r="F156" i="34"/>
  <c r="H155" i="34"/>
  <c r="J155" i="34" s="1"/>
  <c r="K155" i="34" s="1"/>
  <c r="B166" i="35"/>
  <c r="J151" i="32"/>
  <c r="K151" i="33"/>
  <c r="G162" i="34"/>
  <c r="I161" i="34"/>
  <c r="L156" i="35"/>
  <c r="M156" i="35"/>
  <c r="H152" i="32"/>
  <c r="J152" i="33"/>
  <c r="G159" i="33"/>
  <c r="G158" i="32"/>
  <c r="I158" i="33"/>
  <c r="F152" i="36"/>
  <c r="H151" i="36"/>
  <c r="J151" i="36" s="1"/>
  <c r="K151" i="36" s="1"/>
  <c r="L151" i="36" s="1"/>
  <c r="F158" i="35"/>
  <c r="H157" i="35"/>
  <c r="J157" i="35" s="1"/>
  <c r="K157" i="35" s="1"/>
  <c r="B164" i="34"/>
  <c r="C165" i="34"/>
  <c r="F153" i="32"/>
  <c r="F154" i="33"/>
  <c r="H153" i="33"/>
  <c r="G162" i="35"/>
  <c r="I161" i="35"/>
  <c r="L154" i="34"/>
  <c r="M154" i="34"/>
  <c r="L150" i="33"/>
  <c r="L150" i="32" s="1"/>
  <c r="K150" i="32"/>
  <c r="M150" i="32" s="1"/>
  <c r="M150" i="33"/>
  <c r="F154" i="32" l="1"/>
  <c r="F155" i="33"/>
  <c r="H154" i="33"/>
  <c r="G160" i="33"/>
  <c r="G159" i="32"/>
  <c r="I159" i="33"/>
  <c r="L157" i="35"/>
  <c r="M157" i="35"/>
  <c r="G163" i="34"/>
  <c r="I162" i="34"/>
  <c r="L155" i="34"/>
  <c r="M155" i="34"/>
  <c r="F153" i="36"/>
  <c r="H152" i="36"/>
  <c r="J152" i="36" s="1"/>
  <c r="K152" i="36" s="1"/>
  <c r="L152" i="36" s="1"/>
  <c r="G163" i="35"/>
  <c r="I162" i="35"/>
  <c r="B165" i="34"/>
  <c r="C166" i="34"/>
  <c r="F159" i="35"/>
  <c r="H158" i="35"/>
  <c r="J158" i="35" s="1"/>
  <c r="K158" i="35" s="1"/>
  <c r="I158" i="32"/>
  <c r="K151" i="32"/>
  <c r="M151" i="32" s="1"/>
  <c r="L151" i="33"/>
  <c r="L151" i="32" s="1"/>
  <c r="M151" i="33"/>
  <c r="F157" i="34"/>
  <c r="H156" i="34"/>
  <c r="J156" i="34" s="1"/>
  <c r="K156" i="34" s="1"/>
  <c r="C165" i="33"/>
  <c r="C164" i="32"/>
  <c r="H153" i="32"/>
  <c r="J153" i="33"/>
  <c r="J152" i="32"/>
  <c r="K152" i="33"/>
  <c r="B164" i="33"/>
  <c r="B163" i="32"/>
  <c r="F160" i="35" l="1"/>
  <c r="H159" i="35"/>
  <c r="J159" i="35" s="1"/>
  <c r="K159" i="35" s="1"/>
  <c r="B164" i="32"/>
  <c r="B165" i="33"/>
  <c r="K153" i="33"/>
  <c r="J153" i="32"/>
  <c r="C166" i="33"/>
  <c r="C165" i="32"/>
  <c r="B166" i="34"/>
  <c r="C167" i="34"/>
  <c r="G164" i="35"/>
  <c r="I163" i="35"/>
  <c r="G161" i="33"/>
  <c r="G160" i="32"/>
  <c r="I160" i="33"/>
  <c r="H154" i="32"/>
  <c r="J154" i="33"/>
  <c r="K152" i="32"/>
  <c r="M152" i="32" s="1"/>
  <c r="L152" i="33"/>
  <c r="L152" i="32" s="1"/>
  <c r="M152" i="33"/>
  <c r="L156" i="34"/>
  <c r="M156" i="34"/>
  <c r="F158" i="34"/>
  <c r="H157" i="34"/>
  <c r="J157" i="34" s="1"/>
  <c r="K157" i="34" s="1"/>
  <c r="L158" i="35"/>
  <c r="M158" i="35"/>
  <c r="F154" i="36"/>
  <c r="H154" i="36" s="1"/>
  <c r="J154" i="36" s="1"/>
  <c r="K154" i="36" s="1"/>
  <c r="L154" i="36" s="1"/>
  <c r="H153" i="36"/>
  <c r="J153" i="36" s="1"/>
  <c r="K153" i="36" s="1"/>
  <c r="L153" i="36" s="1"/>
  <c r="G164" i="34"/>
  <c r="I163" i="34"/>
  <c r="I159" i="32"/>
  <c r="F156" i="33"/>
  <c r="F155" i="32"/>
  <c r="H155" i="33"/>
  <c r="C168" i="34" l="1"/>
  <c r="B167" i="34"/>
  <c r="L153" i="33"/>
  <c r="L153" i="32" s="1"/>
  <c r="K153" i="32"/>
  <c r="M153" i="32" s="1"/>
  <c r="M153" i="33"/>
  <c r="F159" i="34"/>
  <c r="H158" i="34"/>
  <c r="J158" i="34" s="1"/>
  <c r="K158" i="34" s="1"/>
  <c r="F156" i="32"/>
  <c r="F157" i="33"/>
  <c r="H156" i="33"/>
  <c r="G162" i="33"/>
  <c r="G161" i="32"/>
  <c r="I161" i="33"/>
  <c r="G165" i="34"/>
  <c r="I164" i="34"/>
  <c r="J154" i="32"/>
  <c r="K154" i="33"/>
  <c r="C167" i="33"/>
  <c r="C166" i="32"/>
  <c r="B166" i="33"/>
  <c r="B165" i="32"/>
  <c r="L159" i="35"/>
  <c r="M159" i="35"/>
  <c r="H155" i="32"/>
  <c r="J155" i="33"/>
  <c r="L157" i="34"/>
  <c r="M157" i="34"/>
  <c r="I160" i="32"/>
  <c r="G165" i="35"/>
  <c r="I164" i="35"/>
  <c r="F161" i="35"/>
  <c r="H160" i="35"/>
  <c r="J160" i="35" s="1"/>
  <c r="K160" i="35" s="1"/>
  <c r="G166" i="35" l="1"/>
  <c r="I166" i="35" s="1"/>
  <c r="I165" i="35"/>
  <c r="B167" i="33"/>
  <c r="B166" i="32"/>
  <c r="I161" i="32"/>
  <c r="L158" i="34"/>
  <c r="M158" i="34"/>
  <c r="L160" i="35"/>
  <c r="M160" i="35"/>
  <c r="G166" i="34"/>
  <c r="I165" i="34"/>
  <c r="H156" i="32"/>
  <c r="J156" i="33"/>
  <c r="F160" i="34"/>
  <c r="H159" i="34"/>
  <c r="J159" i="34" s="1"/>
  <c r="K159" i="34" s="1"/>
  <c r="F162" i="35"/>
  <c r="H161" i="35"/>
  <c r="J161" i="35" s="1"/>
  <c r="K161" i="35" s="1"/>
  <c r="J155" i="32"/>
  <c r="K155" i="33"/>
  <c r="L154" i="33"/>
  <c r="L154" i="32" s="1"/>
  <c r="K154" i="32"/>
  <c r="M154" i="32" s="1"/>
  <c r="M154" i="33"/>
  <c r="G162" i="32"/>
  <c r="G163" i="33"/>
  <c r="I162" i="33"/>
  <c r="F158" i="33"/>
  <c r="F157" i="32"/>
  <c r="H157" i="33"/>
  <c r="C167" i="32"/>
  <c r="C168" i="33"/>
  <c r="B168" i="34"/>
  <c r="C169" i="34"/>
  <c r="C169" i="33" l="1"/>
  <c r="C168" i="32"/>
  <c r="L159" i="34"/>
  <c r="M159" i="34"/>
  <c r="B168" i="33"/>
  <c r="B167" i="32"/>
  <c r="B169" i="34"/>
  <c r="C170" i="34"/>
  <c r="I162" i="32"/>
  <c r="F161" i="34"/>
  <c r="H160" i="34"/>
  <c r="J160" i="34" s="1"/>
  <c r="K160" i="34" s="1"/>
  <c r="G167" i="34"/>
  <c r="I166" i="34"/>
  <c r="F159" i="33"/>
  <c r="F158" i="32"/>
  <c r="H158" i="33"/>
  <c r="H157" i="32"/>
  <c r="J157" i="33"/>
  <c r="G163" i="32"/>
  <c r="G164" i="33"/>
  <c r="I163" i="33"/>
  <c r="L161" i="35"/>
  <c r="M161" i="35"/>
  <c r="J156" i="32"/>
  <c r="K156" i="33"/>
  <c r="K155" i="32"/>
  <c r="M155" i="32" s="1"/>
  <c r="L155" i="33"/>
  <c r="L155" i="32" s="1"/>
  <c r="M155" i="33"/>
  <c r="F163" i="35"/>
  <c r="H162" i="35"/>
  <c r="J162" i="35" s="1"/>
  <c r="K162" i="35" s="1"/>
  <c r="H158" i="32" l="1"/>
  <c r="J158" i="33"/>
  <c r="G168" i="34"/>
  <c r="I167" i="34"/>
  <c r="K157" i="33"/>
  <c r="J157" i="32"/>
  <c r="L160" i="34"/>
  <c r="M160" i="34"/>
  <c r="L156" i="33"/>
  <c r="L156" i="32" s="1"/>
  <c r="K156" i="32"/>
  <c r="M156" i="32" s="1"/>
  <c r="M156" i="33"/>
  <c r="I163" i="32"/>
  <c r="F160" i="33"/>
  <c r="F159" i="32"/>
  <c r="H159" i="33"/>
  <c r="F162" i="34"/>
  <c r="H161" i="34"/>
  <c r="J161" i="34" s="1"/>
  <c r="K161" i="34" s="1"/>
  <c r="B170" i="34"/>
  <c r="C171" i="34"/>
  <c r="C170" i="33"/>
  <c r="C169" i="32"/>
  <c r="F164" i="35"/>
  <c r="H163" i="35"/>
  <c r="J163" i="35" s="1"/>
  <c r="K163" i="35" s="1"/>
  <c r="L162" i="35"/>
  <c r="M162" i="35"/>
  <c r="G165" i="33"/>
  <c r="G164" i="32"/>
  <c r="I164" i="33"/>
  <c r="B169" i="33"/>
  <c r="B168" i="32"/>
  <c r="I164" i="32" l="1"/>
  <c r="C171" i="33"/>
  <c r="C170" i="32"/>
  <c r="L163" i="35"/>
  <c r="M163" i="35"/>
  <c r="L161" i="34"/>
  <c r="M161" i="34"/>
  <c r="F161" i="33"/>
  <c r="F160" i="32"/>
  <c r="H160" i="33"/>
  <c r="G169" i="34"/>
  <c r="I168" i="34"/>
  <c r="G165" i="32"/>
  <c r="G166" i="33"/>
  <c r="I165" i="33"/>
  <c r="F165" i="35"/>
  <c r="H164" i="35"/>
  <c r="J164" i="35" s="1"/>
  <c r="K164" i="35" s="1"/>
  <c r="C172" i="34"/>
  <c r="B171" i="34"/>
  <c r="F163" i="34"/>
  <c r="H162" i="34"/>
  <c r="J162" i="34" s="1"/>
  <c r="K162" i="34" s="1"/>
  <c r="K158" i="33"/>
  <c r="J158" i="32"/>
  <c r="B170" i="33"/>
  <c r="B169" i="32"/>
  <c r="H159" i="32"/>
  <c r="J159" i="33"/>
  <c r="L157" i="33"/>
  <c r="L157" i="32" s="1"/>
  <c r="K157" i="32"/>
  <c r="M157" i="32" s="1"/>
  <c r="M157" i="33"/>
  <c r="K159" i="33" l="1"/>
  <c r="J159" i="32"/>
  <c r="I165" i="32"/>
  <c r="G170" i="34"/>
  <c r="I169" i="34"/>
  <c r="C171" i="32"/>
  <c r="C172" i="33"/>
  <c r="B171" i="33"/>
  <c r="B170" i="32"/>
  <c r="L162" i="34"/>
  <c r="M162" i="34"/>
  <c r="C173" i="34"/>
  <c r="B172" i="34"/>
  <c r="G166" i="32"/>
  <c r="G167" i="33"/>
  <c r="I166" i="33"/>
  <c r="H160" i="32"/>
  <c r="J160" i="33"/>
  <c r="F164" i="34"/>
  <c r="H163" i="34"/>
  <c r="J163" i="34" s="1"/>
  <c r="K163" i="34" s="1"/>
  <c r="L164" i="35"/>
  <c r="M164" i="35"/>
  <c r="L158" i="33"/>
  <c r="L158" i="32" s="1"/>
  <c r="K158" i="32"/>
  <c r="M158" i="32" s="1"/>
  <c r="M158" i="33"/>
  <c r="F166" i="35"/>
  <c r="H166" i="35" s="1"/>
  <c r="J166" i="35" s="1"/>
  <c r="K166" i="35" s="1"/>
  <c r="H165" i="35"/>
  <c r="J165" i="35" s="1"/>
  <c r="K165" i="35" s="1"/>
  <c r="F162" i="33"/>
  <c r="F161" i="32"/>
  <c r="H161" i="33"/>
  <c r="J160" i="32" l="1"/>
  <c r="K160" i="33"/>
  <c r="H161" i="32"/>
  <c r="J161" i="33"/>
  <c r="C172" i="32"/>
  <c r="C173" i="33"/>
  <c r="G171" i="34"/>
  <c r="I170" i="34"/>
  <c r="L163" i="34"/>
  <c r="M163" i="34"/>
  <c r="I166" i="32"/>
  <c r="C174" i="34"/>
  <c r="B173" i="34"/>
  <c r="L165" i="35"/>
  <c r="M165" i="35"/>
  <c r="F163" i="33"/>
  <c r="F162" i="32"/>
  <c r="H162" i="33"/>
  <c r="L166" i="35"/>
  <c r="M166" i="35"/>
  <c r="F165" i="34"/>
  <c r="H164" i="34"/>
  <c r="J164" i="34" s="1"/>
  <c r="K164" i="34" s="1"/>
  <c r="G167" i="32"/>
  <c r="G168" i="33"/>
  <c r="I167" i="33"/>
  <c r="B171" i="32"/>
  <c r="B172" i="33"/>
  <c r="L159" i="33"/>
  <c r="L159" i="32" s="1"/>
  <c r="K159" i="32"/>
  <c r="M159" i="32" s="1"/>
  <c r="B23" i="31" s="1"/>
  <c r="M159" i="33"/>
  <c r="I167" i="32" l="1"/>
  <c r="F166" i="34"/>
  <c r="H165" i="34"/>
  <c r="J165" i="34" s="1"/>
  <c r="K165" i="34" s="1"/>
  <c r="B172" i="32"/>
  <c r="B173" i="33"/>
  <c r="G169" i="33"/>
  <c r="G168" i="32"/>
  <c r="I168" i="33"/>
  <c r="F164" i="33"/>
  <c r="F163" i="32"/>
  <c r="H163" i="33"/>
  <c r="G172" i="34"/>
  <c r="I171" i="34"/>
  <c r="C23" i="31"/>
  <c r="D23" i="31"/>
  <c r="C175" i="34"/>
  <c r="B174" i="34"/>
  <c r="C174" i="33"/>
  <c r="C173" i="32"/>
  <c r="K161" i="33"/>
  <c r="J161" i="32"/>
  <c r="L160" i="33"/>
  <c r="L160" i="32" s="1"/>
  <c r="K160" i="32"/>
  <c r="M160" i="32" s="1"/>
  <c r="M160" i="33"/>
  <c r="L164" i="34"/>
  <c r="M164" i="34"/>
  <c r="H162" i="32"/>
  <c r="J162" i="33"/>
  <c r="G170" i="33" l="1"/>
  <c r="G169" i="32"/>
  <c r="I169" i="33"/>
  <c r="L165" i="34"/>
  <c r="M165" i="34"/>
  <c r="C175" i="33"/>
  <c r="C174" i="32"/>
  <c r="C176" i="34"/>
  <c r="B175" i="34"/>
  <c r="G173" i="34"/>
  <c r="I172" i="34"/>
  <c r="F164" i="32"/>
  <c r="F165" i="33"/>
  <c r="H164" i="33"/>
  <c r="B174" i="33"/>
  <c r="B173" i="32"/>
  <c r="F167" i="34"/>
  <c r="H166" i="34"/>
  <c r="J166" i="34" s="1"/>
  <c r="K166" i="34" s="1"/>
  <c r="I168" i="32"/>
  <c r="K162" i="33"/>
  <c r="J162" i="32"/>
  <c r="L161" i="33"/>
  <c r="L161" i="32" s="1"/>
  <c r="K161" i="32"/>
  <c r="M161" i="32" s="1"/>
  <c r="M161" i="33"/>
  <c r="E23" i="31"/>
  <c r="F23" i="31" s="1"/>
  <c r="H163" i="32"/>
  <c r="J163" i="33"/>
  <c r="K163" i="33" l="1"/>
  <c r="J163" i="32"/>
  <c r="L162" i="33"/>
  <c r="L162" i="32" s="1"/>
  <c r="K162" i="32"/>
  <c r="M162" i="32" s="1"/>
  <c r="M162" i="33"/>
  <c r="C175" i="32"/>
  <c r="C176" i="33"/>
  <c r="L166" i="34"/>
  <c r="M166" i="34"/>
  <c r="B175" i="33"/>
  <c r="B174" i="32"/>
  <c r="C177" i="34"/>
  <c r="B176" i="34"/>
  <c r="I169" i="32"/>
  <c r="F168" i="34"/>
  <c r="H167" i="34"/>
  <c r="J167" i="34" s="1"/>
  <c r="K167" i="34" s="1"/>
  <c r="H164" i="32"/>
  <c r="J164" i="33"/>
  <c r="G174" i="34"/>
  <c r="I173" i="34"/>
  <c r="F166" i="33"/>
  <c r="F165" i="32"/>
  <c r="H165" i="33"/>
  <c r="G171" i="33"/>
  <c r="G170" i="32"/>
  <c r="I170" i="33"/>
  <c r="H165" i="32" l="1"/>
  <c r="J165" i="33"/>
  <c r="G175" i="34"/>
  <c r="I174" i="34"/>
  <c r="F169" i="34"/>
  <c r="H168" i="34"/>
  <c r="J168" i="34" s="1"/>
  <c r="K168" i="34" s="1"/>
  <c r="I170" i="32"/>
  <c r="K164" i="33"/>
  <c r="J164" i="32"/>
  <c r="F167" i="33"/>
  <c r="F166" i="32"/>
  <c r="H166" i="33"/>
  <c r="C178" i="34"/>
  <c r="B177" i="34"/>
  <c r="G171" i="32"/>
  <c r="G172" i="33"/>
  <c r="I171" i="33"/>
  <c r="L167" i="34"/>
  <c r="M167" i="34"/>
  <c r="B175" i="32"/>
  <c r="B176" i="33"/>
  <c r="C177" i="33"/>
  <c r="C176" i="32"/>
  <c r="K163" i="32"/>
  <c r="M163" i="32" s="1"/>
  <c r="L163" i="33"/>
  <c r="L163" i="32" s="1"/>
  <c r="M163" i="33"/>
  <c r="H166" i="32" l="1"/>
  <c r="J166" i="33"/>
  <c r="L164" i="33"/>
  <c r="L164" i="32" s="1"/>
  <c r="K164" i="32"/>
  <c r="M164" i="32" s="1"/>
  <c r="M164" i="33"/>
  <c r="G176" i="34"/>
  <c r="I175" i="34"/>
  <c r="C178" i="33"/>
  <c r="C177" i="32"/>
  <c r="I171" i="32"/>
  <c r="F168" i="33"/>
  <c r="F167" i="32"/>
  <c r="H167" i="33"/>
  <c r="L168" i="34"/>
  <c r="M168" i="34"/>
  <c r="K165" i="33"/>
  <c r="J165" i="32"/>
  <c r="B176" i="32"/>
  <c r="B177" i="33"/>
  <c r="G173" i="33"/>
  <c r="G172" i="32"/>
  <c r="I172" i="33"/>
  <c r="B178" i="34"/>
  <c r="F170" i="34"/>
  <c r="H169" i="34"/>
  <c r="J169" i="34" s="1"/>
  <c r="K169" i="34" s="1"/>
  <c r="L165" i="33" l="1"/>
  <c r="L165" i="32" s="1"/>
  <c r="K165" i="32"/>
  <c r="M165" i="32" s="1"/>
  <c r="M165" i="33"/>
  <c r="H167" i="32"/>
  <c r="J167" i="33"/>
  <c r="C179" i="33"/>
  <c r="C178" i="32"/>
  <c r="G174" i="33"/>
  <c r="G173" i="32"/>
  <c r="I173" i="33"/>
  <c r="L169" i="34"/>
  <c r="M169" i="34"/>
  <c r="I172" i="32"/>
  <c r="B178" i="33"/>
  <c r="B177" i="32"/>
  <c r="K166" i="33"/>
  <c r="J166" i="32"/>
  <c r="F171" i="34"/>
  <c r="H170" i="34"/>
  <c r="J170" i="34" s="1"/>
  <c r="K170" i="34" s="1"/>
  <c r="F168" i="32"/>
  <c r="F169" i="33"/>
  <c r="H168" i="33"/>
  <c r="G177" i="34"/>
  <c r="I176" i="34"/>
  <c r="F169" i="32" l="1"/>
  <c r="F170" i="33"/>
  <c r="H169" i="33"/>
  <c r="I173" i="32"/>
  <c r="L170" i="34"/>
  <c r="M170" i="34"/>
  <c r="L166" i="33"/>
  <c r="L166" i="32" s="1"/>
  <c r="K166" i="32"/>
  <c r="M166" i="32" s="1"/>
  <c r="M166" i="33"/>
  <c r="C180" i="33"/>
  <c r="C179" i="32"/>
  <c r="G178" i="34"/>
  <c r="I178" i="34" s="1"/>
  <c r="I177" i="34"/>
  <c r="H168" i="32"/>
  <c r="J168" i="33"/>
  <c r="F172" i="34"/>
  <c r="H171" i="34"/>
  <c r="J171" i="34" s="1"/>
  <c r="K171" i="34" s="1"/>
  <c r="B179" i="33"/>
  <c r="B178" i="32"/>
  <c r="G175" i="33"/>
  <c r="G174" i="32"/>
  <c r="I174" i="33"/>
  <c r="J167" i="32"/>
  <c r="K167" i="33"/>
  <c r="C181" i="33" l="1"/>
  <c r="C180" i="32"/>
  <c r="K167" i="32"/>
  <c r="M167" i="32" s="1"/>
  <c r="L167" i="33"/>
  <c r="L167" i="32" s="1"/>
  <c r="M167" i="33"/>
  <c r="G176" i="33"/>
  <c r="G175" i="32"/>
  <c r="I175" i="33"/>
  <c r="L171" i="34"/>
  <c r="M171" i="34"/>
  <c r="H169" i="32"/>
  <c r="J169" i="33"/>
  <c r="F173" i="34"/>
  <c r="H172" i="34"/>
  <c r="J172" i="34" s="1"/>
  <c r="K172" i="34" s="1"/>
  <c r="F171" i="33"/>
  <c r="F170" i="32"/>
  <c r="H170" i="33"/>
  <c r="I174" i="32"/>
  <c r="B180" i="33"/>
  <c r="B179" i="32"/>
  <c r="J168" i="32"/>
  <c r="K168" i="33"/>
  <c r="I175" i="32" l="1"/>
  <c r="K169" i="33"/>
  <c r="J169" i="32"/>
  <c r="G177" i="33"/>
  <c r="G176" i="32"/>
  <c r="I176" i="33"/>
  <c r="K168" i="32"/>
  <c r="M168" i="32" s="1"/>
  <c r="L168" i="33"/>
  <c r="L168" i="32" s="1"/>
  <c r="M168" i="33"/>
  <c r="B180" i="32"/>
  <c r="B181" i="33"/>
  <c r="H170" i="32"/>
  <c r="J170" i="33"/>
  <c r="L172" i="34"/>
  <c r="M172" i="34"/>
  <c r="C182" i="33"/>
  <c r="C181" i="32"/>
  <c r="F172" i="33"/>
  <c r="F171" i="32"/>
  <c r="H171" i="33"/>
  <c r="F174" i="34"/>
  <c r="H173" i="34"/>
  <c r="J173" i="34" s="1"/>
  <c r="K173" i="34" s="1"/>
  <c r="K170" i="33" l="1"/>
  <c r="J170" i="32"/>
  <c r="I176" i="32"/>
  <c r="L169" i="33"/>
  <c r="L169" i="32" s="1"/>
  <c r="K169" i="32"/>
  <c r="M169" i="32" s="1"/>
  <c r="M169" i="33"/>
  <c r="L173" i="34"/>
  <c r="M173" i="34"/>
  <c r="F172" i="32"/>
  <c r="F173" i="33"/>
  <c r="H172" i="33"/>
  <c r="C183" i="33"/>
  <c r="C182" i="32"/>
  <c r="F175" i="34"/>
  <c r="H174" i="34"/>
  <c r="J174" i="34" s="1"/>
  <c r="K174" i="34" s="1"/>
  <c r="G178" i="33"/>
  <c r="G177" i="32"/>
  <c r="I177" i="33"/>
  <c r="B182" i="33"/>
  <c r="B181" i="32"/>
  <c r="H171" i="32"/>
  <c r="J171" i="33"/>
  <c r="F174" i="33" l="1"/>
  <c r="F173" i="32"/>
  <c r="H173" i="33"/>
  <c r="G178" i="32"/>
  <c r="G179" i="33"/>
  <c r="I178" i="33"/>
  <c r="L174" i="34"/>
  <c r="M174" i="34"/>
  <c r="C183" i="32"/>
  <c r="C184" i="33"/>
  <c r="J171" i="32"/>
  <c r="K171" i="33"/>
  <c r="B183" i="33"/>
  <c r="B182" i="32"/>
  <c r="I177" i="32"/>
  <c r="F176" i="34"/>
  <c r="H175" i="34"/>
  <c r="J175" i="34" s="1"/>
  <c r="K175" i="34" s="1"/>
  <c r="H172" i="32"/>
  <c r="J172" i="33"/>
  <c r="L170" i="33"/>
  <c r="L170" i="32" s="1"/>
  <c r="K170" i="32"/>
  <c r="M170" i="32" s="1"/>
  <c r="M170" i="33"/>
  <c r="J172" i="32" l="1"/>
  <c r="K172" i="33"/>
  <c r="B184" i="33"/>
  <c r="B183" i="32"/>
  <c r="C185" i="33"/>
  <c r="C184" i="32"/>
  <c r="I178" i="32"/>
  <c r="L175" i="34"/>
  <c r="M175" i="34"/>
  <c r="K171" i="32"/>
  <c r="M171" i="32" s="1"/>
  <c r="L171" i="33"/>
  <c r="L171" i="32" s="1"/>
  <c r="M171" i="33"/>
  <c r="G179" i="32"/>
  <c r="G180" i="33"/>
  <c r="I179" i="33"/>
  <c r="H173" i="32"/>
  <c r="J173" i="33"/>
  <c r="F177" i="34"/>
  <c r="H176" i="34"/>
  <c r="J176" i="34" s="1"/>
  <c r="K176" i="34" s="1"/>
  <c r="F175" i="33"/>
  <c r="F174" i="32"/>
  <c r="H174" i="33"/>
  <c r="F178" i="34" l="1"/>
  <c r="H178" i="34" s="1"/>
  <c r="J178" i="34" s="1"/>
  <c r="K178" i="34" s="1"/>
  <c r="H177" i="34"/>
  <c r="J177" i="34" s="1"/>
  <c r="K177" i="34" s="1"/>
  <c r="G181" i="33"/>
  <c r="G180" i="32"/>
  <c r="I180" i="33"/>
  <c r="L176" i="34"/>
  <c r="M176" i="34"/>
  <c r="I179" i="32"/>
  <c r="C186" i="33"/>
  <c r="C185" i="32"/>
  <c r="K173" i="33"/>
  <c r="J173" i="32"/>
  <c r="L172" i="33"/>
  <c r="L172" i="32" s="1"/>
  <c r="K172" i="32"/>
  <c r="M172" i="32" s="1"/>
  <c r="M172" i="33"/>
  <c r="H174" i="32"/>
  <c r="J174" i="33"/>
  <c r="B185" i="33"/>
  <c r="B184" i="32"/>
  <c r="F176" i="33"/>
  <c r="F175" i="32"/>
  <c r="H175" i="33"/>
  <c r="G182" i="33" l="1"/>
  <c r="G181" i="32"/>
  <c r="I181" i="33"/>
  <c r="K174" i="33"/>
  <c r="J174" i="32"/>
  <c r="C186" i="32"/>
  <c r="B186" i="33"/>
  <c r="B185" i="32"/>
  <c r="L173" i="33"/>
  <c r="L173" i="32" s="1"/>
  <c r="K173" i="32"/>
  <c r="M173" i="32" s="1"/>
  <c r="M173" i="33"/>
  <c r="L177" i="34"/>
  <c r="M177" i="34"/>
  <c r="H175" i="32"/>
  <c r="J175" i="33"/>
  <c r="F177" i="33"/>
  <c r="F176" i="32"/>
  <c r="H176" i="33"/>
  <c r="I180" i="32"/>
  <c r="L178" i="34"/>
  <c r="M178" i="34"/>
  <c r="B186" i="32" l="1"/>
  <c r="L174" i="33"/>
  <c r="L174" i="32" s="1"/>
  <c r="K174" i="32"/>
  <c r="M174" i="32" s="1"/>
  <c r="M174" i="33"/>
  <c r="K175" i="33"/>
  <c r="J175" i="32"/>
  <c r="F178" i="33"/>
  <c r="F177" i="32"/>
  <c r="H177" i="33"/>
  <c r="I181" i="32"/>
  <c r="H176" i="32"/>
  <c r="J176" i="33"/>
  <c r="G183" i="33"/>
  <c r="G182" i="32"/>
  <c r="I182" i="33"/>
  <c r="I182" i="32" l="1"/>
  <c r="H177" i="32"/>
  <c r="J177" i="33"/>
  <c r="L175" i="33"/>
  <c r="L175" i="32" s="1"/>
  <c r="K175" i="32"/>
  <c r="M175" i="32" s="1"/>
  <c r="M175" i="33"/>
  <c r="J176" i="32"/>
  <c r="K176" i="33"/>
  <c r="G183" i="32"/>
  <c r="G184" i="33"/>
  <c r="I183" i="33"/>
  <c r="F179" i="33"/>
  <c r="F178" i="32"/>
  <c r="H178" i="33"/>
  <c r="H178" i="32" l="1"/>
  <c r="J178" i="33"/>
  <c r="G185" i="33"/>
  <c r="G184" i="32"/>
  <c r="I184" i="33"/>
  <c r="L176" i="33"/>
  <c r="L176" i="32" s="1"/>
  <c r="K176" i="32"/>
  <c r="M176" i="32" s="1"/>
  <c r="M176" i="33"/>
  <c r="F180" i="33"/>
  <c r="F179" i="32"/>
  <c r="H179" i="33"/>
  <c r="I183" i="32"/>
  <c r="K177" i="33"/>
  <c r="J177" i="32"/>
  <c r="H179" i="32" l="1"/>
  <c r="J179" i="33"/>
  <c r="K178" i="33"/>
  <c r="J178" i="32"/>
  <c r="L177" i="33"/>
  <c r="L177" i="32" s="1"/>
  <c r="K177" i="32"/>
  <c r="M177" i="32" s="1"/>
  <c r="M177" i="33"/>
  <c r="G186" i="33"/>
  <c r="G185" i="32"/>
  <c r="I185" i="33"/>
  <c r="F180" i="32"/>
  <c r="F181" i="33"/>
  <c r="H180" i="33"/>
  <c r="I184" i="32"/>
  <c r="L178" i="33" l="1"/>
  <c r="L178" i="32" s="1"/>
  <c r="K178" i="32"/>
  <c r="M178" i="32" s="1"/>
  <c r="M178" i="33"/>
  <c r="I185" i="32"/>
  <c r="H180" i="32"/>
  <c r="J180" i="33"/>
  <c r="K179" i="33"/>
  <c r="J179" i="32"/>
  <c r="F182" i="33"/>
  <c r="F181" i="32"/>
  <c r="H181" i="33"/>
  <c r="G186" i="32"/>
  <c r="I186" i="33"/>
  <c r="I186" i="32" l="1"/>
  <c r="F183" i="33"/>
  <c r="F182" i="32"/>
  <c r="H182" i="33"/>
  <c r="K180" i="33"/>
  <c r="J180" i="32"/>
  <c r="H181" i="32"/>
  <c r="J181" i="33"/>
  <c r="K179" i="32"/>
  <c r="M179" i="32" s="1"/>
  <c r="L179" i="33"/>
  <c r="L179" i="32" s="1"/>
  <c r="M179" i="33"/>
  <c r="F184" i="33" l="1"/>
  <c r="F183" i="32"/>
  <c r="H183" i="33"/>
  <c r="K181" i="33"/>
  <c r="J181" i="32"/>
  <c r="L180" i="33"/>
  <c r="L180" i="32" s="1"/>
  <c r="K180" i="32"/>
  <c r="M180" i="32" s="1"/>
  <c r="M180" i="33"/>
  <c r="H182" i="32"/>
  <c r="J182" i="33"/>
  <c r="L181" i="33" l="1"/>
  <c r="L181" i="32" s="1"/>
  <c r="K181" i="32"/>
  <c r="M181" i="32" s="1"/>
  <c r="M181" i="33"/>
  <c r="K182" i="33"/>
  <c r="J182" i="32"/>
  <c r="H183" i="32"/>
  <c r="J183" i="33"/>
  <c r="F184" i="32"/>
  <c r="F185" i="33"/>
  <c r="H184" i="33"/>
  <c r="L182" i="33" l="1"/>
  <c r="L182" i="32" s="1"/>
  <c r="K182" i="32"/>
  <c r="M182" i="32" s="1"/>
  <c r="M182" i="33"/>
  <c r="J183" i="32"/>
  <c r="K183" i="33"/>
  <c r="H184" i="32"/>
  <c r="J184" i="33"/>
  <c r="F186" i="33"/>
  <c r="F185" i="32"/>
  <c r="H185" i="33"/>
  <c r="F186" i="32" l="1"/>
  <c r="H186" i="33"/>
  <c r="J184" i="32"/>
  <c r="K184" i="33"/>
  <c r="H185" i="32"/>
  <c r="J185" i="33"/>
  <c r="K183" i="32"/>
  <c r="M183" i="32" s="1"/>
  <c r="B25" i="31" s="1"/>
  <c r="L183" i="33"/>
  <c r="L183" i="32" s="1"/>
  <c r="M183" i="33"/>
  <c r="L184" i="33" l="1"/>
  <c r="L184" i="32" s="1"/>
  <c r="K184" i="32"/>
  <c r="M184" i="32" s="1"/>
  <c r="M184" i="33"/>
  <c r="C25" i="31"/>
  <c r="D25" i="31"/>
  <c r="K185" i="33"/>
  <c r="J185" i="32"/>
  <c r="H186" i="32"/>
  <c r="J186" i="33"/>
  <c r="E25" i="31" l="1"/>
  <c r="F25" i="31" s="1"/>
  <c r="K186" i="33"/>
  <c r="J186" i="32"/>
  <c r="L185" i="33"/>
  <c r="L185" i="32" s="1"/>
  <c r="K185" i="32"/>
  <c r="M185" i="32" s="1"/>
  <c r="M185" i="33"/>
  <c r="L186" i="33" l="1"/>
  <c r="L186" i="32" s="1"/>
  <c r="K186" i="32"/>
  <c r="M186" i="32" s="1"/>
  <c r="M186" i="33"/>
  <c r="B24" i="31" l="1"/>
  <c r="G13" i="31"/>
  <c r="G14" i="31"/>
  <c r="G15" i="31"/>
  <c r="G16" i="31"/>
  <c r="G17" i="31"/>
  <c r="G18" i="31"/>
  <c r="G19" i="31"/>
  <c r="G20" i="31"/>
  <c r="G21" i="31"/>
  <c r="G22" i="31"/>
  <c r="G23" i="31"/>
  <c r="G24" i="31"/>
  <c r="G25" i="31"/>
  <c r="D24" i="31" l="1"/>
  <c r="C24" i="31"/>
  <c r="E24" i="31" s="1"/>
  <c r="F24" i="31" s="1"/>
  <c r="C59" i="22" l="1"/>
  <c r="N17" i="22" l="1"/>
  <c r="M17" i="22"/>
  <c r="L17" i="22"/>
  <c r="N37" i="22" l="1"/>
  <c r="M37" i="22"/>
  <c r="N30" i="22"/>
  <c r="M30" i="22"/>
  <c r="N16" i="22"/>
  <c r="M16" i="22"/>
  <c r="L16" i="22"/>
  <c r="N23" i="22"/>
  <c r="N44" i="22" s="1"/>
  <c r="M23" i="22"/>
  <c r="M44" i="22" s="1"/>
  <c r="N9" i="22"/>
  <c r="M9" i="22"/>
  <c r="L9" i="22"/>
  <c r="K9" i="22"/>
  <c r="J9" i="22"/>
  <c r="M51" i="22" l="1"/>
  <c r="N51" i="22"/>
  <c r="I9" i="22" l="1"/>
  <c r="H9" i="22"/>
  <c r="G9" i="22"/>
  <c r="F9" i="22"/>
  <c r="E9" i="22"/>
  <c r="L37" i="22" l="1"/>
  <c r="K30" i="22"/>
  <c r="L30" i="22"/>
  <c r="K37" i="22"/>
  <c r="K16" i="22"/>
  <c r="J16" i="22"/>
  <c r="H16" i="22"/>
  <c r="D56" i="10"/>
  <c r="L51" i="22" l="1"/>
  <c r="K51" i="22"/>
  <c r="J27" i="13"/>
  <c r="I27" i="13"/>
  <c r="H27" i="13"/>
  <c r="J26" i="13"/>
  <c r="I26" i="13"/>
  <c r="J16" i="13"/>
  <c r="I16" i="13"/>
  <c r="N19" i="22" l="1"/>
  <c r="M19" i="22"/>
  <c r="L19" i="22"/>
  <c r="K19" i="22"/>
  <c r="J19" i="22"/>
  <c r="I19" i="22"/>
  <c r="H19" i="22"/>
  <c r="G19" i="22"/>
  <c r="F19" i="22"/>
  <c r="N18" i="22"/>
  <c r="M18" i="22"/>
  <c r="N40" i="22"/>
  <c r="M40" i="22"/>
  <c r="L40" i="22"/>
  <c r="K40" i="22"/>
  <c r="J40" i="22"/>
  <c r="I40" i="22"/>
  <c r="H40" i="22"/>
  <c r="G40" i="22"/>
  <c r="F40" i="22"/>
  <c r="N39" i="22"/>
  <c r="M39" i="22"/>
  <c r="N38" i="22"/>
  <c r="M38" i="22"/>
  <c r="E40" i="22"/>
  <c r="E39" i="22"/>
  <c r="E38" i="22"/>
  <c r="N33" i="22"/>
  <c r="M33" i="22"/>
  <c r="L33" i="22"/>
  <c r="K33" i="22"/>
  <c r="J33" i="22"/>
  <c r="I33" i="22"/>
  <c r="H33" i="22"/>
  <c r="G33" i="22"/>
  <c r="F33" i="22"/>
  <c r="N32" i="22"/>
  <c r="M32" i="22"/>
  <c r="N31" i="22"/>
  <c r="M31" i="22"/>
  <c r="E33" i="22"/>
  <c r="E32" i="22"/>
  <c r="E31" i="22"/>
  <c r="N26" i="22"/>
  <c r="N47" i="22" s="1"/>
  <c r="M26" i="22"/>
  <c r="M47" i="22" s="1"/>
  <c r="L26" i="22"/>
  <c r="L47" i="22" s="1"/>
  <c r="K26" i="22"/>
  <c r="K47" i="22" s="1"/>
  <c r="J26" i="22"/>
  <c r="J47" i="22" s="1"/>
  <c r="I26" i="22"/>
  <c r="I47" i="22" s="1"/>
  <c r="H26" i="22"/>
  <c r="H47" i="22" s="1"/>
  <c r="G26" i="22"/>
  <c r="G47" i="22" s="1"/>
  <c r="F26" i="22"/>
  <c r="F47" i="22" s="1"/>
  <c r="N25" i="22"/>
  <c r="N46" i="22" s="1"/>
  <c r="M25" i="22"/>
  <c r="M46" i="22" s="1"/>
  <c r="N24" i="22"/>
  <c r="N45" i="22" s="1"/>
  <c r="M24" i="22"/>
  <c r="M45" i="22" s="1"/>
  <c r="E26" i="22"/>
  <c r="E47" i="22" s="1"/>
  <c r="E25" i="22"/>
  <c r="E46" i="22" s="1"/>
  <c r="E24" i="22"/>
  <c r="E45" i="22" s="1"/>
  <c r="E19" i="22"/>
  <c r="E17" i="22"/>
  <c r="N12" i="22"/>
  <c r="M12" i="22"/>
  <c r="L12" i="22"/>
  <c r="K12" i="22"/>
  <c r="E12" i="22"/>
  <c r="J54" i="22" l="1"/>
  <c r="L54" i="22"/>
  <c r="K54" i="22"/>
  <c r="G54" i="22"/>
  <c r="H54" i="22"/>
  <c r="I54" i="22"/>
  <c r="M54" i="22"/>
  <c r="N54" i="22"/>
  <c r="E52" i="22"/>
  <c r="M53" i="22"/>
  <c r="N52" i="22"/>
  <c r="E54" i="22"/>
  <c r="M52" i="22"/>
  <c r="N53" i="22"/>
  <c r="N20" i="22"/>
  <c r="N21" i="22" s="1"/>
  <c r="M27" i="22"/>
  <c r="M28" i="22" s="1"/>
  <c r="N27" i="22"/>
  <c r="N28" i="22" s="1"/>
  <c r="N34" i="22"/>
  <c r="N35" i="22" s="1"/>
  <c r="N41" i="22"/>
  <c r="N42" i="22" s="1"/>
  <c r="M34" i="22"/>
  <c r="M35" i="22" s="1"/>
  <c r="M41" i="22"/>
  <c r="M42" i="22" s="1"/>
  <c r="M20" i="22"/>
  <c r="M21" i="22" s="1"/>
  <c r="E6" i="22"/>
  <c r="F6" i="22" s="1"/>
  <c r="G6" i="22" s="1"/>
  <c r="H6" i="22" s="1"/>
  <c r="I6" i="22" s="1"/>
  <c r="J6" i="22" s="1"/>
  <c r="K6" i="22" s="1"/>
  <c r="L6" i="22" s="1"/>
  <c r="M6" i="22" s="1"/>
  <c r="N6" i="22" s="1"/>
  <c r="K13" i="22" l="1"/>
  <c r="L13" i="22"/>
  <c r="N48" i="22"/>
  <c r="E13" i="22"/>
  <c r="M13" i="22"/>
  <c r="N13" i="22"/>
  <c r="N14" i="22" l="1"/>
  <c r="N55" i="22"/>
  <c r="N57" i="22" s="1"/>
  <c r="K14" i="22"/>
  <c r="M14" i="22"/>
  <c r="M55" i="22"/>
  <c r="L14" i="22"/>
  <c r="E14" i="22"/>
  <c r="M48" i="22"/>
  <c r="C27" i="13"/>
  <c r="F23" i="16"/>
  <c r="F25" i="16" s="1"/>
  <c r="G23" i="16"/>
  <c r="G25" i="16" s="1"/>
  <c r="E23" i="16"/>
  <c r="E25" i="16" s="1"/>
  <c r="G16" i="16"/>
  <c r="F16" i="16"/>
  <c r="E16" i="16"/>
  <c r="G15" i="16"/>
  <c r="F15" i="16"/>
  <c r="E15" i="16"/>
  <c r="G14" i="16"/>
  <c r="F14" i="16"/>
  <c r="E14" i="16"/>
  <c r="G13" i="16"/>
  <c r="F13" i="16"/>
  <c r="E13" i="16"/>
  <c r="G30" i="16"/>
  <c r="F30" i="16"/>
  <c r="E30" i="16"/>
  <c r="G29" i="16"/>
  <c r="F29" i="16"/>
  <c r="E29" i="16"/>
  <c r="G28" i="16"/>
  <c r="F28" i="16"/>
  <c r="E28" i="16"/>
  <c r="M57" i="22" l="1"/>
  <c r="F39" i="22" l="1"/>
  <c r="F32" i="22"/>
  <c r="F24" i="22"/>
  <c r="F45" i="22" s="1"/>
  <c r="J24" i="13"/>
  <c r="H24" i="22" l="1"/>
  <c r="H45" i="22" s="1"/>
  <c r="G24" i="22" l="1"/>
  <c r="G45" i="22" s="1"/>
  <c r="E16" i="22"/>
  <c r="E37" i="22" l="1"/>
  <c r="E41" i="22" s="1"/>
  <c r="E42" i="22" s="1"/>
  <c r="E30" i="22"/>
  <c r="E34" i="22" s="1"/>
  <c r="C15" i="13"/>
  <c r="I24" i="22"/>
  <c r="I45" i="22" s="1"/>
  <c r="C25" i="13"/>
  <c r="K39" i="22" l="1"/>
  <c r="K24" i="22"/>
  <c r="K45" i="22" s="1"/>
  <c r="J24" i="22"/>
  <c r="J45" i="22" s="1"/>
  <c r="E51" i="22"/>
  <c r="E35" i="22"/>
  <c r="E23" i="22"/>
  <c r="F16" i="22"/>
  <c r="H10" i="16"/>
  <c r="G17" i="16" s="1"/>
  <c r="G20" i="16" s="1"/>
  <c r="F17" i="22"/>
  <c r="K23" i="22" l="1"/>
  <c r="K44" i="22" s="1"/>
  <c r="E44" i="22"/>
  <c r="E27" i="22"/>
  <c r="E28" i="22" s="1"/>
  <c r="E33" i="16"/>
  <c r="E20" i="16"/>
  <c r="I10" i="16"/>
  <c r="J10" i="16" s="1"/>
  <c r="H30" i="16"/>
  <c r="H29" i="16"/>
  <c r="H28" i="16"/>
  <c r="G16" i="22"/>
  <c r="D57" i="10"/>
  <c r="K32" i="22" l="1"/>
  <c r="L23" i="22"/>
  <c r="L44" i="22" s="1"/>
  <c r="L24" i="22"/>
  <c r="L45" i="22" s="1"/>
  <c r="E38" i="16"/>
  <c r="D27" i="13" s="1"/>
  <c r="F33" i="16"/>
  <c r="F20" i="16"/>
  <c r="F37" i="22"/>
  <c r="C13" i="13"/>
  <c r="G39" i="22" l="1"/>
  <c r="G32" i="22"/>
  <c r="F38" i="16"/>
  <c r="E27" i="13" s="1"/>
  <c r="G33" i="16"/>
  <c r="G38" i="16" s="1"/>
  <c r="F27" i="13" s="1"/>
  <c r="I16" i="22"/>
  <c r="H39" i="22"/>
  <c r="G37" i="22"/>
  <c r="F38" i="22" l="1"/>
  <c r="H32" i="22"/>
  <c r="F41" i="22"/>
  <c r="D15" i="13"/>
  <c r="L39" i="22"/>
  <c r="L32" i="22"/>
  <c r="H33" i="16"/>
  <c r="H38" i="16" s="1"/>
  <c r="G27" i="13" s="1"/>
  <c r="H37" i="22"/>
  <c r="G38" i="22" l="1"/>
  <c r="G41" i="22" s="1"/>
  <c r="D25" i="13"/>
  <c r="F42" i="22"/>
  <c r="I37" i="22"/>
  <c r="F25" i="13" l="1"/>
  <c r="H38" i="22"/>
  <c r="I23" i="13"/>
  <c r="I24" i="13"/>
  <c r="E25" i="13"/>
  <c r="H41" i="22"/>
  <c r="E15" i="13"/>
  <c r="G42" i="22"/>
  <c r="I38" i="22"/>
  <c r="I39" i="22" l="1"/>
  <c r="J23" i="13"/>
  <c r="I25" i="13"/>
  <c r="I41" i="22"/>
  <c r="F15" i="13"/>
  <c r="H42" i="22"/>
  <c r="J37" i="22"/>
  <c r="J38" i="22"/>
  <c r="C23" i="13"/>
  <c r="J39" i="22" l="1"/>
  <c r="J41" i="22" s="1"/>
  <c r="J25" i="13"/>
  <c r="I42" i="22"/>
  <c r="H15" i="13"/>
  <c r="G25" i="13"/>
  <c r="G15" i="13"/>
  <c r="F30" i="22"/>
  <c r="F51" i="22" s="1"/>
  <c r="G30" i="22"/>
  <c r="G51" i="22" s="1"/>
  <c r="F31" i="22" l="1"/>
  <c r="F52" i="22" s="1"/>
  <c r="J42" i="22"/>
  <c r="H25" i="13"/>
  <c r="K38" i="22"/>
  <c r="K41" i="22" s="1"/>
  <c r="C32" i="13"/>
  <c r="C38" i="13" s="1"/>
  <c r="C42" i="13" s="1"/>
  <c r="C12" i="13"/>
  <c r="F23" i="22"/>
  <c r="F44" i="22" s="1"/>
  <c r="F34" i="22" l="1"/>
  <c r="G31" i="22"/>
  <c r="E23" i="13"/>
  <c r="L38" i="22"/>
  <c r="L41" i="22" s="1"/>
  <c r="G34" i="22"/>
  <c r="F25" i="22"/>
  <c r="I15" i="13"/>
  <c r="K42" i="22"/>
  <c r="D13" i="13"/>
  <c r="F35" i="22"/>
  <c r="H30" i="22"/>
  <c r="H51" i="22" s="1"/>
  <c r="C22" i="13"/>
  <c r="G23" i="22"/>
  <c r="G44" i="22" s="1"/>
  <c r="D32" i="13"/>
  <c r="D38" i="13" s="1"/>
  <c r="D42" i="13" l="1"/>
  <c r="E9" i="43"/>
  <c r="F23" i="13"/>
  <c r="H31" i="22"/>
  <c r="H34" i="22" s="1"/>
  <c r="F27" i="22"/>
  <c r="F28" i="22" s="1"/>
  <c r="F46" i="22"/>
  <c r="G25" i="22"/>
  <c r="J15" i="13"/>
  <c r="L42" i="22"/>
  <c r="E13" i="13"/>
  <c r="G35" i="22"/>
  <c r="D23" i="13"/>
  <c r="D12" i="13"/>
  <c r="I30" i="22"/>
  <c r="I51" i="22" s="1"/>
  <c r="I31" i="22"/>
  <c r="H23" i="22"/>
  <c r="H44" i="22" s="1"/>
  <c r="E32" i="13"/>
  <c r="E38" i="13" s="1"/>
  <c r="E42" i="13" l="1"/>
  <c r="E10" i="43"/>
  <c r="G27" i="22"/>
  <c r="G28" i="22" s="1"/>
  <c r="G46" i="22"/>
  <c r="I32" i="22"/>
  <c r="I34" i="22" s="1"/>
  <c r="G13" i="13"/>
  <c r="H25" i="22"/>
  <c r="H46" i="22" s="1"/>
  <c r="F13" i="13"/>
  <c r="H35" i="22"/>
  <c r="J30" i="22"/>
  <c r="J51" i="22" s="1"/>
  <c r="E12" i="13"/>
  <c r="D22" i="13"/>
  <c r="J31" i="22"/>
  <c r="I23" i="22"/>
  <c r="I44" i="22" s="1"/>
  <c r="F32" i="13"/>
  <c r="F38" i="13" s="1"/>
  <c r="F42" i="13" l="1"/>
  <c r="E11" i="43"/>
  <c r="H27" i="22"/>
  <c r="H28" i="22" s="1"/>
  <c r="I35" i="22"/>
  <c r="J32" i="22"/>
  <c r="K31" i="22"/>
  <c r="K34" i="22" s="1"/>
  <c r="I25" i="22"/>
  <c r="I46" i="22" s="1"/>
  <c r="E22" i="13"/>
  <c r="F12" i="13"/>
  <c r="G23" i="13"/>
  <c r="J23" i="22"/>
  <c r="J44" i="22" s="1"/>
  <c r="G32" i="13"/>
  <c r="G38" i="13" s="1"/>
  <c r="G42" i="13" l="1"/>
  <c r="E12" i="43"/>
  <c r="H23" i="13"/>
  <c r="I27" i="22"/>
  <c r="I28" i="22" s="1"/>
  <c r="J34" i="22"/>
  <c r="J35" i="22" s="1"/>
  <c r="J25" i="22"/>
  <c r="I13" i="13"/>
  <c r="K35" i="22"/>
  <c r="I32" i="13"/>
  <c r="I38" i="13" s="1"/>
  <c r="G22" i="13"/>
  <c r="F22" i="13"/>
  <c r="G12" i="13"/>
  <c r="H13" i="13"/>
  <c r="H32" i="13"/>
  <c r="H38" i="13" s="1"/>
  <c r="H42" i="13" l="1"/>
  <c r="E13" i="43"/>
  <c r="I42" i="13"/>
  <c r="E14" i="43"/>
  <c r="J27" i="22"/>
  <c r="J28" i="22" s="1"/>
  <c r="J46" i="22"/>
  <c r="L31" i="22"/>
  <c r="L52" i="22" s="1"/>
  <c r="I22" i="13"/>
  <c r="I29" i="13" s="1"/>
  <c r="I41" i="13" s="1"/>
  <c r="K25" i="22"/>
  <c r="H22" i="13"/>
  <c r="J32" i="13"/>
  <c r="J38" i="13" s="1"/>
  <c r="H12" i="13"/>
  <c r="J42" i="13" l="1"/>
  <c r="E15" i="43"/>
  <c r="D14" i="43"/>
  <c r="F14" i="43" s="1"/>
  <c r="I44" i="13"/>
  <c r="J22" i="13"/>
  <c r="J29" i="13" s="1"/>
  <c r="J41" i="13" s="1"/>
  <c r="K27" i="22"/>
  <c r="K28" i="22" s="1"/>
  <c r="K46" i="22"/>
  <c r="L34" i="22"/>
  <c r="L25" i="22"/>
  <c r="L46" i="22" s="1"/>
  <c r="I12" i="13"/>
  <c r="J13" i="13"/>
  <c r="D15" i="43" l="1"/>
  <c r="F15" i="43" s="1"/>
  <c r="J44" i="13"/>
  <c r="L35" i="22"/>
  <c r="L48" i="22"/>
  <c r="L27" i="22"/>
  <c r="L28" i="22" s="1"/>
  <c r="J12" i="13"/>
  <c r="G18" i="22" l="1"/>
  <c r="G53" i="22" s="1"/>
  <c r="E16" i="10"/>
  <c r="E47" i="10" l="1"/>
  <c r="E48" i="10"/>
  <c r="E39" i="10"/>
  <c r="E45" i="10"/>
  <c r="E44" i="10"/>
  <c r="E19" i="10"/>
  <c r="E22" i="10"/>
  <c r="E23" i="10"/>
  <c r="E49" i="10"/>
  <c r="E40" i="10"/>
  <c r="H18" i="22"/>
  <c r="H53" i="22" s="1"/>
  <c r="I18" i="22"/>
  <c r="I53" i="22" s="1"/>
  <c r="E18" i="22"/>
  <c r="E53" i="22" s="1"/>
  <c r="E33" i="10"/>
  <c r="E32" i="10"/>
  <c r="E26" i="10"/>
  <c r="E27" i="10"/>
  <c r="E38" i="10"/>
  <c r="E41" i="10"/>
  <c r="E46" i="10"/>
  <c r="F16" i="10"/>
  <c r="F47" i="10" l="1"/>
  <c r="F45" i="10"/>
  <c r="F44" i="10"/>
  <c r="F22" i="10"/>
  <c r="F23" i="10"/>
  <c r="F40" i="10"/>
  <c r="F48" i="10"/>
  <c r="F39" i="10"/>
  <c r="E56" i="10"/>
  <c r="F12" i="22"/>
  <c r="F54" i="22" s="1"/>
  <c r="E57" i="10"/>
  <c r="E48" i="22"/>
  <c r="E20" i="22"/>
  <c r="F18" i="22"/>
  <c r="F53" i="22" s="1"/>
  <c r="F33" i="10"/>
  <c r="F32" i="10"/>
  <c r="F49" i="10"/>
  <c r="F27" i="10"/>
  <c r="F26" i="10"/>
  <c r="C16" i="13"/>
  <c r="C14" i="13"/>
  <c r="F46" i="10"/>
  <c r="F38" i="10"/>
  <c r="F41" i="10"/>
  <c r="G16" i="10"/>
  <c r="F56" i="10" l="1"/>
  <c r="G12" i="22"/>
  <c r="F13" i="22"/>
  <c r="F14" i="22" s="1"/>
  <c r="G22" i="10"/>
  <c r="G23" i="10"/>
  <c r="F57" i="10"/>
  <c r="E21" i="22"/>
  <c r="E55" i="22"/>
  <c r="F48" i="22"/>
  <c r="F20" i="22"/>
  <c r="G17" i="22"/>
  <c r="G52" i="22" s="1"/>
  <c r="G49" i="10"/>
  <c r="C19" i="13"/>
  <c r="C40" i="13" s="1"/>
  <c r="D14" i="13"/>
  <c r="D16" i="13"/>
  <c r="C24" i="13"/>
  <c r="H16" i="10"/>
  <c r="G56" i="10" l="1"/>
  <c r="H12" i="22"/>
  <c r="G13" i="22"/>
  <c r="G14" i="22" s="1"/>
  <c r="G57" i="10"/>
  <c r="F21" i="22"/>
  <c r="F55" i="22"/>
  <c r="I16" i="10"/>
  <c r="G20" i="22"/>
  <c r="G48" i="22"/>
  <c r="D19" i="13"/>
  <c r="D40" i="13" s="1"/>
  <c r="H24" i="13"/>
  <c r="E16" i="13"/>
  <c r="D24" i="13"/>
  <c r="O51" i="22" l="1"/>
  <c r="F57" i="22"/>
  <c r="F59" i="22" s="1"/>
  <c r="H13" i="22"/>
  <c r="H14" i="22" s="1"/>
  <c r="J16" i="10"/>
  <c r="K16" i="10" s="1"/>
  <c r="H56" i="10"/>
  <c r="I12" i="22"/>
  <c r="H57" i="10"/>
  <c r="G21" i="22"/>
  <c r="G55" i="22"/>
  <c r="G57" i="22" s="1"/>
  <c r="H17" i="22"/>
  <c r="H52" i="22" s="1"/>
  <c r="F16" i="13"/>
  <c r="E14" i="13"/>
  <c r="E19" i="13" s="1"/>
  <c r="E40" i="13" s="1"/>
  <c r="I13" i="22" l="1"/>
  <c r="I14" i="22" s="1"/>
  <c r="I56" i="10"/>
  <c r="J12" i="22"/>
  <c r="I57" i="10"/>
  <c r="H26" i="13" s="1"/>
  <c r="H29" i="13" s="1"/>
  <c r="H41" i="13" s="1"/>
  <c r="H20" i="22"/>
  <c r="H48" i="22"/>
  <c r="J18" i="22"/>
  <c r="J53" i="22" s="1"/>
  <c r="H14" i="13"/>
  <c r="I17" i="22"/>
  <c r="I52" i="22" s="1"/>
  <c r="J17" i="22"/>
  <c r="J52" i="22" s="1"/>
  <c r="F14" i="13"/>
  <c r="F19" i="13" s="1"/>
  <c r="F40" i="13" s="1"/>
  <c r="E24" i="13"/>
  <c r="F24" i="13"/>
  <c r="G16" i="13"/>
  <c r="L18" i="22" l="1"/>
  <c r="D13" i="43"/>
  <c r="F13" i="43" s="1"/>
  <c r="H44" i="13"/>
  <c r="H16" i="13"/>
  <c r="H19" i="13" s="1"/>
  <c r="H40" i="13" s="1"/>
  <c r="J13" i="22"/>
  <c r="J14" i="22" s="1"/>
  <c r="H21" i="22"/>
  <c r="H55" i="22"/>
  <c r="H57" i="22" s="1"/>
  <c r="K18" i="22"/>
  <c r="K53" i="22" s="1"/>
  <c r="I14" i="13"/>
  <c r="I19" i="13" s="1"/>
  <c r="I40" i="13" s="1"/>
  <c r="I48" i="22"/>
  <c r="I20" i="22"/>
  <c r="K17" i="22"/>
  <c r="K52" i="22" s="1"/>
  <c r="J20" i="22"/>
  <c r="J48" i="22"/>
  <c r="G14" i="13"/>
  <c r="G19" i="13" s="1"/>
  <c r="G40" i="13" s="1"/>
  <c r="G24" i="13"/>
  <c r="L20" i="22" l="1"/>
  <c r="L55" i="22" s="1"/>
  <c r="L57" i="22" s="1"/>
  <c r="L53" i="22"/>
  <c r="J14" i="13"/>
  <c r="J19" i="13" s="1"/>
  <c r="J40" i="13" s="1"/>
  <c r="L21" i="22"/>
  <c r="I21" i="22"/>
  <c r="I55" i="22"/>
  <c r="I57" i="22" s="1"/>
  <c r="J21" i="22"/>
  <c r="J55" i="22"/>
  <c r="J57" i="22" s="1"/>
  <c r="K20" i="22"/>
  <c r="K48" i="22"/>
  <c r="K21" i="22" l="1"/>
  <c r="K55" i="22"/>
  <c r="K57" i="22" s="1"/>
  <c r="C26" i="13" l="1"/>
  <c r="C29" i="13" s="1"/>
  <c r="C41" i="13" s="1"/>
  <c r="C44" i="13" s="1"/>
  <c r="G26" i="13"/>
  <c r="G29" i="13" s="1"/>
  <c r="G41" i="13" s="1"/>
  <c r="D12" i="43" l="1"/>
  <c r="F12" i="43" s="1"/>
  <c r="G44" i="13"/>
  <c r="F26" i="13"/>
  <c r="F29" i="13" s="1"/>
  <c r="F41" i="13" s="1"/>
  <c r="D11" i="43" l="1"/>
  <c r="F11" i="43" s="1"/>
  <c r="F44" i="13"/>
  <c r="D26" i="13"/>
  <c r="E26" i="13"/>
  <c r="E29" i="13" s="1"/>
  <c r="E41" i="13" s="1"/>
  <c r="D10" i="43" l="1"/>
  <c r="F10" i="43" s="1"/>
  <c r="E44" i="13"/>
  <c r="D29" i="13"/>
  <c r="D41" i="13" s="1"/>
  <c r="D9" i="43" l="1"/>
  <c r="F9" i="43" s="1"/>
  <c r="D44" i="13"/>
</calcChain>
</file>

<file path=xl/sharedStrings.xml><?xml version="1.0" encoding="utf-8"?>
<sst xmlns="http://schemas.openxmlformats.org/spreadsheetml/2006/main" count="1211" uniqueCount="397">
  <si>
    <t>Year</t>
  </si>
  <si>
    <t>Revenue</t>
  </si>
  <si>
    <t>O</t>
  </si>
  <si>
    <t/>
  </si>
  <si>
    <t>C</t>
  </si>
  <si>
    <t>Public Charging Cap</t>
  </si>
  <si>
    <t>Assumptions and Notes</t>
  </si>
  <si>
    <t xml:space="preserve">   - DC Fast Chargers</t>
  </si>
  <si>
    <t xml:space="preserve">   - DCFC Utility Infrastructure</t>
  </si>
  <si>
    <t xml:space="preserve">   - L2 Utility Infrastructure</t>
  </si>
  <si>
    <t xml:space="preserve">   - L2 Chargers</t>
  </si>
  <si>
    <t>Number of DCFC Ports installed</t>
  </si>
  <si>
    <t>Number of L2 Ports Installed</t>
  </si>
  <si>
    <t>Total Capex</t>
  </si>
  <si>
    <t>Total Opex</t>
  </si>
  <si>
    <t>DC Fast Chargers</t>
  </si>
  <si>
    <t>Level 2 Chargers</t>
  </si>
  <si>
    <t>Networking Fees (9)</t>
  </si>
  <si>
    <t>Total Revenue</t>
  </si>
  <si>
    <t>Electricity</t>
  </si>
  <si>
    <t xml:space="preserve">   - DC Fast Charge Energy Charge</t>
  </si>
  <si>
    <t xml:space="preserve">   - DC Fast Charge Demand Charge</t>
  </si>
  <si>
    <t xml:space="preserve">   - L2 Energy Charge</t>
  </si>
  <si>
    <t>Networking Fees (7)</t>
  </si>
  <si>
    <t>Inputs</t>
  </si>
  <si>
    <t>Capital</t>
  </si>
  <si>
    <t>Estimated Vehicles on the Road in PSE's Service Territory</t>
  </si>
  <si>
    <t>Estimated Residential Energy Sales (MWh)</t>
  </si>
  <si>
    <t>Public Charging</t>
  </si>
  <si>
    <t>Workplace Charging</t>
  </si>
  <si>
    <t>Residential Charging and Off-Peak</t>
  </si>
  <si>
    <t>Education and Outreach</t>
  </si>
  <si>
    <t>Total CAPEX</t>
  </si>
  <si>
    <t>Total OPEX</t>
  </si>
  <si>
    <t>Total Revenues</t>
  </si>
  <si>
    <t>Low Income Programs</t>
  </si>
  <si>
    <t>Trainings</t>
  </si>
  <si>
    <t>Inflation</t>
  </si>
  <si>
    <t>Workplace Charging Capital</t>
  </si>
  <si>
    <t>DCFC Utility Infrastructure</t>
  </si>
  <si>
    <t>DCFC Charge/use</t>
  </si>
  <si>
    <t>DCFC kWh/use</t>
  </si>
  <si>
    <t>L2 Charge/use</t>
  </si>
  <si>
    <t>Usage Inputs</t>
  </si>
  <si>
    <t xml:space="preserve">   - DCFC Revenue</t>
  </si>
  <si>
    <t xml:space="preserve">   - L2 Revenue</t>
  </si>
  <si>
    <t>charge/use</t>
  </si>
  <si>
    <t>kWh/use</t>
  </si>
  <si>
    <t>Internal Trainings</t>
  </si>
  <si>
    <t>L2 kWh/use</t>
  </si>
  <si>
    <t>DCFC Handles Per Station</t>
  </si>
  <si>
    <t>L2 Handles Per Station</t>
  </si>
  <si>
    <t>Data Management and Analysis</t>
  </si>
  <si>
    <t>Notes</t>
  </si>
  <si>
    <t>Material Development &amp; Refresh</t>
  </si>
  <si>
    <t>Labor</t>
  </si>
  <si>
    <t>Signage</t>
  </si>
  <si>
    <t>3rd</t>
  </si>
  <si>
    <t>PSE</t>
  </si>
  <si>
    <t>Signage &amp; Lighting</t>
  </si>
  <si>
    <t>Total Offsetting Revenue (Program Only, No Additional Load)</t>
  </si>
  <si>
    <t>Utility Infrastructure</t>
  </si>
  <si>
    <t>Site Improvements</t>
  </si>
  <si>
    <t>Chargers</t>
  </si>
  <si>
    <t>Capitalized IT</t>
  </si>
  <si>
    <t>Residential + Off-Peak</t>
  </si>
  <si>
    <t>Public</t>
  </si>
  <si>
    <t>Workplace</t>
  </si>
  <si>
    <t>Multi-Family</t>
  </si>
  <si>
    <t>TOTAL</t>
  </si>
  <si>
    <t>Subtotal</t>
  </si>
  <si>
    <t>Number of Workplace Locations Installed</t>
  </si>
  <si>
    <t>Residential SmartCharging - Charger Procurement</t>
  </si>
  <si>
    <t>Residential SmartCharging - Charger Redeployment</t>
  </si>
  <si>
    <t>Total Participation - SmartCharging + Alternative Tech</t>
  </si>
  <si>
    <t>SmartCharger Installation + Redeployment</t>
  </si>
  <si>
    <t>Customer Participation</t>
  </si>
  <si>
    <t>Year 1</t>
  </si>
  <si>
    <t>Year 2</t>
  </si>
  <si>
    <t>Year 3</t>
  </si>
  <si>
    <t>Year 4</t>
  </si>
  <si>
    <t>Year 5</t>
  </si>
  <si>
    <t>Residential SmartCharging - Customer Enrollment</t>
  </si>
  <si>
    <t>Residential Alternative Technology - Customer Enrollment</t>
  </si>
  <si>
    <t>Alternative Technology (Telematics + OVGIP)</t>
  </si>
  <si>
    <t>SmartChargers End-of-Life Replacement</t>
  </si>
  <si>
    <t>Program Marketing &amp; Educational Materials</t>
  </si>
  <si>
    <t>Graphic &amp; Creative Development</t>
  </si>
  <si>
    <t>Dealer Marketing &amp; Training</t>
  </si>
  <si>
    <t>Collateral &amp; Materials</t>
  </si>
  <si>
    <t>Total Installed</t>
  </si>
  <si>
    <t>Number of Workplace Locations Site Walk</t>
  </si>
  <si>
    <t>Number of Workplaces Enrolled</t>
  </si>
  <si>
    <t xml:space="preserve">   - Site Walk (w/ drop out)</t>
  </si>
  <si>
    <t>Failure Rate - L2 Chargers</t>
  </si>
  <si>
    <t>Value</t>
  </si>
  <si>
    <t>Software Licensing Fee (2)</t>
  </si>
  <si>
    <t>(2) Vendor quotes, average for software license</t>
  </si>
  <si>
    <t>Charger O&amp;M Cost (5)</t>
  </si>
  <si>
    <t>Customer Attrition in Residential Pilot (7)</t>
  </si>
  <si>
    <t>Charger Redeployment (7)</t>
  </si>
  <si>
    <t>Charger Failure Rate (7)</t>
  </si>
  <si>
    <t>(7) Assumption</t>
  </si>
  <si>
    <t>(8) Equipment replacement of 500 units at end of pilot</t>
  </si>
  <si>
    <t>Assumptions and References</t>
  </si>
  <si>
    <t>Software &amp; Networking (2)</t>
  </si>
  <si>
    <t>Off-Peak Incentives (3)</t>
  </si>
  <si>
    <t>Charger Failure Rate/Replacement (7)</t>
  </si>
  <si>
    <t>Charger Maintenance (7)</t>
  </si>
  <si>
    <t>Charger Maintenance Requirement (6)</t>
  </si>
  <si>
    <t>(12) Department of Energy, Charging at Home. Installation can vary greatly. https://www.energy.gov/eere/electricvehicles/charging-home</t>
  </si>
  <si>
    <t>Marketing</t>
  </si>
  <si>
    <t>(13) Program eligibility of 75% of cost paid by PSE up to $2000</t>
  </si>
  <si>
    <t>Program Operations and Labor (11)</t>
  </si>
  <si>
    <t>Customer Incentives (3)</t>
  </si>
  <si>
    <t>Software and Data Management (2) (3) (7) (9)</t>
  </si>
  <si>
    <t>Metric</t>
  </si>
  <si>
    <t>per charger</t>
  </si>
  <si>
    <t>annual per customer</t>
  </si>
  <si>
    <t>Off-Peak Incentive (3)</t>
  </si>
  <si>
    <t>per customer</t>
  </si>
  <si>
    <t>of total chargers</t>
  </si>
  <si>
    <t>each</t>
  </si>
  <si>
    <t>annual</t>
  </si>
  <si>
    <t>Number of Ride &amp; Drives</t>
  </si>
  <si>
    <t>Number of secondary events</t>
  </si>
  <si>
    <t>(1) Internal PSE event estimate</t>
  </si>
  <si>
    <t>(2) Average cost from previous Ride &amp; Drives</t>
  </si>
  <si>
    <t>(3) Vendor quotes for EV calculators</t>
  </si>
  <si>
    <t>(4) Internal program-based estimates</t>
  </si>
  <si>
    <t>(5) PSE internal experience in campaigns</t>
  </si>
  <si>
    <t>Cost per secondary event (1)</t>
  </si>
  <si>
    <t>Cost per Ride &amp; Drive (2)</t>
  </si>
  <si>
    <t>Website (3) (4) (6)</t>
  </si>
  <si>
    <t>Program Operations and Labor</t>
  </si>
  <si>
    <t>Program Operations and Labor (7)</t>
  </si>
  <si>
    <t>Events, Trainings, Dealer Outreach (1) (2)</t>
  </si>
  <si>
    <t>Software and Data Management</t>
  </si>
  <si>
    <t>Total Locations</t>
  </si>
  <si>
    <t>Location Installed</t>
  </si>
  <si>
    <t>Total DCFC Ports</t>
  </si>
  <si>
    <t>Total L2 Ports</t>
  </si>
  <si>
    <t>Ground Leases</t>
  </si>
  <si>
    <t>per port</t>
  </si>
  <si>
    <t>per month per site</t>
  </si>
  <si>
    <t>per location</t>
  </si>
  <si>
    <t>Charger Locations and Installation</t>
  </si>
  <si>
    <t>times per year</t>
  </si>
  <si>
    <t>Dealer Outreach, captured in labor</t>
  </si>
  <si>
    <t>Education, Outreach and Marketing Materials (5)</t>
  </si>
  <si>
    <t>Year 6</t>
  </si>
  <si>
    <t>Year 7</t>
  </si>
  <si>
    <t>SmartChargers - Procurement</t>
  </si>
  <si>
    <t>Training Costs</t>
  </si>
  <si>
    <t>Dealer Trainings</t>
  </si>
  <si>
    <t>per year</t>
  </si>
  <si>
    <t>Multi-Family Charging</t>
  </si>
  <si>
    <t>Total L2 Ports Installed</t>
  </si>
  <si>
    <t>(4) Vendor installation quote</t>
  </si>
  <si>
    <t>Charger Installation Cost (4) (12) (13) (14)</t>
  </si>
  <si>
    <t>(14) Avista EV program quarterly reporting - $1,356 average install cost, $1,048 EVSE cost</t>
  </si>
  <si>
    <t>Cost of SmartChargers (1) (14)</t>
  </si>
  <si>
    <t>Chargers and Equipment (8) (9) (10) (14)</t>
  </si>
  <si>
    <t>Installation, Maintenance, Repair, and Replacement (12) (13) (14)</t>
  </si>
  <si>
    <t>(10) OVGIP participation cost and FleetCarma Quote</t>
  </si>
  <si>
    <t>(6) Assumption</t>
  </si>
  <si>
    <t>(3) Assuming $10 incentive per month, 2023-2037 average Capacity + T&amp;D + Demand Costs from EV drivers off-peak charging is $156.19</t>
  </si>
  <si>
    <t>(5) Assumption</t>
  </si>
  <si>
    <t>Residential SmartCharging - Charger Installation (8)</t>
  </si>
  <si>
    <t>(1) Average of PSE vendor quotes, 2016 RFI</t>
  </si>
  <si>
    <t>(7) PSE Average Labor Rates, shared across programs</t>
  </si>
  <si>
    <t>(11) PSE Average Labor Rates, shared across programs</t>
  </si>
  <si>
    <t>Networking Fees (1)</t>
  </si>
  <si>
    <t>Software Licensing Fee (1)</t>
  </si>
  <si>
    <t>L2 Charger Failure Rate (2)</t>
  </si>
  <si>
    <t>Drop-Out Rate after Site Walk (2)</t>
  </si>
  <si>
    <t>(2) Assumption</t>
  </si>
  <si>
    <t>(3) Avista EV program quarterly reporting - $7,698 average install cost, $5,140 EVSE cost</t>
  </si>
  <si>
    <t>L2 Installation &amp; Site Improvements (3) (4)</t>
  </si>
  <si>
    <t>L2 Charger Costs (1) (3) (4)</t>
  </si>
  <si>
    <t>L2 Utility Infrastructure (3) (4)</t>
  </si>
  <si>
    <t>Charger Maintenance Requirement (2)</t>
  </si>
  <si>
    <t>(4) EV Project, Workplace Charging Installations (https://avt.inl.gov/sites/default/files/pdf/EVProj/WhatWereTheCostDriversForWorkplaceInstallations.pdf)</t>
  </si>
  <si>
    <t>Initial Site Walk (5)</t>
  </si>
  <si>
    <t>Signage per site (6)</t>
  </si>
  <si>
    <t>Number of L2 Ports Installed (7)</t>
  </si>
  <si>
    <t>(7) Assumes average of 3 ports per workplace</t>
  </si>
  <si>
    <t xml:space="preserve">   - L2 Chargers Refresh</t>
  </si>
  <si>
    <t>L2 Installation &amp; Site improvements</t>
  </si>
  <si>
    <t>Software Licensing (1)</t>
  </si>
  <si>
    <t>Program Marketing &amp; Educational Materials (9)</t>
  </si>
  <si>
    <t>(9) PSE internal experience in campaigns</t>
  </si>
  <si>
    <t>(10) PSE Average Labor Rates, shared across programs</t>
  </si>
  <si>
    <t>Number of Multi-Family Locations Site Walk</t>
  </si>
  <si>
    <t>Number of Multi-Family Enrolled</t>
  </si>
  <si>
    <t>Number of Multi-Family Locations Installed</t>
  </si>
  <si>
    <t>Multi-Family Charging Capital</t>
  </si>
  <si>
    <t>kW</t>
  </si>
  <si>
    <t>DCFC Power Rating</t>
  </si>
  <si>
    <t>per month</t>
  </si>
  <si>
    <t>(1) PSE Schedule 25 Rates, Basic Charge $52.30, Demand Charge $9.42/kW (Oct-Mar) &amp; 6.29/kW (Apr-Sep)</t>
  </si>
  <si>
    <t>per kW</t>
  </si>
  <si>
    <t>DCFC Basic Charge (1)</t>
  </si>
  <si>
    <t>(2) Schedule 25 rates for first 20,000 kWH, $0.097692 (Oct-Mar), $0.089165 (Apr - Sep)</t>
  </si>
  <si>
    <t>DCFC Energy Charge, avg (2)</t>
  </si>
  <si>
    <t>DCFC Demand Charge, avg (1)</t>
  </si>
  <si>
    <t>L2 Energy Charge, avg (2)</t>
  </si>
  <si>
    <t>$/kWh</t>
  </si>
  <si>
    <t>DCFC Demand Charge (3)</t>
  </si>
  <si>
    <t>(3) Assumes DCFC will incur demand charge 10 out of 12 months of the year</t>
  </si>
  <si>
    <t>(7) Assumes average of 3 ports per workplace, cost per port</t>
  </si>
  <si>
    <t>Networking Fees (4)</t>
  </si>
  <si>
    <t>DC Fast Charger Cost (4)</t>
  </si>
  <si>
    <t>DCFC Installation &amp; Site Improvements  (4)</t>
  </si>
  <si>
    <t>L2 Charger Cost  (5)</t>
  </si>
  <si>
    <t>L2 Installation &amp; Site Improvements  (5)</t>
  </si>
  <si>
    <t>L2 Utility Infrastructure (5)</t>
  </si>
  <si>
    <t>Ground Leases (6)</t>
  </si>
  <si>
    <t>Signage &amp; Lighting (6)</t>
  </si>
  <si>
    <t>Software Licensing Fee (4)</t>
  </si>
  <si>
    <t>Charger Failure Rate (6)</t>
  </si>
  <si>
    <t xml:space="preserve">   - DC Fast Chargers Refresh</t>
  </si>
  <si>
    <t xml:space="preserve">   - DCFC Installation &amp; Site Improvements</t>
  </si>
  <si>
    <t xml:space="preserve">   - L2 Installation &amp; Site Improvements</t>
  </si>
  <si>
    <t>Failure Rate - Parts &amp; Replacement</t>
  </si>
  <si>
    <t>Software</t>
  </si>
  <si>
    <t>Software and Data Management (8) (4)</t>
  </si>
  <si>
    <t>(9) PSE Average Labor Rates, shared across programs</t>
  </si>
  <si>
    <t xml:space="preserve">   - Uses/Day (10)</t>
  </si>
  <si>
    <t>(11) Assumes outsourced to a 3rd party on recurring maintenance contract; Other peer utility experience is $70K per year for 6 DCFC locations. And 1 PM + 1 engineer for 8 DCFC stations</t>
  </si>
  <si>
    <t>Installation, Maintenance, Repair, and Replacement (4) (5) (6) (11)</t>
  </si>
  <si>
    <r>
      <t>Labor</t>
    </r>
    <r>
      <rPr>
        <sz val="11"/>
        <color theme="1"/>
        <rFont val="Calibri"/>
        <family val="2"/>
        <scheme val="minor"/>
      </rPr>
      <t xml:space="preserve"> (9) (11)</t>
    </r>
  </si>
  <si>
    <t>(8) PSE IT Estimate - 14 Sept 2018</t>
  </si>
  <si>
    <t>Video</t>
  </si>
  <si>
    <t>Print</t>
  </si>
  <si>
    <t>Paid Media</t>
  </si>
  <si>
    <t>Digital Media</t>
  </si>
  <si>
    <t>SEO &amp; Adwords</t>
  </si>
  <si>
    <t>Social Media</t>
  </si>
  <si>
    <t>Earned Media (support)</t>
  </si>
  <si>
    <t xml:space="preserve">Contract Services </t>
  </si>
  <si>
    <t>PSE Program Management</t>
  </si>
  <si>
    <t>Non-Emergency Medical Pilot</t>
  </si>
  <si>
    <t>Weatherization EV Pilot</t>
  </si>
  <si>
    <t>Multi-Family Housing Authority</t>
  </si>
  <si>
    <t>Events, Community Outreach, Focus Groups</t>
  </si>
  <si>
    <t>Supplies &amp; Materials, Travel, Overheads</t>
  </si>
  <si>
    <t>Multi-Family Housing Total</t>
  </si>
  <si>
    <t>Community Engagement</t>
  </si>
  <si>
    <t>Ongoing Community Partner Support</t>
  </si>
  <si>
    <t>Suitability Assessment and Pilot Design</t>
  </si>
  <si>
    <t>Vehicle Procurement/Testing</t>
  </si>
  <si>
    <t>Assessment/Closeout</t>
  </si>
  <si>
    <t>Personnel &amp; Program Management</t>
  </si>
  <si>
    <t>Program Costs</t>
  </si>
  <si>
    <t>Weatherization Total</t>
  </si>
  <si>
    <t>Non-Emergency Medical Total</t>
  </si>
  <si>
    <t>Low Income Total</t>
  </si>
  <si>
    <t>(6) PSE IT Estimate - 14 Sept 2018</t>
  </si>
  <si>
    <t>IT Capital</t>
  </si>
  <si>
    <t>Website Development</t>
  </si>
  <si>
    <t>IT O&amp;M</t>
  </si>
  <si>
    <t>Web Updates</t>
  </si>
  <si>
    <t>Online Tools</t>
  </si>
  <si>
    <t>Ride &amp; Drive (event)</t>
  </si>
  <si>
    <t>Secondary Events (event)</t>
  </si>
  <si>
    <t>Ride &amp; Drive (day-of labor), captured in labor</t>
  </si>
  <si>
    <t>Secondary Events (day-of labor), captured in labor</t>
  </si>
  <si>
    <t>(9) PSE IT Estimate - 14 Sept 2018. Assumes Residential building "foundational" architecture for other programs</t>
  </si>
  <si>
    <t>(5) Best-practice assumption</t>
  </si>
  <si>
    <t>(7) Siting exercise included in overall labor</t>
  </si>
  <si>
    <t>(5) Avista EV program quarterly reporting for L2 chargers - $7,698 average install cost, $5,140 EVSE cost</t>
  </si>
  <si>
    <t>check</t>
  </si>
  <si>
    <t>(4) Average of PSE vendor quotes, per 2 DCFC ports, 2016 PSE RFI</t>
  </si>
  <si>
    <t>Total Labor - Capital</t>
  </si>
  <si>
    <t>Total Labor - Operating</t>
  </si>
  <si>
    <t>Total - Non-Public Charging</t>
  </si>
  <si>
    <t>Total - Public Charging</t>
  </si>
  <si>
    <t>Puget Sound Energy</t>
  </si>
  <si>
    <t>September 20th, 2018</t>
  </si>
  <si>
    <t>CAPEX Summary</t>
  </si>
  <si>
    <t>Electric Vehicle Programs Budget</t>
  </si>
  <si>
    <t>Budget Summary</t>
  </si>
  <si>
    <t>Education &amp; Outreach Budget</t>
  </si>
  <si>
    <t>Residential &amp; Load Shift Budget</t>
  </si>
  <si>
    <t>Public Charging Budget</t>
  </si>
  <si>
    <t>Workplace Charging Budget</t>
  </si>
  <si>
    <t>Multifamily Charging Budget</t>
  </si>
  <si>
    <t>Low Income Program Budget</t>
  </si>
  <si>
    <t>-</t>
  </si>
  <si>
    <t>Offsetting Revenues (Public Charging Use)</t>
  </si>
  <si>
    <t>CAPEX / OPEX</t>
  </si>
  <si>
    <t>Expense / Operating</t>
  </si>
  <si>
    <t>(10) Utilization and optimization assumptions, assumes 100 days of operation in 2019, half year operations for chargers coming on-line in subsequent year</t>
  </si>
  <si>
    <t>per workplace</t>
  </si>
  <si>
    <t>Average Ports (7)</t>
  </si>
  <si>
    <t>per multi-family location</t>
  </si>
  <si>
    <t>Chargers and Equipment (1) (2) (3) (11)</t>
  </si>
  <si>
    <t>Chargers and Equipment (4) (5) (6) (7) (12)</t>
  </si>
  <si>
    <t>(11) Equipment replacement at end of pilot, reduced site improvements</t>
  </si>
  <si>
    <t>Installation, Maintenance, Repair, and Replacement (1) (2) (3) (4) (11)</t>
  </si>
  <si>
    <t>(12) Equipment replacement at end of pilot, reduced site improvement cost</t>
  </si>
  <si>
    <t>Total</t>
  </si>
  <si>
    <t>Grand Total</t>
  </si>
  <si>
    <t>Total Non-Capital Cost</t>
  </si>
  <si>
    <t>Depreciation</t>
  </si>
  <si>
    <t>Depreciation Expense</t>
  </si>
  <si>
    <t>Depreciation rate (5 years)</t>
  </si>
  <si>
    <t>EV Deferral Accounting Petition</t>
  </si>
  <si>
    <t>Example Return and Depreciation Using Budgeted Capital Expenditures</t>
  </si>
  <si>
    <t>Rate of Return</t>
  </si>
  <si>
    <t>Weighted Average Cost of Debt</t>
  </si>
  <si>
    <t>Federal Tax Rate</t>
  </si>
  <si>
    <t>Net</t>
  </si>
  <si>
    <t>Tax Benefit</t>
  </si>
  <si>
    <t>Operating</t>
  </si>
  <si>
    <t>Gross</t>
  </si>
  <si>
    <t>Rate Base</t>
  </si>
  <si>
    <t>Return</t>
  </si>
  <si>
    <t>of Interest</t>
  </si>
  <si>
    <t>Income</t>
  </si>
  <si>
    <t>EV Deferred Accounting Petition</t>
  </si>
  <si>
    <t>7 Year MACRS Table</t>
  </si>
  <si>
    <t>No Bonus</t>
  </si>
  <si>
    <t>Date</t>
  </si>
  <si>
    <t>Depreciable Plant Balance</t>
  </si>
  <si>
    <t>Accumulated Depreciation</t>
  </si>
  <si>
    <t>Net Book Value</t>
  </si>
  <si>
    <t>NBV Diff</t>
  </si>
  <si>
    <t>ADFIT</t>
  </si>
  <si>
    <t>DFIT</t>
  </si>
  <si>
    <t>Current Rate</t>
  </si>
  <si>
    <t>Book based on</t>
  </si>
  <si>
    <t>Expense (o)</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</si>
  <si>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</si>
  <si>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</si>
  <si>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</si>
  <si>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</si>
  <si>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</si>
  <si>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</si>
  <si>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</si>
  <si>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</si>
  <si>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</si>
  <si>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</si>
  <si>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</si>
  <si>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</si>
  <si>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</si>
  <si>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</si>
  <si>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</si>
  <si>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</si>
  <si>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</si>
  <si>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</si>
  <si>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</si>
  <si>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</si>
  <si>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</si>
  <si>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35%</t>
  </si>
  <si>
    <t>mos (j)</t>
  </si>
  <si>
    <t>(k) = (h) + (j)</t>
  </si>
  <si>
    <t>MACRS WITH 50% BONUS</t>
  </si>
  <si>
    <t>200DB</t>
  </si>
  <si>
    <t>STRAIGHT LINE (FOR SOFTWARE)</t>
  </si>
  <si>
    <t>150 DB</t>
  </si>
  <si>
    <t>20-Years</t>
  </si>
  <si>
    <t>15-Years</t>
  </si>
  <si>
    <t>12-Years</t>
  </si>
  <si>
    <t>7-Years</t>
  </si>
  <si>
    <t>5-Years</t>
  </si>
  <si>
    <t>3-Years</t>
  </si>
  <si>
    <t>10-Years</t>
  </si>
  <si>
    <t>9-Years</t>
  </si>
  <si>
    <t>Ref 3.02</t>
  </si>
  <si>
    <t>PUGET SOUND ENERGY-ELECTRIC</t>
  </si>
  <si>
    <t>PRO FORMA COST OF CAPITAL APPROVED IN UE-170033/UG-170034</t>
  </si>
  <si>
    <t>ADJUSTED FOR FEDERAL TAX RATE CHANGE FROM 35% to 21%</t>
  </si>
  <si>
    <t>UPDATED FOR NEW DEBT ISSUANCES</t>
  </si>
  <si>
    <t>FOR THE TWELVE MONTHS ENDED JUNE 30, 2018</t>
  </si>
  <si>
    <t>LINE</t>
  </si>
  <si>
    <t>PRO FORMA</t>
  </si>
  <si>
    <t>COST OF</t>
  </si>
  <si>
    <t>NO.</t>
  </si>
  <si>
    <t>DESCRIPTION</t>
  </si>
  <si>
    <t>CAPITAL %</t>
  </si>
  <si>
    <t>COST %</t>
  </si>
  <si>
    <t>CAPITAL</t>
  </si>
  <si>
    <t>SHORT TERM AND LONG TERM DEBT</t>
  </si>
  <si>
    <t>EQUITY</t>
  </si>
  <si>
    <t>TOTAL COST OF CAPITAL</t>
  </si>
  <si>
    <t>AFTER TAX SHORT AND LONG TERM DEBT</t>
  </si>
  <si>
    <t>TOTAL AFTER TAX COST OF CAPITAL</t>
  </si>
  <si>
    <t xml:space="preserve">AMOUNTS THAT HAVE CHANGED SINCE UE-170033/UG-170034  &amp; UE-180282/UG-180283 </t>
  </si>
  <si>
    <t>HAVE BEEN HIGHLIGHTED IN GREEN.</t>
  </si>
  <si>
    <t>Deferrable</t>
  </si>
  <si>
    <t>Costs</t>
  </si>
  <si>
    <t>REDACTED VERSION</t>
  </si>
  <si>
    <t>REDACTED</t>
  </si>
  <si>
    <t>These estimated net costs are still representative of PSE’s expectations of the costs of the programs.  Certain simplifying assumptions related to depreciation expense and return were made in calculating the amounts in Attachment B.  The depreciation expense for the EV capital investment was calculated using a five year book life and seven year MACRS for tax.  EV plant will likely fall in FERC accounts which have depreciable lives that vary between five and ten year.  However, for simplicity of the calculations, PSE used the shortest life in order to be conservative.  The annual deferrable costs of the program are estimated to be between $1 million and $4.7 million per year.  The size of deferred balances that would be authorized under this petition will vary, depending on the time period that PSE defers the EV costs and when they are allowed for rate recovery and PSE is required to discontinue deferrals.</t>
  </si>
  <si>
    <t>Shaded Information is Designated as Confidential per WAC 480-07-160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</si>
</sst>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0000000"/>
    <numFmt numFmtId="168" formatCode="_-* ###0_-;\(###0\);_-* &quot;–&quot;_-;_-@_-"/>
    <numFmt numFmtId="169" formatCode="_-* #,###_-;\(#,###\);_-* &quot;–&quot;_-;_-@_-"/>
    <numFmt numFmtId="170" formatCode="_-\ #,##0.0_-;\(#,##0.0\);_-* &quot;–&quot;_-;_-@_-"/>
    <numFmt numFmtId="171" formatCode="0.0"/>
    <numFmt numFmtId="172" formatCode="0.000_)"/>
    <numFmt numFmtId="173" formatCode="_-* #,##0.00_-;\-* #,##0.00_-;_-* &quot;-&quot;??_-;_-@_-"/>
    <numFmt numFmtId="174" formatCode="#,##0.0"/>
    <numFmt numFmtId="175" formatCode="m/d/yy\ h:mm"/>
    <numFmt numFmtId="176" formatCode="mmm\-yyyy"/>
    <numFmt numFmtId="177" formatCode="#,##0_);\-#,##0_);\-_)"/>
    <numFmt numFmtId="178" formatCode="#,##0.00_);\-#,##0.00_);\-_)"/>
    <numFmt numFmtId="179" formatCode="0.00\ ;\-0.00\ ;&quot;- &quot;"/>
    <numFmt numFmtId="180" formatCode="#,##0.0_);\-#,##0.0_);\-_)"/>
    <numFmt numFmtId="181" formatCode="mmm\ dd\,\ yyyy"/>
    <numFmt numFmtId="182" formatCode="yyyy"/>
    <numFmt numFmtId="183" formatCode="0.00\ "/>
    <numFmt numFmtId="184" formatCode="&quot;$&quot;#,##0"/>
    <numFmt numFmtId="185" formatCode="&quot;$&quot;#,##0.000_);[Red]\(&quot;$&quot;#,##0.000\)"/>
    <numFmt numFmtId="186" formatCode="0.000000"/>
    <numFmt numFmtId="187" formatCode="[$-409]mmmm\ d\,\ yyyy;@"/>
    <numFmt numFmtId="188" formatCode="0.000%"/>
    <numFmt numFmtId="189" formatCode="_(* #,##0.0000_);_(* \(#,##0.0000\);_(* &quot;-&quot;_);_(@_)"/>
    <numFmt numFmtId="190" formatCode="0.00000000%"/>
    <numFmt numFmtId="191" formatCode="[$-409]mmm\-yy;@"/>
    <numFmt numFmtId="192" formatCode="0.0000000000000000%"/>
    <numFmt numFmtId="193" formatCode="_(* #,##0.00000_);_(* \(#,##0.00000\);_(* &quot;-&quot;??_);_(@_)"/>
    <numFmt numFmtId="194" formatCode="0.0000000"/>
    <numFmt numFmtId="195" formatCode="d\.mmm\.yy"/>
    <numFmt numFmtId="196" formatCode="#."/>
    <numFmt numFmtId="197" formatCode="_(* ###0_);_(* \(###0\);_(* &quot;-&quot;_);_(@_)"/>
    <numFmt numFmtId="198" formatCode="00000"/>
    <numFmt numFmtId="199" formatCode="_([$€-2]* #,##0.00_);_([$€-2]* \(#,##0.00\);_([$€-2]* &quot;-&quot;??_)"/>
    <numFmt numFmtId="200" formatCode="_(&quot;$&quot;* #,##0.0000_);_(&quot;$&quot;* \(#,##0.0000\);_(&quot;$&quot;* &quot;-&quot;????_);_(@_)"/>
    <numFmt numFmtId="201" formatCode="_(* #,##0.0_);_(* \(#,##0.0\);_(* &quot;-&quot;_);_(@_)"/>
    <numFmt numFmtId="202" formatCode="&quot;$&quot;#,##0.00"/>
  </numFmts>
  <fonts count="108">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font>
    <font>
      <b/>
      <sz val="11"/>
      <color theme="1"/>
      <name val="Calibri"/>
      <family val="2"/>
    </font>
    <font>
      <sz val="10"/>
      <color theme="1"/>
      <name val="Calibri"/>
      <family val="2"/>
      <scheme val="minor"/>
    </font>
    <font>
      <b/>
      <i/>
      <sz val="11"/>
      <color theme="1"/>
      <name val="Calibri"/>
      <family val="2"/>
      <scheme val="minor"/>
    </font>
    <font>
      <sz val="10.5"/>
      <color theme="1"/>
      <name val="Calibri"/>
      <family val="2"/>
    </font>
    <font>
      <sz val="8"/>
      <name val="Arial"/>
      <family val="2"/>
    </font>
    <font>
      <sz val="10"/>
      <name val="Arial"/>
      <family val="2"/>
    </font>
    <font>
      <sz val="10"/>
      <name val="Geneva"/>
    </font>
    <font>
      <sz val="10"/>
      <name val="Courier"/>
      <family val="3"/>
    </font>
    <font>
      <sz val="10"/>
      <color indexed="8"/>
      <name val="Calibri"/>
      <family val="2"/>
    </font>
    <font>
      <sz val="8"/>
      <color indexed="13"/>
      <name val="Arial"/>
      <family val="2"/>
    </font>
    <font>
      <b/>
      <sz val="8"/>
      <color indexed="57"/>
      <name val="Arial"/>
      <family val="2"/>
    </font>
    <font>
      <sz val="6.5"/>
      <name val="Arial"/>
      <family val="2"/>
    </font>
    <font>
      <b/>
      <sz val="8"/>
      <name val="Arial"/>
      <family val="2"/>
    </font>
    <font>
      <b/>
      <sz val="9"/>
      <color indexed="18"/>
      <name val="Arial"/>
      <family val="2"/>
    </font>
    <font>
      <sz val="11"/>
      <name val="Tms Rmn"/>
    </font>
    <font>
      <i/>
      <sz val="9"/>
      <name val="MS Sans Serif"/>
      <family val="2"/>
    </font>
    <font>
      <b/>
      <sz val="14"/>
      <color indexed="8"/>
      <name val="Arial"/>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9"/>
      <color indexed="13"/>
      <name val="Arial"/>
      <family val="2"/>
    </font>
    <font>
      <u/>
      <sz val="8.5"/>
      <color indexed="12"/>
      <name val="Arial"/>
      <family val="2"/>
    </font>
    <font>
      <sz val="10"/>
      <color theme="1"/>
      <name val="Arial"/>
      <family val="2"/>
    </font>
    <font>
      <sz val="10"/>
      <name val="MS Sans Serif"/>
      <family val="2"/>
    </font>
    <font>
      <sz val="8"/>
      <color indexed="32"/>
      <name val="Arial"/>
      <family val="2"/>
    </font>
    <font>
      <b/>
      <sz val="8"/>
      <color indexed="18"/>
      <name val="Arial"/>
      <family val="2"/>
    </font>
    <font>
      <b/>
      <sz val="10"/>
      <name val="Arial"/>
      <family val="2"/>
    </font>
    <font>
      <b/>
      <sz val="12"/>
      <color indexed="18"/>
      <name val="Arial"/>
      <family val="2"/>
    </font>
    <font>
      <b/>
      <sz val="12"/>
      <name val="Arial"/>
      <family val="2"/>
    </font>
    <font>
      <sz val="9"/>
      <color indexed="29"/>
      <name val="Arial"/>
      <family val="2"/>
    </font>
    <font>
      <b/>
      <sz val="9"/>
      <color indexed="29"/>
      <name val="Arial"/>
      <family val="2"/>
    </font>
    <font>
      <b/>
      <sz val="9"/>
      <name val="Arial"/>
      <family val="2"/>
    </font>
    <font>
      <b/>
      <sz val="9"/>
      <color theme="1"/>
      <name val="Calibri"/>
      <family val="2"/>
      <scheme val="minor"/>
    </font>
    <font>
      <sz val="9"/>
      <color theme="1"/>
      <name val="Calibri"/>
      <family val="2"/>
      <scheme val="minor"/>
    </font>
    <font>
      <sz val="9"/>
      <color theme="1"/>
      <name val="Calibri"/>
      <family val="2"/>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Calibri"/>
      <family val="2"/>
    </font>
    <font>
      <u/>
      <sz val="11"/>
      <color theme="1"/>
      <name val="Calibri"/>
      <family val="2"/>
      <scheme val="minor"/>
    </font>
    <font>
      <sz val="9"/>
      <color rgb="FF000000"/>
      <name val="Arial"/>
      <family val="2"/>
    </font>
    <font>
      <sz val="9"/>
      <name val="Calibri"/>
      <family val="2"/>
      <scheme val="minor"/>
    </font>
    <font>
      <sz val="11"/>
      <color rgb="FF1F497D"/>
      <name val="Calibri"/>
      <family val="2"/>
    </font>
    <font>
      <sz val="10"/>
      <name val="Calibri"/>
      <family val="2"/>
      <scheme val="minor"/>
    </font>
    <font>
      <i/>
      <sz val="11"/>
      <color theme="0" tint="-0.249977111117893"/>
      <name val="Calibri"/>
      <family val="2"/>
      <scheme val="minor"/>
    </font>
    <font>
      <sz val="11"/>
      <color theme="1"/>
      <name val="Times New Roman"/>
      <family val="1"/>
    </font>
    <font>
      <b/>
      <sz val="10"/>
      <color rgb="FF0000FF"/>
      <name val="Arial"/>
      <family val="2"/>
    </font>
    <font>
      <b/>
      <sz val="10"/>
      <color rgb="FFFF0000"/>
      <name val="Arial"/>
      <family val="2"/>
    </font>
    <font>
      <sz val="8"/>
      <color rgb="FF0000FF"/>
      <name val="Arial"/>
      <family val="2"/>
    </font>
    <font>
      <b/>
      <sz val="8"/>
      <color rgb="FF0000FF"/>
      <name val="Arial"/>
      <family val="2"/>
    </font>
    <font>
      <b/>
      <sz val="11"/>
      <color rgb="FFFF0000"/>
      <name val="Calibri"/>
      <family val="2"/>
      <scheme val="minor"/>
    </font>
    <font>
      <sz val="14"/>
      <name val="Times New Roman"/>
      <family val="1"/>
    </font>
    <font>
      <sz val="10"/>
      <name val="Times New Roman"/>
      <family val="1"/>
    </font>
    <font>
      <b/>
      <sz val="10"/>
      <color indexed="10"/>
      <name val="Times New Roman"/>
      <family val="1"/>
    </font>
    <font>
      <sz val="8"/>
      <name val="Times New Roman"/>
      <family val="1"/>
    </font>
    <font>
      <sz val="8"/>
      <name val="Helv"/>
    </font>
    <font>
      <b/>
      <sz val="10"/>
      <name val="Times New Roman"/>
      <family val="1"/>
    </font>
    <font>
      <b/>
      <sz val="10"/>
      <color rgb="FFFF0000"/>
      <name val="Times New Roman"/>
      <family val="1"/>
    </font>
    <font>
      <b/>
      <i/>
      <sz val="10"/>
      <color rgb="FF006600"/>
      <name val="Times New Roman"/>
      <family val="1"/>
    </font>
    <font>
      <sz val="12"/>
      <name val="Times New Roman"/>
      <family val="1"/>
    </font>
    <font>
      <sz val="10"/>
      <color indexed="8"/>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i/>
      <sz val="10"/>
      <name val="Arial"/>
      <family val="2"/>
    </font>
    <font>
      <b/>
      <sz val="12"/>
      <color indexed="56"/>
      <name val="Arial"/>
      <family val="2"/>
    </font>
    <font>
      <b/>
      <sz val="14"/>
      <color indexed="56"/>
      <name val="Arial"/>
      <family val="2"/>
    </font>
    <font>
      <sz val="12"/>
      <color theme="1"/>
      <name val="Calibri"/>
      <family val="2"/>
      <scheme val="minor"/>
    </font>
    <font>
      <b/>
      <sz val="12"/>
      <color theme="1"/>
      <name val="Calibri"/>
      <family val="2"/>
      <scheme val="minor"/>
    </font>
    <font>
      <b/>
      <sz val="11"/>
      <color theme="0"/>
      <name val="Calibri"/>
      <family val="2"/>
      <scheme val="minor"/>
    </font>
    <font>
      <b/>
      <sz val="8"/>
      <color theme="0"/>
      <name val="Calibri"/>
      <family val="2"/>
      <scheme val="minor"/>
    </font>
    <font>
      <b/>
      <sz val="9"/>
      <color theme="0"/>
      <name val="Calibri"/>
      <family val="2"/>
      <scheme val="minor"/>
    </font>
    <font>
      <sz val="12"/>
      <color theme="1"/>
      <name val="Times New Roman"/>
      <family val="1"/>
    </font>
  </fonts>
  <fills count="40">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32"/>
        <bgColor indexed="64"/>
      </patternFill>
    </fill>
    <fill>
      <patternFill patternType="solid">
        <fgColor indexed="35"/>
        <bgColor indexed="64"/>
      </patternFill>
    </fill>
    <fill>
      <patternFill patternType="solid">
        <fgColor indexed="26"/>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indexed="2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36"/>
      </patternFill>
    </fill>
    <fill>
      <patternFill patternType="solid">
        <fgColor indexed="43"/>
      </patternFill>
    </fill>
    <fill>
      <patternFill patternType="solid">
        <fgColor indexed="37"/>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8"/>
      </patternFill>
    </fill>
    <fill>
      <patternFill patternType="solid">
        <fgColor theme="6" tint="0.79998168889431442"/>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00"/>
      </left>
      <right style="thick">
        <color rgb="FFFFFF00"/>
      </right>
      <top style="thick">
        <color rgb="FFFFFF00"/>
      </top>
      <bottom style="thick">
        <color rgb="FFFFFF00"/>
      </bottom>
      <diagonal/>
    </border>
    <border>
      <left style="thick">
        <color rgb="FFFFFF00"/>
      </left>
      <right style="thick">
        <color rgb="FFFFFF00"/>
      </right>
      <top style="thick">
        <color rgb="FFFFFF00"/>
      </top>
      <bottom style="thin">
        <color indexed="64"/>
      </bottom>
      <diagonal/>
    </border>
    <border>
      <left style="thick">
        <color rgb="FFFFFF00"/>
      </left>
      <right style="thick">
        <color rgb="FFFFFF00"/>
      </right>
      <top style="thin">
        <color indexed="64"/>
      </top>
      <bottom style="thick">
        <color rgb="FFFFFF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right/>
      <top style="thick">
        <color rgb="FFFFFF00"/>
      </top>
      <bottom style="thick">
        <color rgb="FFFFFF00"/>
      </bottom>
      <diagonal/>
    </border>
    <border>
      <left style="thick">
        <color rgb="FFFFFF00"/>
      </left>
      <right style="thick">
        <color rgb="FFFFFF00"/>
      </right>
      <top style="thick">
        <color rgb="FFFFFF00"/>
      </top>
      <bottom/>
      <diagonal/>
    </border>
  </borders>
  <cellStyleXfs count="48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0" fillId="0" borderId="0" applyFont="0" applyFill="0" applyBorder="0" applyAlignment="0" applyProtection="0"/>
    <xf numFmtId="38" fontId="9" fillId="4" borderId="0" applyNumberFormat="0" applyBorder="0" applyAlignment="0" applyProtection="0"/>
    <xf numFmtId="10" fontId="9" fillId="5" borderId="1" applyNumberFormat="0" applyBorder="0" applyAlignment="0" applyProtection="0"/>
    <xf numFmtId="167" fontId="11" fillId="0" borderId="0"/>
    <xf numFmtId="0" fontId="10" fillId="0" borderId="0"/>
    <xf numFmtId="0" fontId="12" fillId="0" borderId="0"/>
    <xf numFmtId="0" fontId="13" fillId="0" borderId="0"/>
    <xf numFmtId="10" fontId="10" fillId="0" borderId="0" applyFont="0" applyFill="0" applyBorder="0" applyAlignment="0" applyProtection="0"/>
    <xf numFmtId="9" fontId="10" fillId="0" borderId="0" applyFont="0" applyFill="0" applyBorder="0" applyAlignment="0" applyProtection="0"/>
    <xf numFmtId="0" fontId="1" fillId="0" borderId="0"/>
    <xf numFmtId="1" fontId="14" fillId="6" borderId="2" applyNumberFormat="0" applyBorder="0" applyAlignment="0">
      <alignment horizontal="center" vertical="top" wrapText="1"/>
      <protection hidden="1"/>
    </xf>
    <xf numFmtId="0" fontId="9" fillId="0" borderId="0">
      <alignment vertical="center"/>
    </xf>
    <xf numFmtId="0" fontId="15" fillId="0" borderId="3">
      <alignment horizontal="left" vertical="center"/>
    </xf>
    <xf numFmtId="168" fontId="16" fillId="0" borderId="0">
      <alignment horizontal="right" vertical="center"/>
    </xf>
    <xf numFmtId="169" fontId="9" fillId="0" borderId="0">
      <alignment horizontal="right" vertical="center"/>
    </xf>
    <xf numFmtId="169" fontId="15" fillId="0" borderId="0">
      <alignment horizontal="right" vertical="center"/>
    </xf>
    <xf numFmtId="170" fontId="9" fillId="0" borderId="0" applyFont="0" applyFill="0" applyBorder="0" applyAlignment="0" applyProtection="0">
      <alignment horizontal="right"/>
    </xf>
    <xf numFmtId="0" fontId="17" fillId="0" borderId="0">
      <alignment vertical="center"/>
    </xf>
    <xf numFmtId="1" fontId="18" fillId="0" borderId="4">
      <alignment vertical="top"/>
    </xf>
    <xf numFmtId="171" fontId="17" fillId="0" borderId="0" applyBorder="0">
      <alignment horizontal="right"/>
    </xf>
    <xf numFmtId="171" fontId="17" fillId="0" borderId="5" applyAlignment="0">
      <alignment horizontal="right"/>
    </xf>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0" fillId="0" borderId="0"/>
    <xf numFmtId="174" fontId="21" fillId="0" borderId="0"/>
    <xf numFmtId="175" fontId="10" fillId="0" borderId="0" applyFont="0" applyFill="0" applyBorder="0" applyAlignment="0" applyProtection="0">
      <alignment wrapText="1"/>
    </xf>
    <xf numFmtId="1" fontId="22" fillId="7" borderId="6" applyNumberFormat="0" applyBorder="0" applyAlignment="0">
      <alignment horizontal="centerContinuous" vertical="center"/>
      <protection locked="0"/>
    </xf>
    <xf numFmtId="174" fontId="9" fillId="0" borderId="0"/>
    <xf numFmtId="170" fontId="23" fillId="0" borderId="0">
      <alignment horizontal="right"/>
    </xf>
    <xf numFmtId="0" fontId="24" fillId="0" borderId="0">
      <alignment vertical="center"/>
    </xf>
    <xf numFmtId="0" fontId="25" fillId="0" borderId="0">
      <alignment horizontal="right"/>
    </xf>
    <xf numFmtId="169" fontId="26" fillId="0" borderId="0">
      <alignment horizontal="right" vertical="center"/>
    </xf>
    <xf numFmtId="169" fontId="23" fillId="0" borderId="0" applyFill="0" applyBorder="0">
      <alignment horizontal="right" vertical="center"/>
    </xf>
    <xf numFmtId="0" fontId="27" fillId="6" borderId="0" applyNumberFormat="0" applyBorder="0" applyAlignment="0">
      <protection hidden="1"/>
    </xf>
    <xf numFmtId="0" fontId="28" fillId="0" borderId="0" applyNumberFormat="0" applyFill="0" applyBorder="0" applyAlignment="0" applyProtection="0">
      <alignment vertical="top"/>
      <protection locked="0"/>
    </xf>
    <xf numFmtId="176" fontId="9" fillId="8" borderId="0">
      <alignment horizontal="center"/>
    </xf>
    <xf numFmtId="177" fontId="9" fillId="0" borderId="0"/>
    <xf numFmtId="178" fontId="9" fillId="0" borderId="0"/>
    <xf numFmtId="0" fontId="1" fillId="0" borderId="0"/>
    <xf numFmtId="0" fontId="29" fillId="0" borderId="0"/>
    <xf numFmtId="0" fontId="30" fillId="0" borderId="0"/>
    <xf numFmtId="9" fontId="29" fillId="0" borderId="0" applyFont="0" applyFill="0" applyBorder="0" applyAlignment="0" applyProtection="0"/>
    <xf numFmtId="179" fontId="31" fillId="4" borderId="0" applyBorder="0" applyAlignment="0">
      <protection hidden="1"/>
    </xf>
    <xf numFmtId="1" fontId="31" fillId="4" borderId="0">
      <alignment horizontal="center"/>
    </xf>
    <xf numFmtId="180" fontId="32" fillId="0" borderId="0"/>
    <xf numFmtId="0" fontId="33" fillId="9" borderId="7" applyNumberFormat="0" applyProtection="0">
      <alignment horizontal="center" wrapText="1"/>
    </xf>
    <xf numFmtId="0" fontId="33" fillId="9" borderId="8" applyNumberFormat="0" applyAlignment="0" applyProtection="0">
      <alignment wrapText="1"/>
    </xf>
    <xf numFmtId="0" fontId="10" fillId="10" borderId="0" applyNumberFormat="0" applyBorder="0">
      <alignment horizontal="center" wrapText="1"/>
    </xf>
    <xf numFmtId="0" fontId="10" fillId="11" borderId="9" applyNumberFormat="0">
      <alignment wrapText="1"/>
    </xf>
    <xf numFmtId="0" fontId="10" fillId="11" borderId="0" applyNumberFormat="0" applyBorder="0">
      <alignment wrapText="1"/>
    </xf>
    <xf numFmtId="0" fontId="10" fillId="0" borderId="0" applyNumberFormat="0" applyFill="0" applyBorder="0" applyProtection="0">
      <alignment horizontal="right" wrapText="1"/>
    </xf>
    <xf numFmtId="181" fontId="10" fillId="0" borderId="0" applyFill="0" applyBorder="0" applyAlignment="0" applyProtection="0">
      <alignment wrapText="1"/>
    </xf>
    <xf numFmtId="182" fontId="10" fillId="0" borderId="0" applyFill="0" applyBorder="0" applyAlignment="0" applyProtection="0">
      <alignment wrapText="1"/>
    </xf>
    <xf numFmtId="182"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17" fontId="10" fillId="0" borderId="0" applyFill="0" applyBorder="0">
      <alignment horizontal="right" wrapText="1"/>
    </xf>
    <xf numFmtId="8" fontId="10" fillId="0" borderId="0" applyFill="0" applyBorder="0" applyAlignment="0" applyProtection="0">
      <alignment wrapText="1"/>
    </xf>
    <xf numFmtId="0" fontId="33" fillId="0" borderId="0" applyNumberFormat="0" applyFill="0" applyBorder="0">
      <alignment horizontal="center" wrapText="1"/>
    </xf>
    <xf numFmtId="0" fontId="33" fillId="0" borderId="0" applyNumberFormat="0" applyFill="0" applyBorder="0">
      <alignment horizontal="center" wrapText="1"/>
    </xf>
    <xf numFmtId="0" fontId="33" fillId="0" borderId="0" applyNumberFormat="0" applyFill="0" applyBorder="0">
      <alignment horizontal="center" wrapText="1"/>
    </xf>
    <xf numFmtId="180" fontId="34" fillId="0" borderId="0"/>
    <xf numFmtId="174" fontId="35" fillId="0" borderId="0"/>
    <xf numFmtId="180" fontId="36" fillId="12" borderId="0" applyFont="0" applyBorder="0" applyAlignment="0">
      <alignment vertical="top" wrapText="1"/>
    </xf>
    <xf numFmtId="180" fontId="37" fillId="12" borderId="10" applyBorder="0">
      <alignment horizontal="right" vertical="top" wrapText="1"/>
    </xf>
    <xf numFmtId="171" fontId="38" fillId="0" borderId="0"/>
    <xf numFmtId="171" fontId="17" fillId="0" borderId="11"/>
    <xf numFmtId="177" fontId="18" fillId="0" borderId="11" applyAlignment="0"/>
    <xf numFmtId="178" fontId="18" fillId="0" borderId="11" applyAlignment="0"/>
    <xf numFmtId="180" fontId="18" fillId="0" borderId="11" applyAlignment="0">
      <alignment horizontal="right"/>
    </xf>
    <xf numFmtId="183" fontId="31" fillId="4" borderId="2" applyBorder="0">
      <alignment horizontal="right" vertical="center"/>
      <protection locked="0"/>
    </xf>
    <xf numFmtId="1" fontId="10" fillId="0" borderId="0">
      <alignment horizontal="center"/>
    </xf>
    <xf numFmtId="0" fontId="1" fillId="0" borderId="0"/>
    <xf numFmtId="0" fontId="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10" fillId="0" borderId="0"/>
    <xf numFmtId="0" fontId="10" fillId="0" borderId="0"/>
    <xf numFmtId="0" fontId="10" fillId="0" borderId="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 fillId="0" borderId="0"/>
    <xf numFmtId="0" fontId="29" fillId="0" borderId="0"/>
    <xf numFmtId="9" fontId="1" fillId="0" borderId="0" applyFont="0" applyFill="0" applyBorder="0" applyAlignment="0" applyProtection="0"/>
    <xf numFmtId="186" fontId="8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94"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4"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0" fontId="84" fillId="0" borderId="0"/>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0" fontId="84" fillId="0" borderId="0"/>
    <xf numFmtId="0" fontId="84" fillId="0" borderId="0"/>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195" fontId="85" fillId="0" borderId="0" applyFill="0" applyBorder="0" applyAlignment="0"/>
    <xf numFmtId="41" fontId="10" fillId="4"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3" fontId="86" fillId="0" borderId="0" applyFont="0" applyFill="0" applyBorder="0" applyAlignment="0" applyProtection="0"/>
    <xf numFmtId="0" fontId="87" fillId="0" borderId="0"/>
    <xf numFmtId="0" fontId="87" fillId="0" borderId="0"/>
    <xf numFmtId="0" fontId="88" fillId="0" borderId="0"/>
    <xf numFmtId="196" fontId="89" fillId="0" borderId="0">
      <protection locked="0"/>
    </xf>
    <xf numFmtId="0" fontId="88" fillId="0" borderId="0"/>
    <xf numFmtId="0" fontId="90" fillId="0" borderId="0" applyNumberFormat="0" applyAlignment="0">
      <alignment horizontal="left"/>
    </xf>
    <xf numFmtId="0" fontId="12" fillId="0" borderId="0" applyNumberFormat="0" applyAlignment="0"/>
    <xf numFmtId="0" fontId="87" fillId="0" borderId="0"/>
    <xf numFmtId="0" fontId="88" fillId="0" borderId="0"/>
    <xf numFmtId="0" fontId="87" fillId="0" borderId="0"/>
    <xf numFmtId="0" fontId="88" fillId="0" borderId="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7" fontId="10" fillId="0" borderId="0" applyFont="0" applyFill="0" applyBorder="0" applyAlignment="0" applyProtection="0"/>
    <xf numFmtId="0" fontId="86" fillId="0" borderId="0" applyFont="0" applyFill="0" applyBorder="0" applyAlignment="0" applyProtection="0"/>
    <xf numFmtId="198" fontId="10" fillId="0" borderId="0"/>
    <xf numFmtId="199" fontId="10" fillId="0" borderId="0" applyFont="0" applyFill="0" applyBorder="0" applyAlignment="0" applyProtection="0">
      <alignment horizontal="left" wrapText="1"/>
    </xf>
    <xf numFmtId="2" fontId="86" fillId="0" borderId="0" applyFont="0" applyFill="0" applyBorder="0" applyAlignment="0" applyProtection="0"/>
    <xf numFmtId="0" fontId="87" fillId="0" borderId="0"/>
    <xf numFmtId="0" fontId="35" fillId="0" borderId="53" applyNumberFormat="0" applyAlignment="0" applyProtection="0">
      <alignment horizontal="left"/>
    </xf>
    <xf numFmtId="0" fontId="35" fillId="0" borderId="54">
      <alignment horizontal="left"/>
    </xf>
    <xf numFmtId="38" fontId="17" fillId="0" borderId="0"/>
    <xf numFmtId="40" fontId="17" fillId="0" borderId="0"/>
    <xf numFmtId="41" fontId="91" fillId="32" borderId="55">
      <alignment horizontal="left"/>
      <protection locked="0"/>
    </xf>
    <xf numFmtId="10" fontId="91" fillId="32" borderId="55">
      <alignment horizontal="right"/>
      <protection locked="0"/>
    </xf>
    <xf numFmtId="41" fontId="91" fillId="32" borderId="55">
      <alignment horizontal="left"/>
      <protection locked="0"/>
    </xf>
    <xf numFmtId="0" fontId="9" fillId="4" borderId="0"/>
    <xf numFmtId="3" fontId="92" fillId="0" borderId="0" applyFill="0" applyBorder="0" applyAlignment="0" applyProtection="0"/>
    <xf numFmtId="44" fontId="33" fillId="0" borderId="56" applyNumberFormat="0" applyFont="0" applyAlignment="0">
      <alignment horizontal="center"/>
    </xf>
    <xf numFmtId="44" fontId="33" fillId="0" borderId="25" applyNumberFormat="0" applyFont="0" applyAlignment="0">
      <alignment horizontal="center"/>
    </xf>
    <xf numFmtId="37" fontId="93"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87" fillId="0" borderId="0"/>
    <xf numFmtId="0" fontId="87" fillId="0" borderId="0"/>
    <xf numFmtId="0" fontId="88" fillId="0" borderId="0"/>
    <xf numFmtId="9" fontId="46" fillId="0" borderId="0" applyFont="0" applyFill="0" applyBorder="0" applyAlignment="0" applyProtection="0"/>
    <xf numFmtId="41" fontId="10" fillId="33" borderId="55"/>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94" fillId="0" borderId="5">
      <alignment horizontal="center"/>
    </xf>
    <xf numFmtId="3" fontId="30" fillId="0" borderId="0" applyFont="0" applyFill="0" applyBorder="0" applyAlignment="0" applyProtection="0"/>
    <xf numFmtId="0" fontId="30" fillId="34" borderId="0" applyNumberFormat="0" applyFont="0" applyBorder="0" applyAlignment="0" applyProtection="0"/>
    <xf numFmtId="0" fontId="88" fillId="0" borderId="0"/>
    <xf numFmtId="3" fontId="95" fillId="0" borderId="0" applyFill="0" applyBorder="0" applyAlignment="0" applyProtection="0"/>
    <xf numFmtId="0" fontId="96" fillId="0" borderId="0"/>
    <xf numFmtId="3" fontId="95" fillId="0" borderId="0" applyFill="0" applyBorder="0" applyAlignment="0" applyProtection="0"/>
    <xf numFmtId="42" fontId="10" fillId="5" borderId="0"/>
    <xf numFmtId="42" fontId="10" fillId="5" borderId="50">
      <alignment vertical="center"/>
    </xf>
    <xf numFmtId="0" fontId="33" fillId="5" borderId="28" applyNumberFormat="0">
      <alignment horizontal="center" vertical="center" wrapText="1"/>
    </xf>
    <xf numFmtId="10" fontId="10" fillId="5" borderId="0"/>
    <xf numFmtId="200" fontId="10" fillId="5" borderId="0"/>
    <xf numFmtId="164" fontId="17" fillId="0" borderId="0" applyBorder="0" applyAlignment="0"/>
    <xf numFmtId="42" fontId="10" fillId="5" borderId="48">
      <alignment horizontal="left"/>
    </xf>
    <xf numFmtId="200" fontId="97" fillId="5" borderId="48">
      <alignment horizontal="left"/>
    </xf>
    <xf numFmtId="164" fontId="17" fillId="0" borderId="0" applyBorder="0" applyAlignment="0"/>
    <xf numFmtId="14" fontId="80" fillId="0" borderId="0" applyNumberFormat="0" applyFill="0" applyBorder="0" applyAlignment="0" applyProtection="0">
      <alignment horizontal="left"/>
    </xf>
    <xf numFmtId="201" fontId="10" fillId="0" borderId="0" applyFont="0" applyFill="0" applyAlignment="0">
      <alignment horizontal="right"/>
    </xf>
    <xf numFmtId="39" fontId="10" fillId="35" borderId="0"/>
    <xf numFmtId="38" fontId="9" fillId="0" borderId="22"/>
    <xf numFmtId="38" fontId="17" fillId="0" borderId="48"/>
    <xf numFmtId="39" fontId="80" fillId="36" borderId="0"/>
    <xf numFmtId="186" fontId="10" fillId="0" borderId="0">
      <alignment horizontal="left" wrapText="1"/>
    </xf>
    <xf numFmtId="0" fontId="10" fillId="0" borderId="0">
      <alignment horizontal="left" wrapText="1"/>
    </xf>
    <xf numFmtId="188" fontId="10" fillId="0" borderId="0">
      <alignment horizontal="left" wrapText="1"/>
    </xf>
    <xf numFmtId="40" fontId="98" fillId="0" borderId="0" applyBorder="0">
      <alignment horizontal="right"/>
    </xf>
    <xf numFmtId="41" fontId="99" fillId="5" borderId="0">
      <alignment horizontal="left"/>
    </xf>
    <xf numFmtId="202" fontId="100" fillId="5" borderId="0">
      <alignment horizontal="left" vertical="center"/>
    </xf>
    <xf numFmtId="0" fontId="33" fillId="5" borderId="0">
      <alignment horizontal="left" wrapText="1"/>
    </xf>
    <xf numFmtId="0" fontId="101" fillId="0" borderId="0">
      <alignment horizontal="left" vertical="center"/>
    </xf>
    <xf numFmtId="0" fontId="88" fillId="0" borderId="57"/>
  </cellStyleXfs>
  <cellXfs count="387">
    <xf numFmtId="0" fontId="0" fillId="0" borderId="0" xfId="0"/>
    <xf numFmtId="0" fontId="3" fillId="0" borderId="0" xfId="0" applyFont="1"/>
    <xf numFmtId="164" fontId="0" fillId="0" borderId="0" xfId="1" applyNumberFormat="1" applyFont="1"/>
    <xf numFmtId="0" fontId="4" fillId="0" borderId="0" xfId="0" applyFont="1" applyFill="1" applyBorder="1"/>
    <xf numFmtId="165" fontId="0" fillId="0" borderId="0" xfId="0" applyNumberFormat="1"/>
    <xf numFmtId="166" fontId="0" fillId="0" borderId="0" xfId="0" applyNumberFormat="1"/>
    <xf numFmtId="0" fontId="5" fillId="0" borderId="0" xfId="0" applyFont="1" applyFill="1" applyBorder="1"/>
    <xf numFmtId="0" fontId="0" fillId="0" borderId="0" xfId="0" applyAlignment="1">
      <alignment horizontal="left" vertical="top"/>
    </xf>
    <xf numFmtId="6" fontId="0" fillId="0" borderId="0" xfId="0" applyNumberFormat="1"/>
    <xf numFmtId="0" fontId="0" fillId="0" borderId="0" xfId="0" applyBorder="1"/>
    <xf numFmtId="0" fontId="0" fillId="0" borderId="0" xfId="0" applyFont="1"/>
    <xf numFmtId="0" fontId="6" fillId="0" borderId="0" xfId="0" applyFont="1"/>
    <xf numFmtId="0" fontId="2" fillId="3" borderId="0" xfId="0" applyFont="1" applyFill="1"/>
    <xf numFmtId="165" fontId="7" fillId="0" borderId="0" xfId="2" applyNumberFormat="1" applyFont="1"/>
    <xf numFmtId="0" fontId="2" fillId="0" borderId="0" xfId="0" applyFont="1"/>
    <xf numFmtId="0" fontId="7" fillId="0" borderId="0" xfId="0" applyFont="1"/>
    <xf numFmtId="165" fontId="0" fillId="0" borderId="0" xfId="2" applyNumberFormat="1" applyFont="1"/>
    <xf numFmtId="165" fontId="0" fillId="0" borderId="0" xfId="2" applyNumberFormat="1" applyFont="1" applyAlignment="1">
      <alignment horizontal="right"/>
    </xf>
    <xf numFmtId="0" fontId="6" fillId="0" borderId="0" xfId="0" applyFont="1" applyBorder="1"/>
    <xf numFmtId="9" fontId="6" fillId="0" borderId="0" xfId="0" applyNumberFormat="1" applyFont="1" applyBorder="1" applyAlignment="1">
      <alignment horizontal="center"/>
    </xf>
    <xf numFmtId="0" fontId="0" fillId="0" borderId="0" xfId="0" applyAlignment="1">
      <alignment horizontal="left"/>
    </xf>
    <xf numFmtId="0" fontId="0" fillId="0" borderId="0" xfId="0" applyFill="1"/>
    <xf numFmtId="0" fontId="39" fillId="2" borderId="1" xfId="0" applyFont="1" applyFill="1" applyBorder="1"/>
    <xf numFmtId="0" fontId="39" fillId="2" borderId="1" xfId="0" applyFont="1" applyFill="1" applyBorder="1" applyAlignment="1">
      <alignment horizontal="center"/>
    </xf>
    <xf numFmtId="0" fontId="40" fillId="0" borderId="0" xfId="0" applyFont="1"/>
    <xf numFmtId="0" fontId="40" fillId="0" borderId="1" xfId="0" applyFont="1" applyBorder="1"/>
    <xf numFmtId="10" fontId="40" fillId="0" borderId="1" xfId="0" applyNumberFormat="1" applyFont="1" applyBorder="1" applyAlignment="1">
      <alignment horizontal="center"/>
    </xf>
    <xf numFmtId="6" fontId="40" fillId="0" borderId="1" xfId="0" applyNumberFormat="1" applyFont="1" applyBorder="1" applyAlignment="1">
      <alignment horizontal="center"/>
    </xf>
    <xf numFmtId="0" fontId="40" fillId="0" borderId="1" xfId="0" applyNumberFormat="1" applyFont="1" applyBorder="1" applyAlignment="1">
      <alignment horizontal="center"/>
    </xf>
    <xf numFmtId="9" fontId="40" fillId="0" borderId="1" xfId="0" applyNumberFormat="1" applyFont="1" applyFill="1" applyBorder="1" applyAlignment="1">
      <alignment horizontal="center"/>
    </xf>
    <xf numFmtId="8" fontId="40" fillId="0" borderId="1" xfId="0" applyNumberFormat="1" applyFont="1" applyBorder="1" applyAlignment="1">
      <alignment horizontal="center"/>
    </xf>
    <xf numFmtId="0" fontId="41" fillId="0" borderId="1" xfId="0" applyFont="1" applyFill="1" applyBorder="1"/>
    <xf numFmtId="0" fontId="40" fillId="0" borderId="1" xfId="0" applyFont="1" applyFill="1" applyBorder="1"/>
    <xf numFmtId="165" fontId="0" fillId="0" borderId="0" xfId="2" applyNumberFormat="1" applyFont="1" applyAlignment="1">
      <alignment horizontal="center"/>
    </xf>
    <xf numFmtId="184" fontId="0" fillId="0" borderId="0" xfId="2" applyNumberFormat="1" applyFont="1" applyAlignment="1">
      <alignment horizontal="center"/>
    </xf>
    <xf numFmtId="0" fontId="40" fillId="0" borderId="0" xfId="0" applyFont="1" applyBorder="1"/>
    <xf numFmtId="8" fontId="40" fillId="0" borderId="0" xfId="0" applyNumberFormat="1" applyFont="1" applyBorder="1" applyAlignment="1">
      <alignment horizontal="center"/>
    </xf>
    <xf numFmtId="0" fontId="40" fillId="0" borderId="1" xfId="0" applyNumberFormat="1" applyFont="1" applyFill="1" applyBorder="1" applyAlignment="1">
      <alignment horizontal="center"/>
    </xf>
    <xf numFmtId="6" fontId="40" fillId="0" borderId="1" xfId="0" applyNumberFormat="1" applyFont="1" applyFill="1" applyBorder="1" applyAlignment="1">
      <alignment horizontal="center"/>
    </xf>
    <xf numFmtId="9" fontId="40" fillId="0" borderId="1" xfId="0" applyNumberFormat="1" applyFont="1" applyBorder="1" applyAlignment="1">
      <alignment horizontal="center"/>
    </xf>
    <xf numFmtId="0" fontId="0" fillId="0" borderId="0" xfId="0" applyFont="1" applyAlignment="1">
      <alignment horizontal="left" vertical="top"/>
    </xf>
    <xf numFmtId="0" fontId="40" fillId="0" borderId="0" xfId="0" applyFont="1" applyFill="1"/>
    <xf numFmtId="184" fontId="2" fillId="0" borderId="0" xfId="2" applyNumberFormat="1" applyFont="1" applyAlignment="1">
      <alignment horizontal="center"/>
    </xf>
    <xf numFmtId="0" fontId="2" fillId="0" borderId="0" xfId="0" applyFont="1" applyFill="1"/>
    <xf numFmtId="6" fontId="0" fillId="0" borderId="0" xfId="0" applyNumberFormat="1" applyFont="1" applyAlignment="1">
      <alignment horizontal="center"/>
    </xf>
    <xf numFmtId="0" fontId="40" fillId="0" borderId="0" xfId="0" applyFont="1" applyFill="1" applyBorder="1"/>
    <xf numFmtId="184" fontId="0" fillId="0" borderId="0" xfId="2" applyNumberFormat="1" applyFont="1" applyFill="1" applyAlignment="1">
      <alignment horizontal="center"/>
    </xf>
    <xf numFmtId="0" fontId="0" fillId="0" borderId="0" xfId="0" applyFill="1" applyAlignment="1">
      <alignment horizontal="left"/>
    </xf>
    <xf numFmtId="0" fontId="40" fillId="0" borderId="1" xfId="0" applyFont="1" applyBorder="1" applyAlignment="1">
      <alignment horizontal="left"/>
    </xf>
    <xf numFmtId="0" fontId="0" fillId="0" borderId="0" xfId="0" applyFont="1" applyFill="1"/>
    <xf numFmtId="184" fontId="0" fillId="0" borderId="0" xfId="0" applyNumberFormat="1"/>
    <xf numFmtId="10" fontId="40" fillId="0" borderId="0" xfId="0" applyNumberFormat="1" applyFont="1" applyBorder="1" applyAlignment="1">
      <alignment horizontal="center"/>
    </xf>
    <xf numFmtId="0" fontId="40" fillId="0" borderId="0" xfId="0" applyNumberFormat="1" applyFont="1" applyFill="1" applyBorder="1" applyAlignment="1">
      <alignment horizontal="center"/>
    </xf>
    <xf numFmtId="6" fontId="40" fillId="0" borderId="0" xfId="0" applyNumberFormat="1" applyFont="1" applyFill="1" applyBorder="1" applyAlignment="1">
      <alignment horizontal="center"/>
    </xf>
    <xf numFmtId="0" fontId="2" fillId="3" borderId="0" xfId="0" applyFont="1" applyFill="1" applyAlignment="1">
      <alignment horizontal="center"/>
    </xf>
    <xf numFmtId="0" fontId="0" fillId="0" borderId="0" xfId="0" applyAlignment="1">
      <alignment horizontal="center"/>
    </xf>
    <xf numFmtId="0" fontId="0" fillId="0" borderId="0" xfId="0" applyFill="1" applyAlignment="1">
      <alignment horizontal="center"/>
    </xf>
    <xf numFmtId="0" fontId="39" fillId="0" borderId="0" xfId="0" applyFont="1" applyFill="1" applyBorder="1" applyAlignment="1">
      <alignment horizontal="center"/>
    </xf>
    <xf numFmtId="9" fontId="6" fillId="0" borderId="0" xfId="0" applyNumberFormat="1" applyFont="1" applyFill="1" applyBorder="1" applyAlignment="1">
      <alignment horizontal="center"/>
    </xf>
    <xf numFmtId="0" fontId="3" fillId="0" borderId="0" xfId="0" applyFont="1" applyFill="1" applyAlignment="1">
      <alignment horizontal="center"/>
    </xf>
    <xf numFmtId="0" fontId="0" fillId="0" borderId="0" xfId="0" applyNumberFormat="1" applyFont="1" applyAlignment="1">
      <alignment horizontal="center"/>
    </xf>
    <xf numFmtId="0" fontId="3" fillId="0" borderId="0" xfId="0" applyNumberFormat="1" applyFont="1" applyAlignment="1">
      <alignment horizontal="center"/>
    </xf>
    <xf numFmtId="0" fontId="0" fillId="0" borderId="0" xfId="0" applyNumberFormat="1" applyAlignment="1">
      <alignment horizontal="center"/>
    </xf>
    <xf numFmtId="9" fontId="40" fillId="0" borderId="0" xfId="0" applyNumberFormat="1" applyFont="1" applyFill="1" applyBorder="1" applyAlignment="1">
      <alignment horizontal="center"/>
    </xf>
    <xf numFmtId="8" fontId="40" fillId="0" borderId="0" xfId="0" applyNumberFormat="1" applyFont="1" applyFill="1" applyBorder="1" applyAlignment="1">
      <alignment horizontal="center"/>
    </xf>
    <xf numFmtId="0" fontId="0" fillId="0" borderId="0" xfId="0" applyFont="1" applyAlignment="1">
      <alignment horizontal="center"/>
    </xf>
    <xf numFmtId="0" fontId="6" fillId="0" borderId="0" xfId="0" applyFont="1" applyAlignment="1">
      <alignment horizontal="center"/>
    </xf>
    <xf numFmtId="0" fontId="2" fillId="15" borderId="0" xfId="0" applyFont="1" applyFill="1"/>
    <xf numFmtId="0" fontId="2" fillId="15" borderId="0" xfId="0" applyNumberFormat="1" applyFont="1" applyFill="1" applyAlignment="1">
      <alignment horizontal="center"/>
    </xf>
    <xf numFmtId="0" fontId="2" fillId="14" borderId="0" xfId="0" applyFont="1" applyFill="1"/>
    <xf numFmtId="0" fontId="2" fillId="14" borderId="0" xfId="0" applyNumberFormat="1" applyFont="1" applyFill="1" applyAlignment="1">
      <alignment horizontal="center"/>
    </xf>
    <xf numFmtId="6" fontId="2" fillId="15" borderId="0" xfId="0" applyNumberFormat="1" applyFont="1" applyFill="1" applyAlignment="1">
      <alignment horizontal="center"/>
    </xf>
    <xf numFmtId="6" fontId="2" fillId="14" borderId="0" xfId="0" applyNumberFormat="1" applyFont="1" applyFill="1" applyAlignment="1">
      <alignment horizontal="center"/>
    </xf>
    <xf numFmtId="184" fontId="2" fillId="15" borderId="0" xfId="2" applyNumberFormat="1" applyFont="1" applyFill="1" applyAlignment="1">
      <alignment horizontal="center"/>
    </xf>
    <xf numFmtId="184" fontId="2" fillId="14" borderId="0" xfId="2" applyNumberFormat="1" applyFont="1" applyFill="1" applyAlignment="1">
      <alignment horizontal="center"/>
    </xf>
    <xf numFmtId="0" fontId="40" fillId="0" borderId="0" xfId="0" applyFont="1" applyFill="1" applyAlignment="1">
      <alignment horizontal="center"/>
    </xf>
    <xf numFmtId="0" fontId="4" fillId="0" borderId="0" xfId="0" applyFont="1" applyFill="1" applyBorder="1" applyAlignment="1">
      <alignment horizontal="center"/>
    </xf>
    <xf numFmtId="165" fontId="4" fillId="0" borderId="0" xfId="2" applyNumberFormat="1" applyFont="1" applyFill="1" applyBorder="1" applyAlignment="1">
      <alignment horizontal="center"/>
    </xf>
    <xf numFmtId="0" fontId="2" fillId="15" borderId="0" xfId="0" applyFont="1" applyFill="1" applyAlignment="1">
      <alignment horizontal="center"/>
    </xf>
    <xf numFmtId="0" fontId="2" fillId="14" borderId="0" xfId="0" applyFont="1" applyFill="1" applyAlignment="1">
      <alignment horizontal="center"/>
    </xf>
    <xf numFmtId="0" fontId="2" fillId="0" borderId="0" xfId="0" applyFont="1" applyAlignment="1">
      <alignment horizontal="center"/>
    </xf>
    <xf numFmtId="166" fontId="0" fillId="0" borderId="0" xfId="0" applyNumberFormat="1" applyAlignment="1">
      <alignment horizontal="center"/>
    </xf>
    <xf numFmtId="0" fontId="6" fillId="0" borderId="0" xfId="0" applyFont="1" applyFill="1"/>
    <xf numFmtId="0" fontId="4" fillId="0" borderId="0" xfId="2" applyNumberFormat="1" applyFont="1" applyFill="1" applyBorder="1" applyAlignment="1">
      <alignment horizontal="center"/>
    </xf>
    <xf numFmtId="0" fontId="39" fillId="0" borderId="0" xfId="0" applyFont="1" applyFill="1"/>
    <xf numFmtId="0" fontId="42" fillId="0" borderId="0" xfId="0" applyFont="1"/>
    <xf numFmtId="165" fontId="42" fillId="0" borderId="0" xfId="0" applyNumberFormat="1" applyFont="1"/>
    <xf numFmtId="165" fontId="7" fillId="0" borderId="0" xfId="0" applyNumberFormat="1" applyFont="1"/>
    <xf numFmtId="184" fontId="0" fillId="0" borderId="0" xfId="2" applyNumberFormat="1" applyFont="1" applyAlignment="1">
      <alignment horizontal="left"/>
    </xf>
    <xf numFmtId="0" fontId="43" fillId="0" borderId="0" xfId="0" applyFont="1" applyFill="1" applyAlignment="1">
      <alignment horizontal="left" indent="2"/>
    </xf>
    <xf numFmtId="6" fontId="0" fillId="0" borderId="0" xfId="0" applyNumberFormat="1" applyFont="1" applyFill="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15" borderId="0" xfId="0" applyFill="1"/>
    <xf numFmtId="0" fontId="0" fillId="14" borderId="0" xfId="0" applyFill="1"/>
    <xf numFmtId="6" fontId="0" fillId="0" borderId="0" xfId="0" applyNumberFormat="1" applyFill="1" applyAlignment="1">
      <alignment horizontal="center"/>
    </xf>
    <xf numFmtId="0" fontId="45" fillId="0" borderId="0" xfId="0" applyFont="1"/>
    <xf numFmtId="0" fontId="0" fillId="0" borderId="0" xfId="0"/>
    <xf numFmtId="0" fontId="0" fillId="0" borderId="0" xfId="0" applyFont="1" applyFill="1" applyAlignment="1">
      <alignment horizontal="center"/>
    </xf>
    <xf numFmtId="1" fontId="0" fillId="0" borderId="0" xfId="0" applyNumberFormat="1" applyFont="1" applyFill="1"/>
    <xf numFmtId="0" fontId="6" fillId="0" borderId="0" xfId="0" applyFont="1" applyFill="1" applyAlignment="1">
      <alignment horizontal="center"/>
    </xf>
    <xf numFmtId="6" fontId="0" fillId="0" borderId="0" xfId="0" applyNumberFormat="1" applyFont="1" applyFill="1"/>
    <xf numFmtId="0" fontId="63" fillId="0" borderId="0" xfId="0" applyFont="1" applyFill="1" applyBorder="1"/>
    <xf numFmtId="0" fontId="44" fillId="0" borderId="0" xfId="0" applyFont="1"/>
    <xf numFmtId="0" fontId="64" fillId="0" borderId="0" xfId="0" applyFont="1"/>
    <xf numFmtId="0" fontId="0" fillId="0" borderId="0" xfId="0" applyNumberFormat="1" applyFont="1" applyFill="1" applyAlignment="1">
      <alignment horizontal="center"/>
    </xf>
    <xf numFmtId="0" fontId="0" fillId="0" borderId="0" xfId="0" applyNumberFormat="1" applyFill="1" applyAlignment="1">
      <alignment horizontal="center"/>
    </xf>
    <xf numFmtId="0" fontId="2" fillId="0" borderId="0" xfId="0" applyFont="1" applyFill="1" applyAlignment="1">
      <alignment horizontal="center"/>
    </xf>
    <xf numFmtId="6" fontId="0" fillId="0" borderId="0" xfId="0" applyNumberFormat="1" applyFill="1"/>
    <xf numFmtId="184" fontId="2" fillId="0" borderId="0" xfId="2" applyNumberFormat="1" applyFont="1" applyFill="1" applyAlignment="1">
      <alignment horizontal="center"/>
    </xf>
    <xf numFmtId="0" fontId="44" fillId="0" borderId="0" xfId="0" applyFont="1" applyFill="1" applyAlignment="1">
      <alignment horizontal="left" indent="2"/>
    </xf>
    <xf numFmtId="0" fontId="44" fillId="0" borderId="0" xfId="0" applyFont="1" applyFill="1" applyAlignment="1"/>
    <xf numFmtId="0" fontId="44" fillId="0" borderId="0" xfId="0" applyFont="1" applyAlignment="1">
      <alignment horizontal="left"/>
    </xf>
    <xf numFmtId="0" fontId="44" fillId="0" borderId="0" xfId="0" applyFont="1" applyFill="1" applyAlignment="1">
      <alignment horizontal="left"/>
    </xf>
    <xf numFmtId="0" fontId="0" fillId="0" borderId="1" xfId="0" applyFill="1" applyBorder="1" applyAlignment="1">
      <alignment horizontal="center"/>
    </xf>
    <xf numFmtId="166" fontId="0" fillId="0" borderId="0" xfId="0" applyNumberFormat="1" applyFill="1" applyAlignment="1">
      <alignment horizontal="center"/>
    </xf>
    <xf numFmtId="166" fontId="0" fillId="0" borderId="0" xfId="0" applyNumberFormat="1" applyFill="1"/>
    <xf numFmtId="165" fontId="0" fillId="0" borderId="0" xfId="2" applyNumberFormat="1" applyFont="1" applyFill="1" applyAlignment="1">
      <alignment horizontal="center"/>
    </xf>
    <xf numFmtId="165" fontId="0" fillId="0" borderId="0" xfId="2" applyNumberFormat="1" applyFont="1" applyFill="1"/>
    <xf numFmtId="1" fontId="0" fillId="0" borderId="1" xfId="0" applyNumberFormat="1" applyFill="1" applyBorder="1" applyAlignment="1">
      <alignment horizontal="center"/>
    </xf>
    <xf numFmtId="6" fontId="2" fillId="0" borderId="0" xfId="0" applyNumberFormat="1" applyFont="1"/>
    <xf numFmtId="1" fontId="40" fillId="0" borderId="1" xfId="0" applyNumberFormat="1" applyFont="1" applyBorder="1" applyAlignment="1">
      <alignment horizontal="center"/>
    </xf>
    <xf numFmtId="0" fontId="39" fillId="0" borderId="0" xfId="0" applyFont="1" applyFill="1" applyBorder="1"/>
    <xf numFmtId="184" fontId="0" fillId="0" borderId="0" xfId="0" applyNumberFormat="1" applyFill="1"/>
    <xf numFmtId="0" fontId="44" fillId="0" borderId="0" xfId="0" applyFont="1" applyAlignment="1">
      <alignment horizontal="left" vertical="top"/>
    </xf>
    <xf numFmtId="0" fontId="0" fillId="0" borderId="1" xfId="0"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0" fillId="0" borderId="1" xfId="2" applyNumberFormat="1" applyFont="1" applyFill="1" applyBorder="1" applyAlignment="1">
      <alignment horizontal="center"/>
    </xf>
    <xf numFmtId="0" fontId="0" fillId="0" borderId="1" xfId="0" applyFont="1" applyFill="1" applyBorder="1" applyAlignment="1">
      <alignment horizontal="center"/>
    </xf>
    <xf numFmtId="1" fontId="0" fillId="0" borderId="1" xfId="1" applyNumberFormat="1" applyFont="1" applyFill="1" applyBorder="1" applyAlignment="1">
      <alignment horizontal="center"/>
    </xf>
    <xf numFmtId="0" fontId="0" fillId="0" borderId="1" xfId="0" applyFont="1" applyFill="1" applyBorder="1"/>
    <xf numFmtId="0" fontId="2" fillId="0" borderId="1" xfId="0" applyFont="1" applyFill="1" applyBorder="1" applyAlignment="1">
      <alignment horizontal="center"/>
    </xf>
    <xf numFmtId="1" fontId="2" fillId="0" borderId="1" xfId="0" applyNumberFormat="1" applyFont="1" applyFill="1" applyBorder="1" applyAlignment="1">
      <alignment horizontal="center"/>
    </xf>
    <xf numFmtId="0" fontId="64" fillId="0" borderId="0" xfId="0" applyFont="1" applyAlignment="1">
      <alignment horizontal="left"/>
    </xf>
    <xf numFmtId="0" fontId="67" fillId="0" borderId="0" xfId="0" applyFont="1" applyAlignment="1">
      <alignment horizontal="left" vertical="center"/>
    </xf>
    <xf numFmtId="10" fontId="40" fillId="0" borderId="1" xfId="0" applyNumberFormat="1" applyFont="1" applyFill="1" applyBorder="1" applyAlignment="1">
      <alignment horizontal="center"/>
    </xf>
    <xf numFmtId="0" fontId="66" fillId="0" borderId="1" xfId="0" applyFont="1" applyFill="1" applyBorder="1"/>
    <xf numFmtId="0" fontId="40" fillId="0" borderId="1" xfId="0" applyFont="1" applyBorder="1" applyAlignment="1">
      <alignment horizontal="center"/>
    </xf>
    <xf numFmtId="0" fontId="0" fillId="0" borderId="0" xfId="2" applyNumberFormat="1" applyFont="1" applyFill="1" applyAlignment="1">
      <alignment horizontal="center"/>
    </xf>
    <xf numFmtId="9" fontId="0" fillId="0" borderId="0" xfId="306" applyFont="1"/>
    <xf numFmtId="184" fontId="44" fillId="0" borderId="0" xfId="2" applyNumberFormat="1" applyFont="1" applyFill="1" applyAlignment="1">
      <alignment horizontal="center"/>
    </xf>
    <xf numFmtId="0" fontId="40" fillId="0" borderId="1" xfId="0" applyNumberFormat="1" applyFont="1" applyFill="1" applyBorder="1" applyAlignment="1">
      <alignment horizontal="left"/>
    </xf>
    <xf numFmtId="6" fontId="40" fillId="0" borderId="1" xfId="0" applyNumberFormat="1" applyFont="1" applyFill="1" applyBorder="1" applyAlignment="1">
      <alignment horizontal="left"/>
    </xf>
    <xf numFmtId="6" fontId="40" fillId="0" borderId="1" xfId="0" applyNumberFormat="1" applyFont="1" applyFill="1" applyBorder="1" applyAlignment="1"/>
    <xf numFmtId="9" fontId="40" fillId="0" borderId="1" xfId="0" applyNumberFormat="1" applyFont="1" applyFill="1" applyBorder="1" applyAlignment="1"/>
    <xf numFmtId="0" fontId="0" fillId="0" borderId="1" xfId="0" applyFont="1" applyBorder="1"/>
    <xf numFmtId="1" fontId="0" fillId="0" borderId="1" xfId="0" applyNumberFormat="1" applyFont="1" applyFill="1" applyBorder="1" applyAlignment="1">
      <alignment horizontal="center"/>
    </xf>
    <xf numFmtId="0" fontId="0" fillId="0" borderId="0" xfId="0" applyFont="1" applyFill="1" applyAlignment="1">
      <alignment horizontal="left" vertical="top"/>
    </xf>
    <xf numFmtId="10" fontId="40" fillId="0" borderId="1" xfId="0" applyNumberFormat="1" applyFont="1" applyBorder="1" applyAlignment="1">
      <alignment horizontal="left"/>
    </xf>
    <xf numFmtId="184" fontId="1" fillId="0" borderId="0" xfId="2" applyNumberFormat="1" applyFont="1" applyFill="1" applyAlignment="1">
      <alignment horizontal="center"/>
    </xf>
    <xf numFmtId="8" fontId="0" fillId="0" borderId="0" xfId="0" applyNumberFormat="1" applyFont="1" applyFill="1" applyAlignment="1">
      <alignment horizontal="center"/>
    </xf>
    <xf numFmtId="184" fontId="0" fillId="0" borderId="0" xfId="2" applyNumberFormat="1" applyFont="1" applyFill="1" applyAlignment="1">
      <alignment horizontal="left"/>
    </xf>
    <xf numFmtId="6" fontId="40" fillId="0" borderId="0" xfId="0" applyNumberFormat="1" applyFont="1" applyFill="1" applyBorder="1" applyAlignment="1">
      <alignment horizontal="left"/>
    </xf>
    <xf numFmtId="0" fontId="68" fillId="0" borderId="0" xfId="0" applyFont="1" applyFill="1"/>
    <xf numFmtId="185" fontId="40" fillId="0" borderId="1" xfId="0" applyNumberFormat="1" applyFont="1" applyBorder="1" applyAlignment="1">
      <alignment horizontal="center"/>
    </xf>
    <xf numFmtId="0" fontId="42" fillId="0" borderId="0" xfId="0" applyFont="1" applyFill="1"/>
    <xf numFmtId="166" fontId="2" fillId="0" borderId="0" xfId="0" applyNumberFormat="1" applyFont="1"/>
    <xf numFmtId="0" fontId="2" fillId="13" borderId="0" xfId="0" applyFont="1" applyFill="1"/>
    <xf numFmtId="0" fontId="0" fillId="13" borderId="0" xfId="0" applyFill="1"/>
    <xf numFmtId="0" fontId="7" fillId="0" borderId="0" xfId="0" applyFont="1" applyFill="1"/>
    <xf numFmtId="0" fontId="40" fillId="0" borderId="1" xfId="0" applyFont="1" applyFill="1" applyBorder="1" applyAlignment="1">
      <alignment horizontal="left"/>
    </xf>
    <xf numFmtId="0" fontId="0" fillId="0" borderId="0" xfId="0" applyFill="1" applyBorder="1" applyAlignment="1">
      <alignment horizontal="right"/>
    </xf>
    <xf numFmtId="8" fontId="65" fillId="0" borderId="0" xfId="0" applyNumberFormat="1" applyFont="1" applyFill="1" applyBorder="1" applyAlignment="1">
      <alignment horizontal="center" vertical="center"/>
    </xf>
    <xf numFmtId="0" fontId="0" fillId="0" borderId="0" xfId="0" applyFill="1" applyBorder="1"/>
    <xf numFmtId="165" fontId="0" fillId="0" borderId="0" xfId="2" applyNumberFormat="1" applyFont="1" applyFill="1" applyBorder="1" applyAlignment="1">
      <alignment horizontal="center"/>
    </xf>
    <xf numFmtId="0" fontId="65" fillId="0" borderId="0" xfId="0" applyFont="1" applyFill="1" applyBorder="1" applyAlignment="1">
      <alignment horizontal="center" vertical="center"/>
    </xf>
    <xf numFmtId="0" fontId="2" fillId="0" borderId="0" xfId="0" applyFont="1" applyFill="1" applyBorder="1" applyAlignment="1">
      <alignment horizontal="center"/>
    </xf>
    <xf numFmtId="165" fontId="0" fillId="0" borderId="0" xfId="2" applyNumberFormat="1" applyFont="1" applyFill="1" applyBorder="1"/>
    <xf numFmtId="0" fontId="0" fillId="0" borderId="0" xfId="0" applyFont="1" applyBorder="1"/>
    <xf numFmtId="0" fontId="0" fillId="0" borderId="0" xfId="0" applyFont="1" applyBorder="1" applyAlignment="1">
      <alignment horizontal="right"/>
    </xf>
    <xf numFmtId="8" fontId="65" fillId="0" borderId="0" xfId="0" applyNumberFormat="1" applyFont="1" applyBorder="1" applyAlignment="1">
      <alignment horizontal="center" vertical="center"/>
    </xf>
    <xf numFmtId="0" fontId="0" fillId="0" borderId="0" xfId="0" applyFont="1" applyFill="1" applyBorder="1"/>
    <xf numFmtId="0" fontId="0" fillId="0" borderId="0" xfId="0" applyBorder="1" applyAlignment="1">
      <alignment horizontal="right"/>
    </xf>
    <xf numFmtId="9" fontId="0" fillId="0" borderId="0" xfId="0" applyNumberFormat="1" applyBorder="1"/>
    <xf numFmtId="184" fontId="0" fillId="0" borderId="0" xfId="2" applyNumberFormat="1" applyFont="1" applyBorder="1" applyAlignment="1">
      <alignment horizontal="center"/>
    </xf>
    <xf numFmtId="9" fontId="0" fillId="0" borderId="0" xfId="306" applyFont="1" applyBorder="1"/>
    <xf numFmtId="165" fontId="0" fillId="0" borderId="0" xfId="2" applyNumberFormat="1" applyFont="1" applyBorder="1" applyAlignment="1">
      <alignment horizontal="center"/>
    </xf>
    <xf numFmtId="6" fontId="0" fillId="0" borderId="0" xfId="0" applyNumberFormat="1" applyFill="1" applyBorder="1" applyAlignment="1">
      <alignment horizontal="center"/>
    </xf>
    <xf numFmtId="0" fontId="69" fillId="0" borderId="0" xfId="0" applyFont="1"/>
    <xf numFmtId="165" fontId="69" fillId="0" borderId="0" xfId="0" applyNumberFormat="1" applyFont="1"/>
    <xf numFmtId="0" fontId="3" fillId="0" borderId="0" xfId="0" applyFont="1" applyFill="1"/>
    <xf numFmtId="0" fontId="70" fillId="0" borderId="0" xfId="0" applyFont="1"/>
    <xf numFmtId="0" fontId="70" fillId="0" borderId="0" xfId="0" applyFont="1" applyAlignment="1"/>
    <xf numFmtId="0" fontId="70" fillId="0" borderId="0" xfId="0" applyFont="1" applyAlignment="1">
      <alignment horizontal="center"/>
    </xf>
    <xf numFmtId="165" fontId="0" fillId="0" borderId="0" xfId="2" quotePrefix="1" applyNumberFormat="1" applyFont="1" applyAlignment="1">
      <alignment horizontal="center"/>
    </xf>
    <xf numFmtId="165" fontId="2" fillId="0" borderId="0" xfId="2" applyNumberFormat="1" applyFont="1"/>
    <xf numFmtId="0" fontId="0" fillId="0" borderId="0" xfId="2" applyNumberFormat="1" applyFont="1" applyFill="1" applyBorder="1" applyAlignment="1">
      <alignment horizontal="center"/>
    </xf>
    <xf numFmtId="0" fontId="2" fillId="0" borderId="0" xfId="2" applyNumberFormat="1" applyFont="1" applyFill="1" applyBorder="1" applyAlignment="1">
      <alignment horizontal="center"/>
    </xf>
    <xf numFmtId="0" fontId="70" fillId="0" borderId="0" xfId="0" applyFont="1" applyAlignment="1">
      <alignment horizontal="center"/>
    </xf>
    <xf numFmtId="44" fontId="0" fillId="0" borderId="0" xfId="0" applyNumberFormat="1"/>
    <xf numFmtId="165" fontId="42" fillId="0" borderId="0" xfId="2" applyNumberFormat="1" applyFont="1"/>
    <xf numFmtId="0" fontId="0" fillId="0" borderId="21" xfId="0" applyBorder="1"/>
    <xf numFmtId="0" fontId="0" fillId="0" borderId="22" xfId="0" applyBorder="1"/>
    <xf numFmtId="10" fontId="0" fillId="0" borderId="23" xfId="0" applyNumberFormat="1" applyBorder="1"/>
    <xf numFmtId="10" fontId="0" fillId="0" borderId="0" xfId="0" applyNumberFormat="1" applyBorder="1"/>
    <xf numFmtId="0" fontId="0" fillId="0" borderId="24" xfId="0" applyBorder="1"/>
    <xf numFmtId="10" fontId="0" fillId="0" borderId="25" xfId="0" applyNumberFormat="1" applyBorder="1"/>
    <xf numFmtId="0" fontId="0" fillId="0" borderId="26" xfId="0" applyBorder="1"/>
    <xf numFmtId="0" fontId="0" fillId="0" borderId="3" xfId="0" applyBorder="1"/>
    <xf numFmtId="9" fontId="0" fillId="0" borderId="27" xfId="306" applyFont="1" applyBorder="1"/>
    <xf numFmtId="0" fontId="0" fillId="0" borderId="28" xfId="0" applyBorder="1" applyAlignment="1">
      <alignment horizontal="center"/>
    </xf>
    <xf numFmtId="14" fontId="0" fillId="0" borderId="0" xfId="0" applyNumberFormat="1"/>
    <xf numFmtId="42" fontId="0" fillId="0" borderId="0" xfId="0" applyNumberFormat="1"/>
    <xf numFmtId="186" fontId="33" fillId="0" borderId="0" xfId="0" applyNumberFormat="1" applyFont="1" applyFill="1" applyAlignment="1">
      <alignment horizontal="left"/>
    </xf>
    <xf numFmtId="186" fontId="10" fillId="0" borderId="0" xfId="0" applyNumberFormat="1" applyFont="1" applyFill="1" applyAlignment="1">
      <alignment horizontal="left"/>
    </xf>
    <xf numFmtId="186" fontId="10" fillId="0" borderId="0" xfId="0" applyNumberFormat="1" applyFont="1" applyFill="1" applyAlignment="1">
      <alignment horizontal="right"/>
    </xf>
    <xf numFmtId="9" fontId="10" fillId="0" borderId="0" xfId="0" applyNumberFormat="1" applyFont="1" applyFill="1" applyAlignment="1">
      <alignment horizontal="left"/>
    </xf>
    <xf numFmtId="0" fontId="10" fillId="0" borderId="0" xfId="0" applyFont="1" applyFill="1"/>
    <xf numFmtId="0" fontId="10" fillId="0" borderId="0" xfId="0" applyFont="1"/>
    <xf numFmtId="186" fontId="71" fillId="0" borderId="0" xfId="0" applyNumberFormat="1" applyFont="1" applyFill="1" applyAlignment="1">
      <alignment horizontal="left"/>
    </xf>
    <xf numFmtId="0" fontId="10" fillId="0" borderId="0" xfId="0" applyFont="1" applyFill="1" applyAlignment="1">
      <alignment horizontal="center"/>
    </xf>
    <xf numFmtId="0" fontId="10" fillId="0" borderId="0" xfId="0" applyFont="1" applyFill="1" applyAlignment="1">
      <alignment horizontal="center" wrapText="1"/>
    </xf>
    <xf numFmtId="164" fontId="10" fillId="0" borderId="0" xfId="0" applyNumberFormat="1" applyFont="1" applyFill="1" applyAlignment="1">
      <alignment horizontal="left"/>
    </xf>
    <xf numFmtId="13" fontId="10" fillId="0" borderId="0" xfId="0" applyNumberFormat="1" applyFont="1" applyFill="1"/>
    <xf numFmtId="0" fontId="10" fillId="0" borderId="0" xfId="0" applyFont="1" applyFill="1" applyAlignment="1">
      <alignment horizontal="right"/>
    </xf>
    <xf numFmtId="187" fontId="71" fillId="0" borderId="29" xfId="0" applyNumberFormat="1" applyFont="1" applyFill="1" applyBorder="1" applyAlignment="1">
      <alignment horizontal="left"/>
    </xf>
    <xf numFmtId="42" fontId="71" fillId="0" borderId="0" xfId="0" applyNumberFormat="1" applyFont="1" applyFill="1" applyAlignment="1"/>
    <xf numFmtId="6" fontId="71" fillId="0" borderId="0" xfId="0" applyNumberFormat="1" applyFont="1" applyFill="1" applyAlignment="1"/>
    <xf numFmtId="165" fontId="10" fillId="0" borderId="0" xfId="0" applyNumberFormat="1" applyFont="1" applyFill="1" applyAlignment="1">
      <alignment horizontal="left"/>
    </xf>
    <xf numFmtId="0" fontId="10" fillId="0" borderId="0" xfId="0" applyFont="1" applyFill="1" applyBorder="1"/>
    <xf numFmtId="0" fontId="33" fillId="0" borderId="30" xfId="0" applyNumberFormat="1" applyFont="1" applyFill="1" applyBorder="1" applyAlignment="1"/>
    <xf numFmtId="0" fontId="33" fillId="0" borderId="30" xfId="0" applyNumberFormat="1" applyFont="1" applyFill="1" applyBorder="1" applyAlignment="1">
      <alignment horizontal="center"/>
    </xf>
    <xf numFmtId="0" fontId="33" fillId="0" borderId="31" xfId="0" applyNumberFormat="1" applyFont="1" applyFill="1" applyBorder="1" applyAlignment="1"/>
    <xf numFmtId="188" fontId="33" fillId="0" borderId="31" xfId="0" applyNumberFormat="1" applyFont="1" applyFill="1" applyBorder="1" applyAlignment="1">
      <alignment horizontal="center"/>
    </xf>
    <xf numFmtId="0" fontId="33" fillId="0" borderId="0" xfId="0" applyNumberFormat="1" applyFont="1" applyFill="1" applyBorder="1" applyAlignment="1"/>
    <xf numFmtId="10" fontId="33" fillId="0" borderId="31" xfId="0" applyNumberFormat="1" applyFont="1" applyFill="1" applyBorder="1" applyAlignment="1">
      <alignment horizontal="center"/>
    </xf>
    <xf numFmtId="41" fontId="0" fillId="0" borderId="0" xfId="0" applyNumberFormat="1"/>
    <xf numFmtId="0" fontId="9" fillId="0" borderId="0" xfId="0" applyNumberFormat="1" applyFont="1" applyFill="1" applyBorder="1" applyAlignment="1">
      <alignment horizontal="center"/>
    </xf>
    <xf numFmtId="9" fontId="9" fillId="0" borderId="0" xfId="0" applyNumberFormat="1" applyFont="1" applyFill="1" applyAlignment="1"/>
    <xf numFmtId="0" fontId="10" fillId="0" borderId="0" xfId="0" applyNumberFormat="1" applyFont="1" applyFill="1" applyAlignment="1"/>
    <xf numFmtId="0" fontId="10" fillId="0" borderId="0" xfId="0" applyNumberFormat="1" applyFont="1" applyAlignment="1"/>
    <xf numFmtId="0" fontId="33" fillId="0" borderId="32" xfId="0" applyNumberFormat="1" applyFont="1" applyBorder="1" applyAlignment="1">
      <alignment horizontal="center"/>
    </xf>
    <xf numFmtId="0" fontId="33" fillId="0" borderId="33" xfId="0" applyNumberFormat="1" applyFont="1" applyBorder="1" applyAlignment="1">
      <alignment horizontal="centerContinuous" vertical="center"/>
    </xf>
    <xf numFmtId="0" fontId="33" fillId="0" borderId="34" xfId="0" applyNumberFormat="1" applyFont="1" applyBorder="1" applyAlignment="1">
      <alignment horizontal="centerContinuous" vertical="center"/>
    </xf>
    <xf numFmtId="0" fontId="33" fillId="0" borderId="33" xfId="0" applyNumberFormat="1" applyFont="1" applyFill="1" applyBorder="1" applyAlignment="1">
      <alignment horizontal="centerContinuous" vertical="center"/>
    </xf>
    <xf numFmtId="0" fontId="33" fillId="0" borderId="34" xfId="0" applyNumberFormat="1" applyFont="1" applyFill="1" applyBorder="1" applyAlignment="1">
      <alignment horizontal="centerContinuous" vertical="center"/>
    </xf>
    <xf numFmtId="186" fontId="33" fillId="0" borderId="32" xfId="0" applyNumberFormat="1" applyFont="1" applyBorder="1" applyAlignment="1">
      <alignment horizontal="center"/>
    </xf>
    <xf numFmtId="0" fontId="33" fillId="0" borderId="35" xfId="0" applyNumberFormat="1" applyFont="1" applyBorder="1" applyAlignment="1">
      <alignment horizontal="center"/>
    </xf>
    <xf numFmtId="0" fontId="33" fillId="0" borderId="36" xfId="0" applyNumberFormat="1" applyFont="1" applyBorder="1" applyAlignment="1">
      <alignment horizontal="centerContinuous" vertical="center"/>
    </xf>
    <xf numFmtId="0" fontId="33" fillId="0" borderId="37" xfId="0" applyNumberFormat="1" applyFont="1" applyBorder="1" applyAlignment="1">
      <alignment horizontal="centerContinuous" vertical="center"/>
    </xf>
    <xf numFmtId="0" fontId="33" fillId="0" borderId="36" xfId="0" applyNumberFormat="1" applyFont="1" applyFill="1" applyBorder="1" applyAlignment="1">
      <alignment horizontal="center" vertical="center"/>
    </xf>
    <xf numFmtId="10" fontId="33" fillId="0" borderId="37" xfId="0" applyNumberFormat="1" applyFont="1" applyFill="1" applyBorder="1" applyAlignment="1">
      <alignment horizontal="center" vertical="center"/>
    </xf>
    <xf numFmtId="0" fontId="33" fillId="0" borderId="36" xfId="0" applyNumberFormat="1" applyFont="1" applyBorder="1" applyAlignment="1">
      <alignment horizontal="center" vertical="center"/>
    </xf>
    <xf numFmtId="0" fontId="33" fillId="0" borderId="37" xfId="0" applyNumberFormat="1" applyFont="1" applyBorder="1" applyAlignment="1">
      <alignment horizontal="center" vertical="center"/>
    </xf>
    <xf numFmtId="186" fontId="33" fillId="0" borderId="35" xfId="0" applyNumberFormat="1" applyFont="1" applyBorder="1" applyAlignment="1">
      <alignment horizontal="center"/>
    </xf>
    <xf numFmtId="0" fontId="33" fillId="0" borderId="36" xfId="0" applyNumberFormat="1" applyFont="1" applyFill="1" applyBorder="1" applyAlignment="1">
      <alignment horizontal="centerContinuous" vertical="center"/>
    </xf>
    <xf numFmtId="0" fontId="33" fillId="0" borderId="37" xfId="0" applyNumberFormat="1" applyFont="1" applyFill="1" applyBorder="1" applyAlignment="1">
      <alignment horizontal="centerContinuous" vertical="center"/>
    </xf>
    <xf numFmtId="10" fontId="72" fillId="0" borderId="37" xfId="0" applyNumberFormat="1" applyFont="1" applyFill="1" applyBorder="1" applyAlignment="1">
      <alignment horizontal="center"/>
    </xf>
    <xf numFmtId="0" fontId="33" fillId="0" borderId="36" xfId="0" applyNumberFormat="1" applyFont="1" applyFill="1" applyBorder="1" applyAlignment="1">
      <alignment horizontal="center"/>
    </xf>
    <xf numFmtId="0" fontId="33" fillId="0" borderId="37" xfId="0" applyNumberFormat="1" applyFont="1" applyFill="1" applyBorder="1" applyAlignment="1">
      <alignment horizontal="center"/>
    </xf>
    <xf numFmtId="186" fontId="33" fillId="0" borderId="35" xfId="0" applyNumberFormat="1" applyFont="1" applyFill="1" applyBorder="1" applyAlignment="1">
      <alignment horizontal="center"/>
    </xf>
    <xf numFmtId="0" fontId="10" fillId="0" borderId="35" xfId="0" applyNumberFormat="1" applyFont="1" applyBorder="1" applyAlignment="1"/>
    <xf numFmtId="0" fontId="33" fillId="0" borderId="36" xfId="0" applyNumberFormat="1" applyFont="1" applyBorder="1" applyAlignment="1">
      <alignment horizontal="center"/>
    </xf>
    <xf numFmtId="0" fontId="33" fillId="0" borderId="37" xfId="0" applyNumberFormat="1" applyFont="1" applyBorder="1" applyAlignment="1">
      <alignment horizontal="center"/>
    </xf>
    <xf numFmtId="9" fontId="33" fillId="0" borderId="35" xfId="0" applyNumberFormat="1" applyFont="1" applyBorder="1" applyAlignment="1">
      <alignment horizontal="center"/>
    </xf>
    <xf numFmtId="0" fontId="33" fillId="0" borderId="38" xfId="0" applyNumberFormat="1" applyFont="1" applyBorder="1" applyAlignment="1">
      <alignment horizontal="center"/>
    </xf>
    <xf numFmtId="0" fontId="33" fillId="0" borderId="39" xfId="0" applyNumberFormat="1" applyFont="1" applyBorder="1" applyAlignment="1">
      <alignment horizontal="center"/>
    </xf>
    <xf numFmtId="0" fontId="33" fillId="0" borderId="40" xfId="0" applyNumberFormat="1" applyFont="1" applyBorder="1" applyAlignment="1">
      <alignment horizontal="center"/>
    </xf>
    <xf numFmtId="0" fontId="33" fillId="0" borderId="39" xfId="0" applyNumberFormat="1" applyFont="1" applyFill="1" applyBorder="1" applyAlignment="1">
      <alignment horizontal="center"/>
    </xf>
    <xf numFmtId="0" fontId="33" fillId="0" borderId="40" xfId="0" applyNumberFormat="1" applyFont="1" applyFill="1" applyBorder="1" applyAlignment="1">
      <alignment horizontal="center"/>
    </xf>
    <xf numFmtId="186" fontId="33" fillId="0" borderId="38" xfId="0" applyNumberFormat="1" applyFont="1" applyBorder="1" applyAlignment="1">
      <alignment horizontal="center"/>
    </xf>
    <xf numFmtId="9" fontId="33" fillId="0" borderId="38" xfId="0" applyNumberFormat="1" applyFont="1" applyBorder="1" applyAlignment="1">
      <alignment horizontal="center"/>
    </xf>
    <xf numFmtId="186" fontId="33" fillId="0" borderId="38" xfId="0" quotePrefix="1" applyNumberFormat="1" applyFont="1" applyFill="1" applyBorder="1" applyAlignment="1">
      <alignment horizontal="center"/>
    </xf>
    <xf numFmtId="0" fontId="10" fillId="0" borderId="36" xfId="0" applyNumberFormat="1" applyFont="1" applyBorder="1" applyAlignment="1"/>
    <xf numFmtId="0" fontId="10" fillId="0" borderId="0" xfId="0" applyNumberFormat="1" applyFont="1" applyBorder="1" applyAlignment="1"/>
    <xf numFmtId="0" fontId="10" fillId="0" borderId="37" xfId="0" applyNumberFormat="1" applyFont="1" applyBorder="1" applyAlignment="1"/>
    <xf numFmtId="187" fontId="10" fillId="0" borderId="41" xfId="0" applyNumberFormat="1" applyFont="1" applyFill="1" applyBorder="1" applyAlignment="1">
      <alignment horizontal="right"/>
    </xf>
    <xf numFmtId="41" fontId="10" fillId="0" borderId="0" xfId="0" applyNumberFormat="1" applyFont="1" applyFill="1" applyBorder="1" applyAlignment="1"/>
    <xf numFmtId="41" fontId="10" fillId="0" borderId="29" xfId="0" applyNumberFormat="1" applyFont="1" applyFill="1" applyBorder="1" applyAlignment="1"/>
    <xf numFmtId="41" fontId="10" fillId="0" borderId="42" xfId="0" applyNumberFormat="1" applyFont="1" applyFill="1" applyBorder="1" applyAlignment="1"/>
    <xf numFmtId="41" fontId="10" fillId="0" borderId="0" xfId="0" applyNumberFormat="1" applyFont="1" applyFill="1" applyAlignment="1"/>
    <xf numFmtId="189" fontId="10" fillId="0" borderId="0" xfId="0" applyNumberFormat="1" applyFont="1" applyFill="1" applyAlignment="1"/>
    <xf numFmtId="12" fontId="10" fillId="0" borderId="0" xfId="0" applyNumberFormat="1" applyFont="1" applyFill="1" applyAlignment="1"/>
    <xf numFmtId="190" fontId="10" fillId="0" borderId="0" xfId="0" applyNumberFormat="1" applyFont="1" applyFill="1" applyAlignment="1"/>
    <xf numFmtId="188" fontId="10" fillId="0" borderId="0" xfId="0" applyNumberFormat="1" applyFont="1" applyFill="1" applyAlignment="1"/>
    <xf numFmtId="187" fontId="10" fillId="0" borderId="43" xfId="0" applyNumberFormat="1" applyFont="1" applyFill="1" applyBorder="1" applyAlignment="1">
      <alignment horizontal="right"/>
    </xf>
    <xf numFmtId="41" fontId="10" fillId="0" borderId="44" xfId="0" applyNumberFormat="1" applyFont="1" applyBorder="1" applyAlignment="1"/>
    <xf numFmtId="41" fontId="10" fillId="0" borderId="45" xfId="0" applyNumberFormat="1" applyFont="1" applyBorder="1" applyAlignment="1"/>
    <xf numFmtId="41" fontId="10" fillId="0" borderId="0" xfId="0" applyNumberFormat="1" applyFont="1" applyAlignment="1"/>
    <xf numFmtId="191" fontId="33" fillId="0" borderId="0" xfId="0" applyNumberFormat="1" applyFont="1" applyFill="1" applyBorder="1" applyAlignment="1">
      <alignment horizontal="center"/>
    </xf>
    <xf numFmtId="41" fontId="33" fillId="0" borderId="0" xfId="0" applyNumberFormat="1" applyFont="1" applyFill="1" applyBorder="1" applyAlignment="1"/>
    <xf numFmtId="41" fontId="73" fillId="0" borderId="0" xfId="0" applyNumberFormat="1" applyFont="1" applyFill="1" applyBorder="1" applyAlignment="1"/>
    <xf numFmtId="41" fontId="74" fillId="0" borderId="0" xfId="0" applyNumberFormat="1" applyFont="1" applyFill="1" applyBorder="1" applyAlignment="1"/>
    <xf numFmtId="0" fontId="75" fillId="0" borderId="0" xfId="0" applyFont="1"/>
    <xf numFmtId="186" fontId="33" fillId="0" borderId="46" xfId="0" quotePrefix="1" applyNumberFormat="1" applyFont="1" applyFill="1" applyBorder="1" applyAlignment="1">
      <alignment horizontal="center"/>
    </xf>
    <xf numFmtId="186" fontId="33" fillId="0" borderId="47" xfId="0" quotePrefix="1" applyNumberFormat="1" applyFont="1" applyFill="1" applyBorder="1" applyAlignment="1">
      <alignment horizontal="center"/>
    </xf>
    <xf numFmtId="0" fontId="10" fillId="0" borderId="25" xfId="0" applyNumberFormat="1" applyFont="1" applyBorder="1" applyAlignment="1"/>
    <xf numFmtId="0" fontId="10" fillId="0" borderId="42" xfId="0" applyNumberFormat="1" applyFont="1" applyBorder="1" applyAlignment="1"/>
    <xf numFmtId="43" fontId="10" fillId="0" borderId="29" xfId="0" applyNumberFormat="1" applyFont="1" applyFill="1" applyBorder="1" applyAlignment="1"/>
    <xf numFmtId="41" fontId="10" fillId="0" borderId="44" xfId="0" applyNumberFormat="1" applyFont="1" applyFill="1" applyBorder="1" applyAlignment="1"/>
    <xf numFmtId="41" fontId="10" fillId="0" borderId="45" xfId="0" applyNumberFormat="1" applyFont="1" applyFill="1" applyBorder="1" applyAlignment="1"/>
    <xf numFmtId="0" fontId="10" fillId="0" borderId="48" xfId="0" applyNumberFormat="1" applyFont="1" applyBorder="1" applyAlignment="1"/>
    <xf numFmtId="0" fontId="10" fillId="0" borderId="49" xfId="0" applyNumberFormat="1" applyFont="1" applyBorder="1" applyAlignment="1"/>
    <xf numFmtId="9" fontId="0" fillId="0" borderId="0" xfId="0" applyNumberFormat="1" applyFont="1"/>
    <xf numFmtId="0" fontId="76" fillId="0" borderId="0" xfId="0" applyFont="1" applyAlignment="1">
      <alignment horizontal="left"/>
    </xf>
    <xf numFmtId="0" fontId="77" fillId="0" borderId="0" xfId="0" applyFont="1"/>
    <xf numFmtId="0" fontId="77" fillId="0" borderId="0" xfId="0" applyFont="1" applyAlignment="1">
      <alignment horizontal="center"/>
    </xf>
    <xf numFmtId="0" fontId="79" fillId="0" borderId="28" xfId="0" applyFont="1" applyBorder="1" applyAlignment="1">
      <alignment horizontal="center"/>
    </xf>
    <xf numFmtId="0" fontId="79" fillId="0" borderId="0" xfId="0" applyFont="1" applyBorder="1" applyAlignment="1">
      <alignment horizontal="center"/>
    </xf>
    <xf numFmtId="0" fontId="77" fillId="0" borderId="28" xfId="0" applyFont="1" applyBorder="1"/>
    <xf numFmtId="188" fontId="77" fillId="0" borderId="0" xfId="0" applyNumberFormat="1" applyFont="1"/>
    <xf numFmtId="188" fontId="77" fillId="0" borderId="0" xfId="0" applyNumberFormat="1" applyFont="1" applyBorder="1"/>
    <xf numFmtId="188" fontId="77" fillId="0" borderId="50" xfId="0" applyNumberFormat="1" applyFont="1" applyBorder="1"/>
    <xf numFmtId="186" fontId="81" fillId="0" borderId="0" xfId="307" applyNumberFormat="1" applyFont="1" applyFill="1" applyAlignment="1">
      <alignment horizontal="right"/>
    </xf>
    <xf numFmtId="0" fontId="81" fillId="0" borderId="0" xfId="307" quotePrefix="1" applyNumberFormat="1" applyFont="1" applyFill="1" applyBorder="1" applyAlignment="1">
      <alignment horizontal="right"/>
    </xf>
    <xf numFmtId="0" fontId="80" fillId="0" borderId="0" xfId="307" applyNumberFormat="1" applyAlignment="1"/>
    <xf numFmtId="0" fontId="81" fillId="0" borderId="0" xfId="307" applyNumberFormat="1" applyFont="1" applyFill="1" applyAlignment="1"/>
    <xf numFmtId="0" fontId="80" fillId="0" borderId="0" xfId="307" applyNumberFormat="1" applyFill="1" applyAlignment="1"/>
    <xf numFmtId="0" fontId="81" fillId="0" borderId="0" xfId="307" applyNumberFormat="1" applyFont="1" applyFill="1" applyAlignment="1" applyProtection="1">
      <alignment horizontal="centerContinuous"/>
      <protection locked="0"/>
    </xf>
    <xf numFmtId="0" fontId="81" fillId="0" borderId="0" xfId="307" applyNumberFormat="1" applyFont="1" applyFill="1" applyAlignment="1">
      <alignment horizontal="centerContinuous"/>
    </xf>
    <xf numFmtId="0" fontId="80" fillId="0" borderId="0" xfId="307" applyNumberFormat="1" applyFill="1" applyAlignment="1">
      <alignment horizontal="centerContinuous"/>
    </xf>
    <xf numFmtId="18" fontId="81" fillId="0" borderId="0" xfId="307" applyNumberFormat="1" applyFont="1" applyFill="1" applyAlignment="1">
      <alignment horizontal="centerContinuous"/>
    </xf>
    <xf numFmtId="0" fontId="80" fillId="0" borderId="0" xfId="307" applyNumberFormat="1" applyFill="1" applyBorder="1" applyAlignment="1"/>
    <xf numFmtId="0" fontId="82" fillId="0" borderId="0" xfId="307" applyNumberFormat="1" applyFont="1" applyFill="1" applyAlignment="1">
      <alignment horizontal="centerContinuous"/>
    </xf>
    <xf numFmtId="0" fontId="77" fillId="0" borderId="0" xfId="307" applyNumberFormat="1" applyFont="1" applyFill="1" applyAlignment="1">
      <alignment horizontal="centerContinuous"/>
    </xf>
    <xf numFmtId="0" fontId="77" fillId="0" borderId="0" xfId="307" applyNumberFormat="1" applyFont="1" applyFill="1" applyBorder="1" applyAlignment="1">
      <alignment horizontal="centerContinuous"/>
    </xf>
    <xf numFmtId="186" fontId="80" fillId="0" borderId="0" xfId="307" applyFill="1" applyAlignment="1">
      <alignment horizontal="centerContinuous" wrapText="1"/>
    </xf>
    <xf numFmtId="0" fontId="81" fillId="0" borderId="0" xfId="307" quotePrefix="1" applyNumberFormat="1" applyFont="1" applyFill="1" applyBorder="1" applyAlignment="1">
      <alignment horizontal="centerContinuous"/>
    </xf>
    <xf numFmtId="0" fontId="81" fillId="0" borderId="0" xfId="307" applyNumberFormat="1" applyFont="1" applyFill="1" applyAlignment="1">
      <alignment horizontal="center"/>
    </xf>
    <xf numFmtId="0" fontId="81" fillId="0" borderId="28" xfId="307" applyNumberFormat="1" applyFont="1" applyFill="1" applyBorder="1" applyAlignment="1">
      <alignment horizontal="center" vertical="center"/>
    </xf>
    <xf numFmtId="0" fontId="81" fillId="0" borderId="28" xfId="307" applyNumberFormat="1" applyFont="1" applyFill="1" applyBorder="1" applyAlignment="1">
      <alignment horizontal="left" vertical="center"/>
    </xf>
    <xf numFmtId="186" fontId="80" fillId="0" borderId="0" xfId="307" applyFont="1" applyFill="1">
      <alignment horizontal="left" wrapText="1"/>
    </xf>
    <xf numFmtId="0" fontId="80" fillId="0" borderId="0" xfId="307" applyNumberFormat="1" applyFont="1" applyFill="1" applyAlignment="1"/>
    <xf numFmtId="0" fontId="77" fillId="0" borderId="0" xfId="307" applyNumberFormat="1" applyFont="1" applyFill="1" applyAlignment="1">
      <alignment horizontal="fill"/>
    </xf>
    <xf numFmtId="0" fontId="77" fillId="0" borderId="0" xfId="307" applyNumberFormat="1" applyFont="1" applyFill="1" applyAlignment="1">
      <alignment horizontal="center"/>
    </xf>
    <xf numFmtId="0" fontId="77" fillId="0" borderId="0" xfId="307" applyNumberFormat="1" applyFont="1" applyFill="1" applyAlignment="1"/>
    <xf numFmtId="10" fontId="77" fillId="0" borderId="0" xfId="307" applyNumberFormat="1" applyFont="1" applyFill="1" applyBorder="1" applyAlignment="1"/>
    <xf numFmtId="10" fontId="83" fillId="31" borderId="0" xfId="307" applyNumberFormat="1" applyFont="1" applyFill="1" applyBorder="1" applyAlignment="1">
      <alignment horizontal="right" wrapText="1"/>
    </xf>
    <xf numFmtId="10" fontId="77" fillId="0" borderId="48" xfId="307" applyNumberFormat="1" applyFont="1" applyFill="1" applyBorder="1" applyAlignment="1"/>
    <xf numFmtId="0" fontId="77" fillId="0" borderId="48" xfId="307" applyNumberFormat="1" applyFont="1" applyFill="1" applyBorder="1" applyAlignment="1"/>
    <xf numFmtId="10" fontId="83" fillId="31" borderId="48" xfId="307" applyNumberFormat="1" applyFont="1" applyFill="1" applyBorder="1" applyAlignment="1">
      <alignment horizontal="right" wrapText="1"/>
    </xf>
    <xf numFmtId="10" fontId="77" fillId="0" borderId="0" xfId="307" applyNumberFormat="1" applyFont="1" applyFill="1" applyAlignment="1" applyProtection="1">
      <alignment horizontal="left" indent="2"/>
    </xf>
    <xf numFmtId="0" fontId="77" fillId="0" borderId="0" xfId="307" applyNumberFormat="1" applyFont="1" applyFill="1" applyBorder="1" applyAlignment="1"/>
    <xf numFmtId="10" fontId="77" fillId="0" borderId="0" xfId="307" applyNumberFormat="1" applyFont="1" applyFill="1" applyAlignment="1"/>
    <xf numFmtId="192" fontId="80" fillId="0" borderId="0" xfId="307" applyNumberFormat="1" applyFont="1" applyFill="1" applyAlignment="1"/>
    <xf numFmtId="0" fontId="79" fillId="0" borderId="0" xfId="307" applyNumberFormat="1" applyFont="1" applyFill="1" applyAlignment="1"/>
    <xf numFmtId="186" fontId="80" fillId="0" borderId="0" xfId="307" applyFill="1">
      <alignment horizontal="left" wrapText="1"/>
    </xf>
    <xf numFmtId="186" fontId="80" fillId="0" borderId="0" xfId="307">
      <alignment horizontal="left" wrapText="1"/>
    </xf>
    <xf numFmtId="0" fontId="80" fillId="0" borderId="0" xfId="307" applyNumberFormat="1" applyFont="1" applyAlignment="1"/>
    <xf numFmtId="164" fontId="80" fillId="0" borderId="0" xfId="307" applyNumberFormat="1" applyFont="1" applyAlignment="1"/>
    <xf numFmtId="0" fontId="40" fillId="0" borderId="58" xfId="0" applyFont="1" applyBorder="1"/>
    <xf numFmtId="6" fontId="40" fillId="0" borderId="59" xfId="0" applyNumberFormat="1" applyFont="1" applyFill="1" applyBorder="1" applyAlignment="1"/>
    <xf numFmtId="10" fontId="40" fillId="0" borderId="30" xfId="0" applyNumberFormat="1" applyFont="1" applyBorder="1" applyAlignment="1">
      <alignment horizontal="center"/>
    </xf>
    <xf numFmtId="6" fontId="40" fillId="0" borderId="31" xfId="0" applyNumberFormat="1" applyFont="1" applyFill="1" applyBorder="1" applyAlignment="1">
      <alignment horizontal="center"/>
    </xf>
    <xf numFmtId="0" fontId="40" fillId="0" borderId="31" xfId="0" applyFont="1" applyBorder="1" applyAlignment="1">
      <alignment horizontal="center"/>
    </xf>
    <xf numFmtId="184" fontId="0" fillId="0" borderId="0" xfId="2" applyNumberFormat="1" applyFont="1" applyFill="1" applyBorder="1" applyAlignment="1">
      <alignment horizontal="center"/>
    </xf>
    <xf numFmtId="0" fontId="0" fillId="37" borderId="0" xfId="0" applyFill="1"/>
    <xf numFmtId="0" fontId="0" fillId="37" borderId="0" xfId="0" applyFill="1" applyBorder="1"/>
    <xf numFmtId="0" fontId="102" fillId="37" borderId="0" xfId="0" applyFont="1" applyFill="1" applyBorder="1"/>
    <xf numFmtId="0" fontId="0" fillId="38" borderId="0" xfId="2" applyNumberFormat="1" applyFont="1" applyFill="1" applyAlignment="1">
      <alignment horizontal="center"/>
    </xf>
    <xf numFmtId="0" fontId="78" fillId="38" borderId="0" xfId="0" applyFont="1" applyFill="1" applyAlignment="1">
      <alignment horizontal="center"/>
    </xf>
    <xf numFmtId="0" fontId="79" fillId="38" borderId="28" xfId="0" applyFont="1" applyFill="1" applyBorder="1" applyAlignment="1">
      <alignment horizontal="center"/>
    </xf>
    <xf numFmtId="0" fontId="103" fillId="0" borderId="0" xfId="0" applyFont="1" applyAlignment="1">
      <alignment horizontal="right"/>
    </xf>
    <xf numFmtId="0" fontId="103" fillId="37" borderId="0" xfId="0" applyFont="1" applyFill="1" applyBorder="1"/>
    <xf numFmtId="0" fontId="2" fillId="37" borderId="0" xfId="0" applyFont="1" applyFill="1" applyBorder="1"/>
    <xf numFmtId="6" fontId="40" fillId="39" borderId="62" xfId="0" applyNumberFormat="1" applyFont="1" applyFill="1" applyBorder="1" applyAlignment="1">
      <alignment horizontal="center"/>
    </xf>
    <xf numFmtId="6" fontId="0" fillId="39" borderId="63" xfId="0" applyNumberFormat="1" applyFont="1" applyFill="1" applyBorder="1" applyAlignment="1">
      <alignment horizontal="center"/>
    </xf>
    <xf numFmtId="6" fontId="0" fillId="39" borderId="64" xfId="0" applyNumberFormat="1" applyFont="1" applyFill="1" applyBorder="1" applyAlignment="1">
      <alignment horizontal="center"/>
    </xf>
    <xf numFmtId="6" fontId="0" fillId="39" borderId="65" xfId="0" applyNumberFormat="1" applyFont="1" applyFill="1" applyBorder="1" applyAlignment="1">
      <alignment horizontal="center"/>
    </xf>
    <xf numFmtId="184" fontId="0" fillId="39" borderId="66" xfId="2" applyNumberFormat="1" applyFont="1" applyFill="1" applyBorder="1" applyAlignment="1">
      <alignment horizontal="center"/>
    </xf>
    <xf numFmtId="184" fontId="0" fillId="39" borderId="0" xfId="2" applyNumberFormat="1" applyFont="1" applyFill="1" applyBorder="1" applyAlignment="1">
      <alignment horizontal="center"/>
    </xf>
    <xf numFmtId="184" fontId="0" fillId="39" borderId="67" xfId="2" applyNumberFormat="1" applyFont="1" applyFill="1" applyBorder="1" applyAlignment="1">
      <alignment horizontal="center"/>
    </xf>
    <xf numFmtId="184" fontId="0" fillId="39" borderId="68" xfId="2" applyNumberFormat="1" applyFont="1" applyFill="1" applyBorder="1" applyAlignment="1">
      <alignment horizontal="center"/>
    </xf>
    <xf numFmtId="184" fontId="0" fillId="39" borderId="69" xfId="2" applyNumberFormat="1" applyFont="1" applyFill="1" applyBorder="1" applyAlignment="1">
      <alignment horizontal="center"/>
    </xf>
    <xf numFmtId="184" fontId="0" fillId="39" borderId="70" xfId="2" applyNumberFormat="1" applyFont="1" applyFill="1" applyBorder="1" applyAlignment="1">
      <alignment horizontal="center"/>
    </xf>
    <xf numFmtId="184" fontId="0" fillId="39" borderId="71" xfId="2" applyNumberFormat="1" applyFont="1" applyFill="1" applyBorder="1" applyAlignment="1">
      <alignment horizontal="center"/>
    </xf>
    <xf numFmtId="184" fontId="0" fillId="39" borderId="73" xfId="2" applyNumberFormat="1" applyFont="1" applyFill="1" applyBorder="1" applyAlignment="1">
      <alignment horizontal="center"/>
    </xf>
    <xf numFmtId="184" fontId="0" fillId="39" borderId="72" xfId="2" applyNumberFormat="1" applyFont="1" applyFill="1" applyBorder="1" applyAlignment="1">
      <alignment horizontal="center"/>
    </xf>
    <xf numFmtId="6" fontId="0" fillId="39" borderId="72" xfId="0" applyNumberFormat="1" applyFont="1" applyFill="1" applyBorder="1" applyAlignment="1">
      <alignment horizontal="center"/>
    </xf>
    <xf numFmtId="184" fontId="0" fillId="39" borderId="63" xfId="2" applyNumberFormat="1" applyFont="1" applyFill="1" applyBorder="1" applyAlignment="1">
      <alignment horizontal="center"/>
    </xf>
    <xf numFmtId="184" fontId="0" fillId="39" borderId="64" xfId="2" applyNumberFormat="1" applyFont="1" applyFill="1" applyBorder="1" applyAlignment="1">
      <alignment horizontal="center"/>
    </xf>
    <xf numFmtId="184" fontId="0" fillId="39" borderId="65" xfId="2" applyNumberFormat="1" applyFont="1" applyFill="1" applyBorder="1" applyAlignment="1">
      <alignment horizontal="center"/>
    </xf>
    <xf numFmtId="184" fontId="104" fillId="39" borderId="64" xfId="2" applyNumberFormat="1" applyFont="1" applyFill="1" applyBorder="1" applyAlignment="1">
      <alignment horizontal="center"/>
    </xf>
    <xf numFmtId="184" fontId="104" fillId="39" borderId="0" xfId="2" applyNumberFormat="1" applyFont="1" applyFill="1" applyBorder="1" applyAlignment="1">
      <alignment horizontal="center"/>
    </xf>
    <xf numFmtId="184" fontId="106" fillId="39" borderId="61" xfId="2" applyNumberFormat="1" applyFont="1" applyFill="1" applyBorder="1" applyAlignment="1">
      <alignment horizontal="center"/>
    </xf>
    <xf numFmtId="184" fontId="104" fillId="39" borderId="71" xfId="2" applyNumberFormat="1" applyFont="1" applyFill="1" applyBorder="1" applyAlignment="1">
      <alignment horizontal="center"/>
    </xf>
    <xf numFmtId="184" fontId="104" fillId="39" borderId="73" xfId="2" applyNumberFormat="1" applyFont="1" applyFill="1" applyBorder="1" applyAlignment="1">
      <alignment horizontal="center"/>
    </xf>
    <xf numFmtId="0" fontId="107" fillId="0" borderId="0" xfId="0" applyFont="1" applyAlignment="1">
      <alignment horizontal="left" vertical="center" wrapText="1" indent="1"/>
    </xf>
    <xf numFmtId="0" fontId="41" fillId="0" borderId="58" xfId="0" applyFont="1" applyFill="1" applyBorder="1"/>
    <xf numFmtId="6" fontId="40" fillId="0" borderId="59" xfId="0" applyNumberFormat="1" applyFont="1" applyFill="1" applyBorder="1" applyAlignment="1">
      <alignment horizontal="center"/>
    </xf>
    <xf numFmtId="184" fontId="105" fillId="39" borderId="74" xfId="2" applyNumberFormat="1" applyFont="1" applyFill="1" applyBorder="1" applyAlignment="1">
      <alignment horizontal="center"/>
    </xf>
    <xf numFmtId="6" fontId="106" fillId="39" borderId="60" xfId="0" applyNumberFormat="1" applyFont="1" applyFill="1" applyBorder="1" applyAlignment="1">
      <alignment horizontal="center"/>
    </xf>
    <xf numFmtId="6" fontId="104" fillId="39" borderId="71" xfId="0" applyNumberFormat="1" applyFont="1" applyFill="1" applyBorder="1" applyAlignment="1">
      <alignment horizontal="center"/>
    </xf>
    <xf numFmtId="0" fontId="70" fillId="0" borderId="0" xfId="0" applyFont="1" applyAlignment="1">
      <alignment horizontal="center"/>
    </xf>
    <xf numFmtId="186" fontId="33" fillId="0" borderId="51" xfId="307" applyFont="1" applyFill="1" applyBorder="1" applyAlignment="1">
      <alignment horizontal="center" vertical="center"/>
    </xf>
    <xf numFmtId="186" fontId="33" fillId="0" borderId="52" xfId="307" applyFont="1" applyFill="1" applyBorder="1" applyAlignment="1">
      <alignment horizontal="center" vertical="center"/>
    </xf>
  </cellXfs>
  <cellStyles count="484">
    <cellStyle name="_09GRC Gas Transport For Review" xfId="308"/>
    <cellStyle name="_4.06E Pass Throughs" xfId="309"/>
    <cellStyle name="_4.06E Pass Throughs_04 07E Wild Horse Wind Expansion (C) (2)" xfId="310"/>
    <cellStyle name="_4.06E Pass Throughs_Book9" xfId="311"/>
    <cellStyle name="_4.13E Montana Energy Tax" xfId="312"/>
    <cellStyle name="_4.13E Montana Energy Tax_04 07E Wild Horse Wind Expansion (C) (2)" xfId="313"/>
    <cellStyle name="_4.13E Montana Energy Tax_Book9" xfId="314"/>
    <cellStyle name="_AURORA WIP" xfId="315"/>
    <cellStyle name="_Book1" xfId="316"/>
    <cellStyle name="_Book1 (2)" xfId="317"/>
    <cellStyle name="_Book1 (2)_04 07E Wild Horse Wind Expansion (C) (2)" xfId="318"/>
    <cellStyle name="_Book1 (2)_Book9" xfId="319"/>
    <cellStyle name="_Book1_Book9" xfId="320"/>
    <cellStyle name="_Book2" xfId="321"/>
    <cellStyle name="_Book2_04 07E Wild Horse Wind Expansion (C) (2)" xfId="322"/>
    <cellStyle name="_Book2_Book9" xfId="323"/>
    <cellStyle name="_Book3" xfId="324"/>
    <cellStyle name="_Book5" xfId="325"/>
    <cellStyle name="_Chelan Debt Forecast 12.19.05" xfId="326"/>
    <cellStyle name="_Chelan Debt Forecast 12.19.05_Book9" xfId="327"/>
    <cellStyle name="_Costs not in AURORA 06GRC" xfId="328"/>
    <cellStyle name="_Costs not in AURORA 06GRC_04 07E Wild Horse Wind Expansion (C) (2)" xfId="329"/>
    <cellStyle name="_Costs not in AURORA 06GRC_Book9" xfId="330"/>
    <cellStyle name="_Costs not in AURORA 2006GRC 6.15.06" xfId="331"/>
    <cellStyle name="_Costs not in AURORA 2006GRC 6.15.06_04 07E Wild Horse Wind Expansion (C) (2)" xfId="332"/>
    <cellStyle name="_Costs not in AURORA 2006GRC 6.15.06_Book9" xfId="333"/>
    <cellStyle name="_Costs not in AURORA 2007 Rate Case" xfId="334"/>
    <cellStyle name="_Costs not in AURORA 2007 Rate Case_Book9" xfId="335"/>
    <cellStyle name="_Costs not in KWI3000 '06Budget" xfId="336"/>
    <cellStyle name="_Costs not in KWI3000 '06Budget_Book9" xfId="337"/>
    <cellStyle name="_DEM-WP (C) Power Cost 2006GRC Order" xfId="338"/>
    <cellStyle name="_DEM-WP (C) Power Cost 2006GRC Order_04 07E Wild Horse Wind Expansion (C) (2)" xfId="339"/>
    <cellStyle name="_DEM-WP (C) Power Cost 2006GRC Order_Book9" xfId="340"/>
    <cellStyle name="_DEM-WP Revised (HC) Wild Horse 2006GRC" xfId="341"/>
    <cellStyle name="_DEM-WP(C) Costs not in AURORA 2006GRC" xfId="342"/>
    <cellStyle name="_DEM-WP(C) Costs not in AURORA 2006GRC_Book9" xfId="343"/>
    <cellStyle name="_DEM-WP(C) Costs not in AURORA 2007GRC" xfId="344"/>
    <cellStyle name="_DEM-WP(C) Costs not in AURORA 2007PCORC-5.07Update" xfId="345"/>
    <cellStyle name="_DEM-WP(C) Sumas Proforma 11.5.07" xfId="346"/>
    <cellStyle name="_DEM-WP(C) Westside Hydro Data_051007" xfId="347"/>
    <cellStyle name="_Fixed Gas Transport 1 19 09" xfId="348"/>
    <cellStyle name="_Fuel Prices 4-14" xfId="349"/>
    <cellStyle name="_Fuel Prices 4-14_04 07E Wild Horse Wind Expansion (C) (2)" xfId="350"/>
    <cellStyle name="_Fuel Prices 4-14_Book9" xfId="351"/>
    <cellStyle name="_Gas Transportation Charges_2009GRC_120308" xfId="352"/>
    <cellStyle name="_Power Cost Value Copy 11.30.05 gas 1.09.06 AURORA at 1.10.06" xfId="353"/>
    <cellStyle name="_Power Cost Value Copy 11.30.05 gas 1.09.06 AURORA at 1.10.06_04 07E Wild Horse Wind Expansion (C) (2)" xfId="354"/>
    <cellStyle name="_Power Cost Value Copy 11.30.05 gas 1.09.06 AURORA at 1.10.06_Book9" xfId="355"/>
    <cellStyle name="_Recon to Darrin's 5.11.05 proforma" xfId="356"/>
    <cellStyle name="_Recon to Darrin's 5.11.05 proforma_Book9" xfId="357"/>
    <cellStyle name="_Sumas Proforma - 11-09-07" xfId="358"/>
    <cellStyle name="_Sumas Property Taxes v1" xfId="359"/>
    <cellStyle name="_Tenaska Comparison" xfId="360"/>
    <cellStyle name="_Tenaska Comparison_Book9" xfId="361"/>
    <cellStyle name="_Value Copy 11 30 05 gas 12 09 05 AURORA at 12 14 05" xfId="362"/>
    <cellStyle name="_Value Copy 11 30 05 gas 12 09 05 AURORA at 12 14 05_04 07E Wild Horse Wind Expansion (C) (2)" xfId="363"/>
    <cellStyle name="_Value Copy 11 30 05 gas 12 09 05 AURORA at 12 14 05_Book9" xfId="364"/>
    <cellStyle name="_VC 6.15.06 update on 06GRC power costs.xls Chart 1" xfId="365"/>
    <cellStyle name="_VC 6.15.06 update on 06GRC power costs.xls Chart 1_04 07E Wild Horse Wind Expansion (C) (2)" xfId="366"/>
    <cellStyle name="_VC 6.15.06 update on 06GRC power costs.xls Chart 1_Book9" xfId="367"/>
    <cellStyle name="_VC 6.15.06 update on 06GRC power costs.xls Chart 2" xfId="368"/>
    <cellStyle name="_VC 6.15.06 update on 06GRC power costs.xls Chart 2_04 07E Wild Horse Wind Expansion (C) (2)" xfId="369"/>
    <cellStyle name="_VC 6.15.06 update on 06GRC power costs.xls Chart 2_Book9" xfId="370"/>
    <cellStyle name="_VC 6.15.06 update on 06GRC power costs.xls Chart 3" xfId="371"/>
    <cellStyle name="_VC 6.15.06 update on 06GRC power costs.xls Chart 3_04 07E Wild Horse Wind Expansion (C) (2)" xfId="372"/>
    <cellStyle name="_VC 6.15.06 update on 06GRC power costs.xls Chart 3_Book9" xfId="373"/>
    <cellStyle name="0,0_x000d__x000a_NA_x000d__x000a_" xfId="374"/>
    <cellStyle name="20% - Accent1 2" xfId="96"/>
    <cellStyle name="20% - Accent1 3" xfId="97"/>
    <cellStyle name="20% - Accent1 4" xfId="98"/>
    <cellStyle name="20% - Accent1 5" xfId="99"/>
    <cellStyle name="20% - Accent1 6" xfId="100"/>
    <cellStyle name="20% - Accent2 2" xfId="101"/>
    <cellStyle name="20% - Accent2 3" xfId="102"/>
    <cellStyle name="20% - Accent2 4" xfId="103"/>
    <cellStyle name="20% - Accent2 5" xfId="104"/>
    <cellStyle name="20% - Accent2 6" xfId="105"/>
    <cellStyle name="20% - Accent3 2" xfId="106"/>
    <cellStyle name="20% - Accent3 3" xfId="107"/>
    <cellStyle name="20% - Accent3 4" xfId="108"/>
    <cellStyle name="20% - Accent3 5" xfId="109"/>
    <cellStyle name="20% - Accent3 6" xfId="110"/>
    <cellStyle name="20% - Accent4 2" xfId="111"/>
    <cellStyle name="20% - Accent4 3" xfId="112"/>
    <cellStyle name="20% - Accent4 4" xfId="113"/>
    <cellStyle name="20% - Accent4 5" xfId="114"/>
    <cellStyle name="20% - Accent4 6" xfId="115"/>
    <cellStyle name="20% - Accent5 2" xfId="116"/>
    <cellStyle name="20% - Accent5 3" xfId="117"/>
    <cellStyle name="20% - Accent5 4" xfId="118"/>
    <cellStyle name="20% - Accent5 5" xfId="119"/>
    <cellStyle name="20% - Accent5 6" xfId="120"/>
    <cellStyle name="20% - Accent6 2" xfId="121"/>
    <cellStyle name="20% - Accent6 3" xfId="122"/>
    <cellStyle name="20% - Accent6 4" xfId="123"/>
    <cellStyle name="20% - Accent6 5" xfId="124"/>
    <cellStyle name="20% - Accent6 6" xfId="125"/>
    <cellStyle name="40% - Accent1 2" xfId="126"/>
    <cellStyle name="40% - Accent1 3" xfId="127"/>
    <cellStyle name="40% - Accent1 4" xfId="128"/>
    <cellStyle name="40% - Accent1 5" xfId="129"/>
    <cellStyle name="40% - Accent1 6" xfId="130"/>
    <cellStyle name="40% - Accent2 2" xfId="131"/>
    <cellStyle name="40% - Accent2 3" xfId="132"/>
    <cellStyle name="40% - Accent2 4" xfId="133"/>
    <cellStyle name="40% - Accent2 5" xfId="134"/>
    <cellStyle name="40% - Accent2 6" xfId="135"/>
    <cellStyle name="40% - Accent3 2" xfId="136"/>
    <cellStyle name="40% - Accent3 3" xfId="137"/>
    <cellStyle name="40% - Accent3 4" xfId="138"/>
    <cellStyle name="40% - Accent3 5" xfId="139"/>
    <cellStyle name="40% - Accent3 6" xfId="140"/>
    <cellStyle name="40% - Accent4 2" xfId="141"/>
    <cellStyle name="40% - Accent4 3" xfId="142"/>
    <cellStyle name="40% - Accent4 4" xfId="143"/>
    <cellStyle name="40% - Accent4 5" xfId="144"/>
    <cellStyle name="40% - Accent4 6" xfId="145"/>
    <cellStyle name="40% - Accent5 2" xfId="146"/>
    <cellStyle name="40% - Accent5 3" xfId="147"/>
    <cellStyle name="40% - Accent5 4" xfId="148"/>
    <cellStyle name="40% - Accent5 5" xfId="149"/>
    <cellStyle name="40% - Accent5 6" xfId="150"/>
    <cellStyle name="40% - Accent6 2" xfId="151"/>
    <cellStyle name="40% - Accent6 3" xfId="152"/>
    <cellStyle name="40% - Accent6 4" xfId="153"/>
    <cellStyle name="40% - Accent6 5" xfId="154"/>
    <cellStyle name="40% - Accent6 6" xfId="155"/>
    <cellStyle name="60% - Accent1 2" xfId="156"/>
    <cellStyle name="60% - Accent1 3" xfId="157"/>
    <cellStyle name="60% - Accent1 4" xfId="158"/>
    <cellStyle name="60% - Accent1 5" xfId="159"/>
    <cellStyle name="60% - Accent1 6" xfId="160"/>
    <cellStyle name="60% - Accent2 2" xfId="161"/>
    <cellStyle name="60% - Accent2 3" xfId="162"/>
    <cellStyle name="60% - Accent2 4" xfId="163"/>
    <cellStyle name="60% - Accent2 5" xfId="164"/>
    <cellStyle name="60% - Accent2 6" xfId="165"/>
    <cellStyle name="60% - Accent3 2" xfId="166"/>
    <cellStyle name="60% - Accent3 3" xfId="167"/>
    <cellStyle name="60% - Accent3 4" xfId="168"/>
    <cellStyle name="60% - Accent3 5" xfId="169"/>
    <cellStyle name="60% - Accent3 6" xfId="170"/>
    <cellStyle name="60% - Accent4 2" xfId="171"/>
    <cellStyle name="60% - Accent4 3" xfId="172"/>
    <cellStyle name="60% - Accent4 4" xfId="173"/>
    <cellStyle name="60% - Accent4 5" xfId="174"/>
    <cellStyle name="60% - Accent4 6" xfId="175"/>
    <cellStyle name="60% - Accent5 2" xfId="176"/>
    <cellStyle name="60% - Accent5 3" xfId="177"/>
    <cellStyle name="60% - Accent5 4" xfId="178"/>
    <cellStyle name="60% - Accent5 5" xfId="179"/>
    <cellStyle name="60% - Accent5 6" xfId="180"/>
    <cellStyle name="60% - Accent6 2" xfId="181"/>
    <cellStyle name="60% - Accent6 3" xfId="182"/>
    <cellStyle name="60% - Accent6 4" xfId="183"/>
    <cellStyle name="60% - Accent6 5" xfId="184"/>
    <cellStyle name="60% - Accent6 6" xfId="185"/>
    <cellStyle name="Accent1 2" xfId="186"/>
    <cellStyle name="Accent1 3" xfId="187"/>
    <cellStyle name="Accent1 4" xfId="188"/>
    <cellStyle name="Accent1 5" xfId="189"/>
    <cellStyle name="Accent1 6" xfId="190"/>
    <cellStyle name="Accent2 2" xfId="191"/>
    <cellStyle name="Accent2 3" xfId="192"/>
    <cellStyle name="Accent2 4" xfId="193"/>
    <cellStyle name="Accent2 5" xfId="194"/>
    <cellStyle name="Accent2 6" xfId="195"/>
    <cellStyle name="Accent3 2" xfId="196"/>
    <cellStyle name="Accent3 3" xfId="197"/>
    <cellStyle name="Accent3 4" xfId="198"/>
    <cellStyle name="Accent3 5" xfId="199"/>
    <cellStyle name="Accent3 6" xfId="200"/>
    <cellStyle name="Accent4 2" xfId="201"/>
    <cellStyle name="Accent4 3" xfId="202"/>
    <cellStyle name="Accent4 4" xfId="203"/>
    <cellStyle name="Accent4 5" xfId="204"/>
    <cellStyle name="Accent4 6" xfId="205"/>
    <cellStyle name="Accent5 2" xfId="206"/>
    <cellStyle name="Accent5 3" xfId="207"/>
    <cellStyle name="Accent5 4" xfId="208"/>
    <cellStyle name="Accent5 5" xfId="209"/>
    <cellStyle name="Accent5 6" xfId="210"/>
    <cellStyle name="Accent6 2" xfId="211"/>
    <cellStyle name="Accent6 3" xfId="212"/>
    <cellStyle name="Accent6 4" xfId="213"/>
    <cellStyle name="Accent6 5" xfId="214"/>
    <cellStyle name="Accent6 6" xfId="215"/>
    <cellStyle name="Bad 2" xfId="216"/>
    <cellStyle name="Bad 3" xfId="217"/>
    <cellStyle name="Bad 4" xfId="218"/>
    <cellStyle name="Bad 5" xfId="219"/>
    <cellStyle name="Bad 6" xfId="220"/>
    <cellStyle name="Band 2" xfId="17"/>
    <cellStyle name="C06_Main text" xfId="18"/>
    <cellStyle name="C07_Main text Bold Green" xfId="19"/>
    <cellStyle name="C08_2001 Col heads" xfId="20"/>
    <cellStyle name="C10_2001 Figs Black" xfId="21"/>
    <cellStyle name="C11_2002 Figs Bold Green" xfId="22"/>
    <cellStyle name="C13_2001 Figs 1 decimals" xfId="23"/>
    <cellStyle name="C15_Main text Bold Black" xfId="24"/>
    <cellStyle name="Calc Currency (0)" xfId="375"/>
    <cellStyle name="Calculation 2" xfId="221"/>
    <cellStyle name="Calculation 3" xfId="222"/>
    <cellStyle name="Calculation 4" xfId="223"/>
    <cellStyle name="Calculation 5" xfId="224"/>
    <cellStyle name="Calculation 6" xfId="225"/>
    <cellStyle name="Check Cell 2" xfId="226"/>
    <cellStyle name="Check Cell 3" xfId="227"/>
    <cellStyle name="Check Cell 4" xfId="228"/>
    <cellStyle name="Check Cell 5" xfId="229"/>
    <cellStyle name="Check Cell 6" xfId="230"/>
    <cellStyle name="CheckCell" xfId="376"/>
    <cellStyle name="ColumnHeading" xfId="25"/>
    <cellStyle name="ColumnHeadings" xfId="26"/>
    <cellStyle name="ColumnHeadings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10" xfId="377"/>
    <cellStyle name="Comma 11" xfId="378"/>
    <cellStyle name="Comma 12" xfId="379"/>
    <cellStyle name="Comma 2" xfId="7"/>
    <cellStyle name="Comma 3" xfId="36"/>
    <cellStyle name="Comma 4" xfId="37"/>
    <cellStyle name="Comma 4 2" xfId="380"/>
    <cellStyle name="Comma 5" xfId="38"/>
    <cellStyle name="Comma 6" xfId="4"/>
    <cellStyle name="Comma 7" xfId="91"/>
    <cellStyle name="Comma 8" xfId="94"/>
    <cellStyle name="Comma 9" xfId="381"/>
    <cellStyle name="Comma0" xfId="382"/>
    <cellStyle name="Comma0 - Style2" xfId="383"/>
    <cellStyle name="Comma0 - Style4" xfId="384"/>
    <cellStyle name="Comma0 - Style5" xfId="385"/>
    <cellStyle name="Comma0_00COS Ind Allocators" xfId="386"/>
    <cellStyle name="Comma1 - Style1" xfId="387"/>
    <cellStyle name="Comment" xfId="39"/>
    <cellStyle name="Copied" xfId="388"/>
    <cellStyle name="COST1" xfId="389"/>
    <cellStyle name="CountryTitle" xfId="40"/>
    <cellStyle name="Curren - Style1" xfId="390"/>
    <cellStyle name="Curren - Style2" xfId="391"/>
    <cellStyle name="Curren - Style5" xfId="392"/>
    <cellStyle name="Curren - Style6" xfId="393"/>
    <cellStyle name="Currency" xfId="2" builtinId="4"/>
    <cellStyle name="Currency 10" xfId="394"/>
    <cellStyle name="Currency 11" xfId="395"/>
    <cellStyle name="Currency 2" xfId="5"/>
    <cellStyle name="Currency 3" xfId="396"/>
    <cellStyle name="Currency 4" xfId="397"/>
    <cellStyle name="Currency 5" xfId="398"/>
    <cellStyle name="Currency 6" xfId="399"/>
    <cellStyle name="Currency 7" xfId="400"/>
    <cellStyle name="Currency 8" xfId="401"/>
    <cellStyle name="Currency 9" xfId="402"/>
    <cellStyle name="Currency0" xfId="403"/>
    <cellStyle name="Date" xfId="404"/>
    <cellStyle name="DateTime" xfId="41"/>
    <cellStyle name="Entered" xfId="405"/>
    <cellStyle name="Euro" xfId="406"/>
    <cellStyle name="Explanatory Text 2" xfId="231"/>
    <cellStyle name="Explanatory Text 3" xfId="232"/>
    <cellStyle name="Explanatory Text 4" xfId="233"/>
    <cellStyle name="Explanatory Text 5" xfId="234"/>
    <cellStyle name="Explanatory Text 6" xfId="235"/>
    <cellStyle name="FieldName" xfId="42"/>
    <cellStyle name="Fixed" xfId="407"/>
    <cellStyle name="Fixed3 - Style3" xfId="408"/>
    <cellStyle name="Footnote" xfId="43"/>
    <cellStyle name="G01_2001 figures 1 decimal a" xfId="44"/>
    <cellStyle name="G03_Text" xfId="45"/>
    <cellStyle name="G05_Superiors" xfId="46"/>
    <cellStyle name="G07_Bold_2002_figs_Green" xfId="47"/>
    <cellStyle name="G08_2001_figs" xfId="48"/>
    <cellStyle name="Good 2" xfId="236"/>
    <cellStyle name="Good 3" xfId="237"/>
    <cellStyle name="Good 4" xfId="238"/>
    <cellStyle name="Good 5" xfId="239"/>
    <cellStyle name="Good 6" xfId="240"/>
    <cellStyle name="Grey" xfId="8"/>
    <cellStyle name="Header1" xfId="409"/>
    <cellStyle name="Header2" xfId="410"/>
    <cellStyle name="Heading" xfId="49"/>
    <cellStyle name="Heading 1 2" xfId="241"/>
    <cellStyle name="Heading 1 3" xfId="242"/>
    <cellStyle name="Heading 1 4" xfId="243"/>
    <cellStyle name="Heading 1 5" xfId="244"/>
    <cellStyle name="Heading 1 6" xfId="245"/>
    <cellStyle name="Heading 2 2" xfId="246"/>
    <cellStyle name="Heading 2 3" xfId="247"/>
    <cellStyle name="Heading 2 4" xfId="248"/>
    <cellStyle name="Heading 2 5" xfId="249"/>
    <cellStyle name="Heading 2 6" xfId="250"/>
    <cellStyle name="Heading 3 2" xfId="251"/>
    <cellStyle name="Heading 3 3" xfId="252"/>
    <cellStyle name="Heading 3 4" xfId="253"/>
    <cellStyle name="Heading 3 5" xfId="254"/>
    <cellStyle name="Heading 3 6" xfId="255"/>
    <cellStyle name="Heading 4 2" xfId="256"/>
    <cellStyle name="Heading 4 3" xfId="257"/>
    <cellStyle name="Heading 4 4" xfId="258"/>
    <cellStyle name="Heading 4 5" xfId="259"/>
    <cellStyle name="Heading 4 6" xfId="260"/>
    <cellStyle name="Heading1" xfId="411"/>
    <cellStyle name="Heading2" xfId="412"/>
    <cellStyle name="Hyperlink 2" xfId="50"/>
    <cellStyle name="Input [yellow]" xfId="9"/>
    <cellStyle name="Input 2" xfId="261"/>
    <cellStyle name="Input 3" xfId="262"/>
    <cellStyle name="Input 4" xfId="263"/>
    <cellStyle name="Input 5" xfId="264"/>
    <cellStyle name="Input 6" xfId="265"/>
    <cellStyle name="Input Cells" xfId="413"/>
    <cellStyle name="Input Cells Percent" xfId="414"/>
    <cellStyle name="Input Cells_Book9" xfId="415"/>
    <cellStyle name="Lines" xfId="416"/>
    <cellStyle name="LINKED" xfId="417"/>
    <cellStyle name="Linked Cell 2" xfId="266"/>
    <cellStyle name="Linked Cell 3" xfId="267"/>
    <cellStyle name="Linked Cell 4" xfId="268"/>
    <cellStyle name="Linked Cell 5" xfId="269"/>
    <cellStyle name="Linked Cell 6" xfId="270"/>
    <cellStyle name="modified border" xfId="418"/>
    <cellStyle name="modified border1" xfId="419"/>
    <cellStyle name="MonthYears" xfId="51"/>
    <cellStyle name="Neutral 2" xfId="271"/>
    <cellStyle name="Neutral 3" xfId="272"/>
    <cellStyle name="Neutral 4" xfId="273"/>
    <cellStyle name="Neutral 5" xfId="274"/>
    <cellStyle name="Neutral 6" xfId="275"/>
    <cellStyle name="no dec" xfId="420"/>
    <cellStyle name="Normal" xfId="0" builtinId="0"/>
    <cellStyle name="Normal - Style1" xfId="10"/>
    <cellStyle name="Normal [0]" xfId="52"/>
    <cellStyle name="Normal [2]" xfId="53"/>
    <cellStyle name="Normal 10" xfId="95"/>
    <cellStyle name="Normal 11" xfId="421"/>
    <cellStyle name="Normal 12" xfId="422"/>
    <cellStyle name="Normal 13" xfId="423"/>
    <cellStyle name="Normal 14" xfId="424"/>
    <cellStyle name="Normal 15" xfId="425"/>
    <cellStyle name="Normal 16" xfId="426"/>
    <cellStyle name="Normal 17" xfId="427"/>
    <cellStyle name="Normal 18" xfId="428"/>
    <cellStyle name="Normal 19" xfId="429"/>
    <cellStyle name="Normal 2" xfId="11"/>
    <cellStyle name="Normal 2 2" xfId="54"/>
    <cellStyle name="Normal 2 2 2" xfId="89"/>
    <cellStyle name="Normal 2 3" xfId="430"/>
    <cellStyle name="Normal 2 4" xfId="431"/>
    <cellStyle name="Normal 2 5" xfId="432"/>
    <cellStyle name="Normal 2 6" xfId="433"/>
    <cellStyle name="Normal 2 7" xfId="434"/>
    <cellStyle name="Normal 2_Lehman_Sempra_TradeDetail" xfId="435"/>
    <cellStyle name="Normal 20" xfId="307"/>
    <cellStyle name="Normal 21" xfId="436"/>
    <cellStyle name="Normal 3" xfId="12"/>
    <cellStyle name="Normal 3 2" xfId="437"/>
    <cellStyle name="Normal 3 3" xfId="438"/>
    <cellStyle name="Normal 3 4" xfId="439"/>
    <cellStyle name="Normal 3 5" xfId="440"/>
    <cellStyle name="Normal 3_SFAS 157 Disclosures_ Q2 2008" xfId="441"/>
    <cellStyle name="Normal 4" xfId="13"/>
    <cellStyle name="Normal 4 2" xfId="442"/>
    <cellStyle name="Normal 4_SFAS 157 Disclosures_ Q2 2008" xfId="443"/>
    <cellStyle name="Normal 5" xfId="16"/>
    <cellStyle name="Normal 5 2" xfId="88"/>
    <cellStyle name="Normal 5 3" xfId="304"/>
    <cellStyle name="Normal 5 4" xfId="276"/>
    <cellStyle name="Normal 6" xfId="55"/>
    <cellStyle name="Normal 6 2" xfId="278"/>
    <cellStyle name="Normal 6 3" xfId="305"/>
    <cellStyle name="Normal 6 4" xfId="277"/>
    <cellStyle name="Normal 7" xfId="56"/>
    <cellStyle name="Normal 7 2" xfId="444"/>
    <cellStyle name="Normal 8" xfId="3"/>
    <cellStyle name="Normal 9" xfId="90"/>
    <cellStyle name="Note 2" xfId="279"/>
    <cellStyle name="Note 3" xfId="280"/>
    <cellStyle name="Note 4" xfId="281"/>
    <cellStyle name="Note 5" xfId="282"/>
    <cellStyle name="Note 6" xfId="283"/>
    <cellStyle name="Output 2" xfId="284"/>
    <cellStyle name="Output 3" xfId="285"/>
    <cellStyle name="Output 4" xfId="286"/>
    <cellStyle name="Output 5" xfId="287"/>
    <cellStyle name="Output 6" xfId="288"/>
    <cellStyle name="Percen - Style1" xfId="445"/>
    <cellStyle name="Percen - Style2" xfId="446"/>
    <cellStyle name="Percen - Style3" xfId="447"/>
    <cellStyle name="Percent" xfId="306" builtinId="5"/>
    <cellStyle name="Percent [2]" xfId="14"/>
    <cellStyle name="Percent 2" xfId="15"/>
    <cellStyle name="Percent 3" xfId="57"/>
    <cellStyle name="Percent 4" xfId="6"/>
    <cellStyle name="Percent 4 2" xfId="448"/>
    <cellStyle name="Percent 5" xfId="92"/>
    <cellStyle name="Percent 6" xfId="93"/>
    <cellStyle name="Processing" xfId="449"/>
    <cellStyle name="Protected" xfId="58"/>
    <cellStyle name="ProtectedDates" xfId="59"/>
    <cellStyle name="PSChar" xfId="450"/>
    <cellStyle name="PSDate" xfId="451"/>
    <cellStyle name="PSDec" xfId="452"/>
    <cellStyle name="PSHeading" xfId="453"/>
    <cellStyle name="PSInt" xfId="454"/>
    <cellStyle name="PSSpacer" xfId="455"/>
    <cellStyle name="purple - Style8" xfId="456"/>
    <cellStyle name="RED" xfId="457"/>
    <cellStyle name="Red - Style7" xfId="458"/>
    <cellStyle name="RED_04 07E Wild Horse Wind Expansion (C) (2)" xfId="459"/>
    <cellStyle name="Report" xfId="460"/>
    <cellStyle name="Report Bar" xfId="461"/>
    <cellStyle name="Report Heading" xfId="462"/>
    <cellStyle name="Report Percent" xfId="463"/>
    <cellStyle name="Report Unit Cost" xfId="464"/>
    <cellStyle name="Reports" xfId="465"/>
    <cellStyle name="Reports Total" xfId="466"/>
    <cellStyle name="Reports Unit Cost Total" xfId="467"/>
    <cellStyle name="Reports_Book9" xfId="468"/>
    <cellStyle name="RevList" xfId="469"/>
    <cellStyle name="round100" xfId="470"/>
    <cellStyle name="RowHeading" xfId="60"/>
    <cellStyle name="shade" xfId="471"/>
    <cellStyle name="StmtTtl1" xfId="472"/>
    <cellStyle name="StmtTtl2" xfId="473"/>
    <cellStyle name="STYL1 - Style1" xfId="474"/>
    <cellStyle name="Style 1" xfId="475"/>
    <cellStyle name="Style 1 2" xfId="476"/>
    <cellStyle name="Style 1_Book9" xfId="477"/>
    <cellStyle name="Style 21" xfId="61"/>
    <cellStyle name="Style 22" xfId="62"/>
    <cellStyle name="Style 23" xfId="63"/>
    <cellStyle name="Style 24" xfId="64"/>
    <cellStyle name="Style 25" xfId="65"/>
    <cellStyle name="Style 26" xfId="66"/>
    <cellStyle name="Style 27" xfId="67"/>
    <cellStyle name="Style 28" xfId="68"/>
    <cellStyle name="Style 29" xfId="69"/>
    <cellStyle name="Style 30" xfId="70"/>
    <cellStyle name="Style 31" xfId="71"/>
    <cellStyle name="Style 32" xfId="72"/>
    <cellStyle name="Style 33" xfId="73"/>
    <cellStyle name="Style 34" xfId="74"/>
    <cellStyle name="Style 35" xfId="75"/>
    <cellStyle name="Style 36" xfId="76"/>
    <cellStyle name="SubHeading" xfId="77"/>
    <cellStyle name="SubsidTitle" xfId="78"/>
    <cellStyle name="Subtotal" xfId="478"/>
    <cellStyle name="Sub-total" xfId="479"/>
    <cellStyle name="Table Data" xfId="79"/>
    <cellStyle name="Table Headings Bold" xfId="80"/>
    <cellStyle name="Title 2" xfId="289"/>
    <cellStyle name="Title 3" xfId="290"/>
    <cellStyle name="Title 4" xfId="291"/>
    <cellStyle name="Title 5" xfId="292"/>
    <cellStyle name="Title 6" xfId="293"/>
    <cellStyle name="Title: Major" xfId="480"/>
    <cellStyle name="Title: Minor" xfId="481"/>
    <cellStyle name="Title: Worksheet" xfId="482"/>
    <cellStyle name="Titles" xfId="81"/>
    <cellStyle name="Total 2" xfId="294"/>
    <cellStyle name="Total 3" xfId="295"/>
    <cellStyle name="Total 4" xfId="296"/>
    <cellStyle name="Total 5" xfId="297"/>
    <cellStyle name="Total 6" xfId="298"/>
    <cellStyle name="Total4 - Style4" xfId="483"/>
    <cellStyle name="Totals" xfId="82"/>
    <cellStyle name="Totals [0]" xfId="83"/>
    <cellStyle name="Totals [2]" xfId="84"/>
    <cellStyle name="Totals_FWB Summary" xfId="85"/>
    <cellStyle name="UnProtectedCalc" xfId="86"/>
    <cellStyle name="Warning Text 2" xfId="299"/>
    <cellStyle name="Warning Text 3" xfId="300"/>
    <cellStyle name="Warning Text 4" xfId="301"/>
    <cellStyle name="Warning Text 5" xfId="302"/>
    <cellStyle name="Warning Text 6" xfId="303"/>
    <cellStyle name="Year" xfId="87"/>
  </cellStyles>
  <dxfs count="1">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CapEx</c:v>
          </c:tx>
          <c:cat>
            <c:multiLvlStrRef>
              <c:f>#REF!</c:f>
            </c:multiLvlStrRef>
          </c:cat>
          <c:val>
            <c:numRef>
              <c:f>#REF!</c:f>
              <c:numCache>
                <c:formatCode>General</c:formatCode>
                <c:ptCount val="1"/>
                <c:pt idx="0">
                  <c:v>1</c:v>
                </c:pt>
              </c:numCache>
            </c:numRef>
          </c:val>
          <c:smooth val="0"/>
        </c:ser>
        <c:ser>
          <c:idx val="1"/>
          <c:order val="1"/>
          <c:tx>
            <c:v>OpEx</c:v>
          </c:tx>
          <c:cat>
            <c:multiLvlStrRef>
              <c:f>#REF!</c:f>
            </c:multiLvlStr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60986112"/>
        <c:axId val="60987648"/>
      </c:lineChart>
      <c:catAx>
        <c:axId val="60986112"/>
        <c:scaling>
          <c:orientation val="minMax"/>
        </c:scaling>
        <c:delete val="0"/>
        <c:axPos val="b"/>
        <c:numFmt formatCode="[$-409]mmm\-yy;@" sourceLinked="1"/>
        <c:majorTickMark val="out"/>
        <c:minorTickMark val="none"/>
        <c:tickLblPos val="nextTo"/>
        <c:crossAx val="60987648"/>
        <c:crosses val="autoZero"/>
        <c:auto val="1"/>
        <c:lblAlgn val="ctr"/>
        <c:lblOffset val="100"/>
        <c:noMultiLvlLbl val="1"/>
      </c:catAx>
      <c:valAx>
        <c:axId val="60987648"/>
        <c:scaling>
          <c:orientation val="minMax"/>
        </c:scaling>
        <c:delete val="0"/>
        <c:axPos val="l"/>
        <c:majorGridlines/>
        <c:numFmt formatCode="General" sourceLinked="1"/>
        <c:majorTickMark val="out"/>
        <c:minorTickMark val="none"/>
        <c:tickLblPos val="nextTo"/>
        <c:crossAx val="60986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62</xdr:row>
      <xdr:rowOff>103094</xdr:rowOff>
    </xdr:from>
    <xdr:to>
      <xdr:col>3</xdr:col>
      <xdr:colOff>0</xdr:colOff>
      <xdr:row>77</xdr:row>
      <xdr:rowOff>156882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tabSelected="1" workbookViewId="0"/>
  </sheetViews>
  <sheetFormatPr defaultRowHeight="15"/>
  <cols>
    <col min="1" max="16384" width="9.140625" style="97"/>
  </cols>
  <sheetData>
    <row r="1" spans="1:14">
      <c r="A1" s="348"/>
      <c r="B1" s="348"/>
      <c r="C1" s="348"/>
      <c r="D1" s="348"/>
      <c r="E1" s="348"/>
      <c r="F1" s="348"/>
      <c r="G1" s="347"/>
      <c r="H1" s="347"/>
      <c r="I1" s="347"/>
      <c r="J1" s="347"/>
      <c r="K1" s="347"/>
      <c r="L1" s="347"/>
      <c r="M1" s="347"/>
      <c r="N1" s="347"/>
    </row>
    <row r="2" spans="1:14">
      <c r="A2" s="348"/>
      <c r="B2" s="348"/>
      <c r="C2" s="348"/>
      <c r="D2" s="348"/>
      <c r="E2" s="348"/>
      <c r="F2" s="348"/>
      <c r="G2" s="347"/>
      <c r="H2" s="347"/>
      <c r="I2" s="347"/>
      <c r="J2" s="347"/>
      <c r="K2" s="347"/>
      <c r="L2" s="347"/>
      <c r="M2" s="347"/>
      <c r="N2" s="347"/>
    </row>
    <row r="3" spans="1:14" ht="15.75">
      <c r="A3" s="354" t="s">
        <v>396</v>
      </c>
      <c r="B3" s="348"/>
      <c r="C3" s="348"/>
      <c r="D3" s="348"/>
      <c r="E3" s="348"/>
      <c r="F3" s="348"/>
      <c r="G3" s="347"/>
      <c r="H3" s="347"/>
      <c r="I3" s="347"/>
      <c r="J3" s="347"/>
      <c r="K3" s="347"/>
      <c r="L3" s="347"/>
      <c r="M3" s="347"/>
      <c r="N3" s="347"/>
    </row>
    <row r="4" spans="1:14">
      <c r="A4" s="348"/>
      <c r="B4" s="348"/>
      <c r="C4" s="348"/>
      <c r="D4" s="348"/>
      <c r="E4" s="348"/>
      <c r="F4" s="348"/>
      <c r="G4" s="347"/>
      <c r="H4" s="347"/>
      <c r="I4" s="347"/>
      <c r="J4" s="347"/>
      <c r="K4" s="347"/>
      <c r="L4" s="347"/>
      <c r="M4" s="347"/>
      <c r="N4" s="347"/>
    </row>
    <row r="5" spans="1:14" ht="15.75">
      <c r="A5" s="348"/>
      <c r="B5" s="348"/>
      <c r="C5" s="348"/>
      <c r="D5" s="354" t="s">
        <v>393</v>
      </c>
      <c r="E5" s="355"/>
      <c r="F5" s="348"/>
      <c r="G5" s="347"/>
      <c r="H5" s="347"/>
      <c r="I5" s="347"/>
      <c r="J5" s="347"/>
      <c r="K5" s="347"/>
      <c r="L5" s="347"/>
      <c r="M5" s="347"/>
      <c r="N5" s="347"/>
    </row>
    <row r="6" spans="1:14">
      <c r="A6" s="348"/>
      <c r="B6" s="348"/>
      <c r="C6" s="348"/>
      <c r="D6" s="348"/>
      <c r="E6" s="348"/>
      <c r="F6" s="348"/>
      <c r="G6" s="347"/>
      <c r="H6" s="347"/>
      <c r="I6" s="347"/>
      <c r="J6" s="347"/>
      <c r="K6" s="347"/>
      <c r="L6" s="347"/>
      <c r="M6" s="347"/>
      <c r="N6" s="347"/>
    </row>
    <row r="7" spans="1:14">
      <c r="A7" s="348"/>
      <c r="B7" s="348"/>
      <c r="C7" s="348"/>
      <c r="D7" s="348"/>
      <c r="E7" s="348"/>
      <c r="F7" s="348"/>
      <c r="G7" s="347"/>
      <c r="H7" s="347"/>
      <c r="I7" s="347"/>
      <c r="J7" s="347"/>
      <c r="K7" s="347"/>
      <c r="L7" s="347"/>
      <c r="M7" s="347"/>
      <c r="N7" s="347"/>
    </row>
    <row r="8" spans="1:14">
      <c r="A8" s="348"/>
      <c r="B8" s="348"/>
      <c r="C8" s="348"/>
      <c r="D8" s="348"/>
      <c r="E8" s="348"/>
      <c r="F8" s="348"/>
      <c r="G8" s="347"/>
      <c r="H8" s="347"/>
      <c r="I8" s="347"/>
      <c r="J8" s="347"/>
      <c r="K8" s="347"/>
      <c r="L8" s="347"/>
      <c r="M8" s="347"/>
      <c r="N8" s="347"/>
    </row>
    <row r="9" spans="1:14" ht="15.75">
      <c r="A9" s="349"/>
      <c r="B9" s="348"/>
      <c r="C9" s="348"/>
      <c r="D9" s="348"/>
      <c r="E9" s="348"/>
      <c r="F9" s="348"/>
      <c r="G9" s="347"/>
      <c r="H9" s="347"/>
      <c r="I9" s="347"/>
      <c r="J9" s="347"/>
      <c r="K9" s="347"/>
      <c r="L9" s="347"/>
      <c r="M9" s="347"/>
      <c r="N9" s="347"/>
    </row>
    <row r="10" spans="1:14">
      <c r="A10" s="348"/>
      <c r="B10" s="348"/>
      <c r="C10" s="348"/>
      <c r="D10" s="348"/>
      <c r="E10" s="348"/>
      <c r="F10" s="348"/>
      <c r="G10" s="347"/>
      <c r="H10" s="347"/>
      <c r="I10" s="347"/>
      <c r="J10" s="347"/>
      <c r="K10" s="347"/>
      <c r="L10" s="347"/>
      <c r="M10" s="347"/>
      <c r="N10" s="347"/>
    </row>
    <row r="11" spans="1:14">
      <c r="A11" s="348"/>
      <c r="B11" s="348"/>
      <c r="C11" s="348"/>
      <c r="D11" s="348"/>
      <c r="E11" s="348"/>
      <c r="F11" s="348"/>
      <c r="G11" s="347"/>
      <c r="H11" s="347"/>
      <c r="I11" s="347"/>
      <c r="J11" s="347"/>
      <c r="K11" s="347"/>
      <c r="L11" s="347"/>
      <c r="M11" s="347"/>
      <c r="N11" s="347"/>
    </row>
    <row r="12" spans="1:14">
      <c r="A12" s="348"/>
      <c r="B12" s="348"/>
      <c r="C12" s="348"/>
      <c r="D12" s="348"/>
      <c r="E12" s="348"/>
      <c r="F12" s="348"/>
      <c r="G12" s="347"/>
      <c r="H12" s="347"/>
      <c r="I12" s="347"/>
      <c r="J12" s="347"/>
      <c r="K12" s="347"/>
      <c r="L12" s="347"/>
      <c r="M12" s="347"/>
      <c r="N12" s="347"/>
    </row>
    <row r="13" spans="1:14">
      <c r="A13" s="348"/>
      <c r="B13" s="348"/>
      <c r="C13" s="348"/>
      <c r="D13" s="348"/>
      <c r="E13" s="348"/>
      <c r="F13" s="348"/>
      <c r="G13" s="347"/>
      <c r="H13" s="347"/>
      <c r="I13" s="347"/>
      <c r="J13" s="347"/>
      <c r="K13" s="347"/>
      <c r="L13" s="347"/>
      <c r="M13" s="347"/>
      <c r="N13" s="347"/>
    </row>
    <row r="14" spans="1:14">
      <c r="A14" s="348"/>
      <c r="B14" s="348"/>
      <c r="C14" s="348"/>
      <c r="D14" s="348"/>
      <c r="E14" s="348"/>
      <c r="F14" s="348"/>
      <c r="G14" s="347"/>
      <c r="H14" s="347"/>
      <c r="I14" s="347"/>
      <c r="J14" s="347"/>
      <c r="K14" s="347"/>
      <c r="L14" s="347"/>
      <c r="M14" s="347"/>
      <c r="N14" s="347"/>
    </row>
    <row r="15" spans="1:14">
      <c r="A15" s="348"/>
      <c r="B15" s="348"/>
      <c r="C15" s="348"/>
      <c r="D15" s="348"/>
      <c r="E15" s="348"/>
      <c r="F15" s="348"/>
      <c r="G15" s="347"/>
      <c r="H15" s="347"/>
      <c r="I15" s="347"/>
      <c r="J15" s="347"/>
      <c r="K15" s="347"/>
      <c r="L15" s="347"/>
      <c r="M15" s="347"/>
      <c r="N15" s="347"/>
    </row>
    <row r="16" spans="1:14">
      <c r="A16" s="348"/>
      <c r="B16" s="348"/>
      <c r="C16" s="348"/>
      <c r="D16" s="348"/>
      <c r="E16" s="348"/>
      <c r="F16" s="348"/>
      <c r="G16" s="347"/>
      <c r="H16" s="347"/>
      <c r="I16" s="347"/>
      <c r="J16" s="347"/>
      <c r="K16" s="347"/>
      <c r="L16" s="347"/>
      <c r="M16" s="347"/>
      <c r="N16" s="347"/>
    </row>
    <row r="17" spans="1:14">
      <c r="A17" s="348"/>
      <c r="B17" s="348"/>
      <c r="C17" s="348"/>
      <c r="D17" s="348"/>
      <c r="E17" s="348"/>
      <c r="F17" s="348"/>
      <c r="G17" s="347"/>
      <c r="H17" s="347"/>
      <c r="I17" s="347"/>
      <c r="J17" s="347"/>
      <c r="K17" s="347"/>
      <c r="L17" s="347"/>
      <c r="M17" s="347"/>
      <c r="N17" s="347"/>
    </row>
    <row r="18" spans="1:14">
      <c r="A18" s="348"/>
      <c r="B18" s="348"/>
      <c r="C18" s="348"/>
      <c r="D18" s="348"/>
      <c r="E18" s="348"/>
      <c r="F18" s="348"/>
      <c r="G18" s="347"/>
      <c r="H18" s="347"/>
      <c r="I18" s="347"/>
      <c r="J18" s="347"/>
      <c r="K18" s="347"/>
      <c r="L18" s="347"/>
      <c r="M18" s="347"/>
      <c r="N18" s="347"/>
    </row>
    <row r="19" spans="1:14">
      <c r="A19" s="348"/>
      <c r="B19" s="348"/>
      <c r="C19" s="348"/>
      <c r="D19" s="348"/>
      <c r="E19" s="348"/>
      <c r="F19" s="348"/>
      <c r="G19" s="347"/>
      <c r="H19" s="347"/>
      <c r="I19" s="347"/>
      <c r="J19" s="347"/>
      <c r="K19" s="347"/>
      <c r="L19" s="347"/>
      <c r="M19" s="347"/>
      <c r="N19" s="347"/>
    </row>
    <row r="20" spans="1:14">
      <c r="A20" s="348"/>
      <c r="B20" s="348"/>
      <c r="C20" s="348"/>
      <c r="D20" s="348"/>
      <c r="E20" s="348"/>
      <c r="F20" s="348"/>
      <c r="G20" s="347"/>
      <c r="H20" s="347"/>
      <c r="I20" s="347"/>
      <c r="J20" s="347"/>
      <c r="K20" s="347"/>
      <c r="L20" s="347"/>
      <c r="M20" s="347"/>
      <c r="N20" s="347"/>
    </row>
    <row r="21" spans="1:14">
      <c r="A21" s="347"/>
      <c r="B21" s="347"/>
      <c r="C21" s="347"/>
      <c r="D21" s="347"/>
      <c r="E21" s="347"/>
      <c r="F21" s="347"/>
      <c r="G21" s="347"/>
      <c r="H21" s="347"/>
      <c r="I21" s="347"/>
      <c r="J21" s="347"/>
      <c r="K21" s="347"/>
      <c r="L21" s="347"/>
      <c r="M21" s="347"/>
      <c r="N21" s="347"/>
    </row>
    <row r="22" spans="1:14">
      <c r="A22" s="347"/>
      <c r="B22" s="347"/>
      <c r="C22" s="347"/>
      <c r="D22" s="347"/>
      <c r="E22" s="347"/>
      <c r="F22" s="347"/>
      <c r="G22" s="347"/>
      <c r="H22" s="347"/>
      <c r="I22" s="347"/>
      <c r="J22" s="347"/>
      <c r="K22" s="347"/>
      <c r="L22" s="347"/>
      <c r="M22" s="347"/>
      <c r="N22" s="347"/>
    </row>
    <row r="23" spans="1:14">
      <c r="A23" s="347"/>
      <c r="B23" s="347"/>
      <c r="C23" s="347"/>
      <c r="D23" s="347"/>
      <c r="E23" s="347"/>
      <c r="F23" s="347"/>
      <c r="G23" s="347"/>
      <c r="H23" s="347"/>
      <c r="I23" s="347"/>
      <c r="J23" s="347"/>
      <c r="K23" s="347"/>
      <c r="L23" s="347"/>
      <c r="M23" s="347"/>
      <c r="N23" s="347"/>
    </row>
    <row r="24" spans="1:14">
      <c r="A24" s="347"/>
      <c r="B24" s="347"/>
      <c r="C24" s="347"/>
      <c r="D24" s="347"/>
      <c r="E24" s="347"/>
      <c r="F24" s="347"/>
      <c r="G24" s="347"/>
      <c r="H24" s="347"/>
      <c r="I24" s="347"/>
      <c r="J24" s="347"/>
      <c r="K24" s="347"/>
      <c r="L24" s="347"/>
      <c r="M24" s="347"/>
      <c r="N24" s="347"/>
    </row>
    <row r="25" spans="1:14">
      <c r="A25" s="347"/>
      <c r="B25" s="347"/>
      <c r="C25" s="347"/>
      <c r="D25" s="347"/>
      <c r="E25" s="347"/>
      <c r="F25" s="347"/>
      <c r="G25" s="347"/>
      <c r="H25" s="347"/>
      <c r="I25" s="347"/>
      <c r="J25" s="347"/>
      <c r="K25" s="347"/>
      <c r="L25" s="347"/>
      <c r="M25" s="347"/>
      <c r="N25" s="347"/>
    </row>
    <row r="26" spans="1:14">
      <c r="A26" s="347"/>
      <c r="B26" s="347"/>
      <c r="C26" s="347"/>
      <c r="D26" s="347"/>
      <c r="E26" s="347"/>
      <c r="F26" s="347"/>
      <c r="G26" s="347"/>
      <c r="H26" s="347"/>
      <c r="I26" s="347"/>
      <c r="J26" s="347"/>
      <c r="K26" s="347"/>
      <c r="L26" s="347"/>
      <c r="M26" s="347"/>
      <c r="N26" s="347"/>
    </row>
    <row r="27" spans="1:14">
      <c r="A27" s="347"/>
      <c r="B27" s="347"/>
      <c r="C27" s="347"/>
      <c r="D27" s="347"/>
      <c r="E27" s="347"/>
      <c r="F27" s="347"/>
      <c r="G27" s="347"/>
      <c r="H27" s="347"/>
      <c r="I27" s="347"/>
      <c r="J27" s="347"/>
      <c r="K27" s="347"/>
      <c r="L27" s="347"/>
      <c r="M27" s="347"/>
      <c r="N27" s="347"/>
    </row>
    <row r="28" spans="1:14">
      <c r="A28" s="347"/>
      <c r="B28" s="347"/>
      <c r="C28" s="347"/>
      <c r="D28" s="347"/>
      <c r="E28" s="347"/>
      <c r="F28" s="347"/>
      <c r="G28" s="347"/>
      <c r="H28" s="347"/>
      <c r="I28" s="347"/>
      <c r="J28" s="347"/>
      <c r="K28" s="347"/>
      <c r="L28" s="347"/>
      <c r="M28" s="347"/>
      <c r="N28" s="347"/>
    </row>
    <row r="29" spans="1:14">
      <c r="A29" s="347"/>
      <c r="B29" s="347"/>
      <c r="C29" s="347"/>
      <c r="D29" s="347"/>
      <c r="E29" s="347"/>
      <c r="F29" s="347"/>
      <c r="G29" s="347"/>
      <c r="H29" s="347"/>
      <c r="I29" s="347"/>
      <c r="J29" s="347"/>
      <c r="K29" s="347"/>
      <c r="L29" s="347"/>
      <c r="M29" s="347"/>
      <c r="N29" s="347"/>
    </row>
    <row r="30" spans="1:14">
      <c r="A30" s="347"/>
      <c r="B30" s="347"/>
      <c r="C30" s="347"/>
      <c r="D30" s="347"/>
      <c r="E30" s="347"/>
      <c r="F30" s="347"/>
      <c r="G30" s="347"/>
      <c r="H30" s="347"/>
      <c r="I30" s="347"/>
      <c r="J30" s="347"/>
      <c r="K30" s="347"/>
      <c r="L30" s="347"/>
      <c r="M30" s="347"/>
      <c r="N30" s="347"/>
    </row>
    <row r="31" spans="1:14">
      <c r="A31" s="347"/>
      <c r="B31" s="347"/>
      <c r="C31" s="347"/>
      <c r="D31" s="347"/>
      <c r="E31" s="347"/>
      <c r="F31" s="347"/>
      <c r="G31" s="347"/>
      <c r="H31" s="347"/>
      <c r="I31" s="347"/>
      <c r="J31" s="347"/>
      <c r="K31" s="347"/>
      <c r="L31" s="347"/>
      <c r="M31" s="347"/>
      <c r="N31" s="347"/>
    </row>
    <row r="32" spans="1:14">
      <c r="A32" s="347"/>
      <c r="B32" s="347"/>
      <c r="C32" s="347"/>
      <c r="D32" s="347"/>
      <c r="E32" s="347"/>
      <c r="F32" s="347"/>
      <c r="G32" s="347"/>
      <c r="H32" s="347"/>
      <c r="I32" s="347"/>
      <c r="J32" s="347"/>
      <c r="K32" s="347"/>
      <c r="L32" s="347"/>
      <c r="M32" s="347"/>
      <c r="N32" s="347"/>
    </row>
    <row r="33" spans="1:14">
      <c r="A33" s="347"/>
      <c r="B33" s="347"/>
      <c r="C33" s="347"/>
      <c r="D33" s="347"/>
      <c r="E33" s="347"/>
      <c r="F33" s="347"/>
      <c r="G33" s="347"/>
      <c r="H33" s="347"/>
      <c r="I33" s="347"/>
      <c r="J33" s="347"/>
      <c r="K33" s="347"/>
      <c r="L33" s="347"/>
      <c r="M33" s="347"/>
      <c r="N33" s="34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A29" sqref="A29"/>
    </sheetView>
  </sheetViews>
  <sheetFormatPr defaultRowHeight="15"/>
  <cols>
    <col min="1" max="1" width="109.140625" customWidth="1"/>
  </cols>
  <sheetData>
    <row r="3" spans="1:1" ht="126">
      <c r="A3" s="378" t="s">
        <v>395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5"/>
  <sheetViews>
    <sheetView workbookViewId="0">
      <selection activeCell="D11" sqref="D11"/>
    </sheetView>
  </sheetViews>
  <sheetFormatPr defaultRowHeight="15"/>
  <cols>
    <col min="1" max="1" width="10.7109375" style="97" bestFit="1" customWidth="1"/>
    <col min="2" max="2" width="11.5703125" style="97" bestFit="1" customWidth="1"/>
    <col min="3" max="3" width="12.42578125" style="97" bestFit="1" customWidth="1"/>
    <col min="4" max="4" width="11.5703125" style="97" bestFit="1" customWidth="1"/>
    <col min="5" max="5" width="11.5703125" style="97" customWidth="1"/>
    <col min="6" max="6" width="11.5703125" style="97" bestFit="1" customWidth="1"/>
    <col min="7" max="16384" width="9.140625" style="97"/>
  </cols>
  <sheetData>
    <row r="1" spans="1:6">
      <c r="A1" s="97" t="s">
        <v>308</v>
      </c>
    </row>
    <row r="2" spans="1:6">
      <c r="A2" s="97" t="s">
        <v>282</v>
      </c>
    </row>
    <row r="4" spans="1:6">
      <c r="A4" s="9"/>
      <c r="B4" s="9"/>
      <c r="D4" s="9"/>
      <c r="E4" s="9"/>
      <c r="F4" s="176"/>
    </row>
    <row r="5" spans="1:6">
      <c r="A5" s="9"/>
      <c r="B5" s="9"/>
      <c r="D5" s="9"/>
      <c r="E5" s="92" t="s">
        <v>313</v>
      </c>
      <c r="F5" s="55" t="s">
        <v>302</v>
      </c>
    </row>
    <row r="6" spans="1:6">
      <c r="B6" s="55" t="s">
        <v>316</v>
      </c>
      <c r="D6" s="55"/>
      <c r="E6" s="55" t="s">
        <v>302</v>
      </c>
      <c r="F6" s="55" t="s">
        <v>391</v>
      </c>
    </row>
    <row r="7" spans="1:6">
      <c r="A7" s="201" t="s">
        <v>0</v>
      </c>
      <c r="B7" s="201" t="s">
        <v>318</v>
      </c>
      <c r="C7" s="201" t="s">
        <v>305</v>
      </c>
      <c r="D7" s="201" t="s">
        <v>14</v>
      </c>
      <c r="E7" s="201" t="s">
        <v>1</v>
      </c>
      <c r="F7" s="201" t="s">
        <v>392</v>
      </c>
    </row>
    <row r="9" spans="1:6">
      <c r="A9" s="202">
        <v>43830</v>
      </c>
      <c r="B9" s="203">
        <f>'RB &amp; Dep'!F12</f>
        <v>352188.39471504535</v>
      </c>
      <c r="C9" s="203">
        <f>'RB &amp; Dep'!G12</f>
        <v>332775.96187499992</v>
      </c>
      <c r="D9" s="203">
        <f>'Summary Budget'!$D$41</f>
        <v>3400505.4209008329</v>
      </c>
      <c r="E9" s="203">
        <f>-'Summary Budget'!$D$38</f>
        <v>-36900</v>
      </c>
      <c r="F9" s="203">
        <f>SUM(B9:E9)</f>
        <v>4048569.777490878</v>
      </c>
    </row>
    <row r="10" spans="1:6">
      <c r="A10" s="202">
        <v>44196</v>
      </c>
      <c r="B10" s="203">
        <f>'RB &amp; Dep'!F13</f>
        <v>402788.25847130088</v>
      </c>
      <c r="C10" s="203">
        <f>'RB &amp; Dep'!G13</f>
        <v>1074860.6151692709</v>
      </c>
      <c r="D10" s="203">
        <f>'Summary Budget'!$E$41</f>
        <v>3547214.7121685101</v>
      </c>
      <c r="E10" s="203">
        <f>-'Summary Budget'!$E$38</f>
        <v>-308253.375</v>
      </c>
      <c r="F10" s="203">
        <f t="shared" ref="F10:F15" si="0">SUM(B10:E10)</f>
        <v>4716610.2108090818</v>
      </c>
    </row>
    <row r="11" spans="1:6">
      <c r="A11" s="202">
        <v>44561</v>
      </c>
      <c r="B11" s="203">
        <f>'RB &amp; Dep'!F14</f>
        <v>299711.36700061243</v>
      </c>
      <c r="C11" s="203">
        <f>'RB &amp; Dep'!G14</f>
        <v>1237853.8334765637</v>
      </c>
      <c r="D11" s="203">
        <f>'Summary Budget'!$F$41</f>
        <v>2372671.4028387386</v>
      </c>
      <c r="E11" s="203">
        <f>-'Summary Budget'!$F$38</f>
        <v>-566013.71249999991</v>
      </c>
      <c r="F11" s="203">
        <f t="shared" si="0"/>
        <v>3344222.8908159151</v>
      </c>
    </row>
    <row r="12" spans="1:6">
      <c r="A12" s="202">
        <v>44926</v>
      </c>
      <c r="B12" s="203">
        <f>'RB &amp; Dep'!F15</f>
        <v>204156.06658326581</v>
      </c>
      <c r="C12" s="203">
        <f>'RB &amp; Dep'!G15</f>
        <v>1249029.3781136088</v>
      </c>
      <c r="D12" s="203">
        <f>'Summary Budget'!$G$41</f>
        <v>2042223.3690332519</v>
      </c>
      <c r="E12" s="203">
        <f>-'Summary Budget'!$G$38</f>
        <v>-580164.05531249987</v>
      </c>
      <c r="F12" s="203">
        <f t="shared" si="0"/>
        <v>2915244.7584176264</v>
      </c>
    </row>
    <row r="13" spans="1:6">
      <c r="A13" s="202">
        <v>45291</v>
      </c>
      <c r="B13" s="203">
        <f>'RB &amp; Dep'!F16</f>
        <v>136997.63967221184</v>
      </c>
      <c r="C13" s="203">
        <f>'RB &amp; Dep'!G16</f>
        <v>1298808.4176833597</v>
      </c>
      <c r="D13" s="203">
        <f>'Summary Budget'!$H$41</f>
        <v>1648725.6092875684</v>
      </c>
      <c r="E13" s="203">
        <f>-'Summary Budget'!$H$38</f>
        <v>-693779.51614453108</v>
      </c>
      <c r="F13" s="203">
        <f t="shared" si="0"/>
        <v>2390752.1504986091</v>
      </c>
    </row>
    <row r="14" spans="1:6">
      <c r="A14" s="202">
        <v>45657</v>
      </c>
      <c r="B14" s="203">
        <f>'RB &amp; Dep'!F17</f>
        <v>143678.89443492907</v>
      </c>
      <c r="C14" s="203">
        <f>'RB &amp; Dep'!G17</f>
        <v>1127748.9047878124</v>
      </c>
      <c r="D14" s="203">
        <f>'Summary Budget'!$I$41</f>
        <v>1053627.3734091497</v>
      </c>
      <c r="E14" s="203">
        <f>-'Summary Budget'!$I$38</f>
        <v>-711124.00404814433</v>
      </c>
      <c r="F14" s="203">
        <f t="shared" si="0"/>
        <v>1613931.168583747</v>
      </c>
    </row>
    <row r="15" spans="1:6">
      <c r="A15" s="202">
        <v>46022</v>
      </c>
      <c r="B15" s="203">
        <f>'RB &amp; Dep'!F18</f>
        <v>160436.5749269927</v>
      </c>
      <c r="C15" s="203">
        <f>'RB &amp; Dep'!G18</f>
        <v>586431.7146307677</v>
      </c>
      <c r="D15" s="203">
        <f>'Summary Budget'!$J$41</f>
        <v>1058081.8568335932</v>
      </c>
      <c r="E15" s="203">
        <f>-'Summary Budget'!$J$38</f>
        <v>-728902.10414934787</v>
      </c>
      <c r="F15" s="203">
        <f t="shared" si="0"/>
        <v>1076048.0422420057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5"/>
  <sheetViews>
    <sheetView workbookViewId="0">
      <selection activeCell="J25" sqref="J25"/>
    </sheetView>
  </sheetViews>
  <sheetFormatPr defaultRowHeight="15"/>
  <cols>
    <col min="1" max="1" width="10.7109375" style="97" bestFit="1" customWidth="1"/>
    <col min="2" max="2" width="11.5703125" style="97" bestFit="1" customWidth="1"/>
    <col min="3" max="3" width="10" style="97" bestFit="1" customWidth="1"/>
    <col min="4" max="4" width="11.5703125" style="97" bestFit="1" customWidth="1"/>
    <col min="5" max="5" width="11.5703125" style="97" customWidth="1"/>
    <col min="6" max="6" width="10" style="97" bestFit="1" customWidth="1"/>
    <col min="7" max="7" width="12.42578125" style="97" bestFit="1" customWidth="1"/>
    <col min="8" max="16384" width="9.140625" style="97"/>
  </cols>
  <sheetData>
    <row r="1" spans="1:7">
      <c r="A1" s="97" t="s">
        <v>308</v>
      </c>
    </row>
    <row r="2" spans="1:7">
      <c r="A2" s="97" t="s">
        <v>309</v>
      </c>
    </row>
    <row r="4" spans="1:7">
      <c r="A4" s="192" t="s">
        <v>310</v>
      </c>
      <c r="B4" s="193"/>
      <c r="C4" s="193"/>
      <c r="D4" s="194">
        <f>'ERF ROR'!E17</f>
        <v>7.4899999999999994E-2</v>
      </c>
      <c r="E4" s="195"/>
    </row>
    <row r="5" spans="1:7">
      <c r="A5" s="196" t="s">
        <v>311</v>
      </c>
      <c r="B5" s="9"/>
      <c r="C5" s="9"/>
      <c r="D5" s="197">
        <f>'ERF ROR'!E15</f>
        <v>2.8799999999999999E-2</v>
      </c>
      <c r="E5" s="195"/>
    </row>
    <row r="6" spans="1:7">
      <c r="A6" s="198" t="s">
        <v>312</v>
      </c>
      <c r="B6" s="199"/>
      <c r="C6" s="199"/>
      <c r="D6" s="200">
        <v>0.21</v>
      </c>
      <c r="E6" s="176"/>
    </row>
    <row r="7" spans="1:7">
      <c r="A7" s="9"/>
      <c r="B7" s="9"/>
      <c r="D7" s="9"/>
      <c r="E7" s="9"/>
      <c r="F7" s="176"/>
    </row>
    <row r="8" spans="1:7">
      <c r="A8" s="9"/>
      <c r="B8" s="9"/>
      <c r="D8" s="9"/>
      <c r="E8" s="92" t="s">
        <v>313</v>
      </c>
      <c r="F8" s="176"/>
    </row>
    <row r="9" spans="1:7">
      <c r="B9" s="55"/>
      <c r="C9" s="55" t="s">
        <v>313</v>
      </c>
      <c r="D9" s="55" t="s">
        <v>314</v>
      </c>
      <c r="E9" s="55" t="s">
        <v>315</v>
      </c>
      <c r="F9" s="55" t="s">
        <v>316</v>
      </c>
    </row>
    <row r="10" spans="1:7">
      <c r="A10" s="201" t="s">
        <v>0</v>
      </c>
      <c r="B10" s="201" t="s">
        <v>317</v>
      </c>
      <c r="C10" s="201" t="s">
        <v>318</v>
      </c>
      <c r="D10" s="201" t="s">
        <v>319</v>
      </c>
      <c r="E10" s="201" t="s">
        <v>320</v>
      </c>
      <c r="F10" s="201" t="s">
        <v>318</v>
      </c>
      <c r="G10" s="201" t="s">
        <v>305</v>
      </c>
    </row>
    <row r="12" spans="1:7">
      <c r="A12" s="202">
        <v>43830</v>
      </c>
      <c r="B12" s="203">
        <f>VLOOKUP($A12,'EV Dep Sch Combined'!$A$20:$M$186,13,FALSE)</f>
        <v>4040969.4972533244</v>
      </c>
      <c r="C12" s="203">
        <f>B12*$D$4</f>
        <v>302668.61534427397</v>
      </c>
      <c r="D12" s="203">
        <f>-B12*$D$5*$D$6</f>
        <v>-24439.783519388104</v>
      </c>
      <c r="E12" s="203">
        <f>SUM(C12:D12)</f>
        <v>278228.83182488586</v>
      </c>
      <c r="F12" s="203">
        <f>E12/(1-$D$6)</f>
        <v>352188.39471504535</v>
      </c>
      <c r="G12" s="203">
        <f>-VLOOKUP($A12,'EV Dep Sch Combined'!$A$20:$M$186,7,FALSE)</f>
        <v>332775.96187499992</v>
      </c>
    </row>
    <row r="13" spans="1:7">
      <c r="A13" s="202">
        <v>44196</v>
      </c>
      <c r="B13" s="203">
        <f>VLOOKUP(A13,'EV Dep Sch Combined'!$A$20:$M$186,13,FALSE)</f>
        <v>4621546.5664371075</v>
      </c>
      <c r="C13" s="203">
        <f t="shared" ref="C13:C25" si="0">B13*$D$4</f>
        <v>346153.83782613935</v>
      </c>
      <c r="D13" s="203">
        <f t="shared" ref="D13:D25" si="1">-B13*$D$5*$D$6</f>
        <v>-27951.113633811627</v>
      </c>
      <c r="E13" s="203">
        <f t="shared" ref="E13:E25" si="2">SUM(C13:D13)</f>
        <v>318202.7241923277</v>
      </c>
      <c r="F13" s="203">
        <f t="shared" ref="F13:F25" si="3">E13/(1-$D$6)</f>
        <v>402788.25847130088</v>
      </c>
      <c r="G13" s="203">
        <f>+VLOOKUP($A12,'EV Dep Sch Combined'!$A$20:$M$186,7,FALSE)-VLOOKUP($A13,'EV Dep Sch Combined'!$A$20:$M$186,7,FALSE)</f>
        <v>1074860.6151692709</v>
      </c>
    </row>
    <row r="14" spans="1:7">
      <c r="A14" s="202">
        <v>44561</v>
      </c>
      <c r="B14" s="203">
        <f>VLOOKUP(A14,'EV Dep Sch Combined'!$A$20:$M$186,13,FALSE)</f>
        <v>3438854.0627793507</v>
      </c>
      <c r="C14" s="203">
        <f t="shared" si="0"/>
        <v>257570.16930217334</v>
      </c>
      <c r="D14" s="203">
        <f t="shared" si="1"/>
        <v>-20798.18937168951</v>
      </c>
      <c r="E14" s="203">
        <f t="shared" si="2"/>
        <v>236771.97993048382</v>
      </c>
      <c r="F14" s="203">
        <f t="shared" si="3"/>
        <v>299711.36700061243</v>
      </c>
      <c r="G14" s="203">
        <f>+VLOOKUP($A13,'EV Dep Sch Combined'!$A$20:$M$186,7,FALSE)-VLOOKUP($A14,'EV Dep Sch Combined'!$A$20:$M$186,7,FALSE)</f>
        <v>1237853.8334765637</v>
      </c>
    </row>
    <row r="15" spans="1:7">
      <c r="A15" s="202">
        <v>44926</v>
      </c>
      <c r="B15" s="203">
        <f>VLOOKUP(A15,'EV Dep Sch Combined'!$A$20:$M$186,13,FALSE)</f>
        <v>2342463.4375294838</v>
      </c>
      <c r="C15" s="203">
        <f t="shared" si="0"/>
        <v>175450.51147095833</v>
      </c>
      <c r="D15" s="203">
        <f t="shared" si="1"/>
        <v>-14167.218870178318</v>
      </c>
      <c r="E15" s="203">
        <f t="shared" si="2"/>
        <v>161283.29260078</v>
      </c>
      <c r="F15" s="203">
        <f t="shared" si="3"/>
        <v>204156.06658326581</v>
      </c>
      <c r="G15" s="203">
        <f>+VLOOKUP($A14,'EV Dep Sch Combined'!$A$20:$M$186,7,FALSE)-VLOOKUP($A15,'EV Dep Sch Combined'!$A$20:$M$186,7,FALSE)</f>
        <v>1249029.3781136088</v>
      </c>
    </row>
    <row r="16" spans="1:7">
      <c r="A16" s="202">
        <v>45291</v>
      </c>
      <c r="B16" s="203">
        <f>VLOOKUP(A16,'EV Dep Sch Combined'!$A$20:$M$186,13,FALSE)</f>
        <v>1571895.3021124641</v>
      </c>
      <c r="C16" s="203">
        <f t="shared" si="0"/>
        <v>117734.95812822354</v>
      </c>
      <c r="D16" s="203">
        <f t="shared" si="1"/>
        <v>-9506.8227871761828</v>
      </c>
      <c r="E16" s="203">
        <f t="shared" si="2"/>
        <v>108228.13534104737</v>
      </c>
      <c r="F16" s="203">
        <f t="shared" si="3"/>
        <v>136997.63967221184</v>
      </c>
      <c r="G16" s="203">
        <f>+VLOOKUP($A15,'EV Dep Sch Combined'!$A$20:$M$186,7,FALSE)-VLOOKUP($A16,'EV Dep Sch Combined'!$A$20:$M$186,7,FALSE)</f>
        <v>1298808.4176833597</v>
      </c>
    </row>
    <row r="17" spans="1:7">
      <c r="A17" s="202">
        <v>45657</v>
      </c>
      <c r="B17" s="203">
        <f>VLOOKUP(A17,'EV Dep Sch Combined'!$A$20:$M$186,13,FALSE)</f>
        <v>1648555.2577062973</v>
      </c>
      <c r="C17" s="203">
        <f t="shared" si="0"/>
        <v>123476.78880220166</v>
      </c>
      <c r="D17" s="203">
        <f t="shared" si="1"/>
        <v>-9970.4621986076854</v>
      </c>
      <c r="E17" s="203">
        <f t="shared" si="2"/>
        <v>113506.32660359397</v>
      </c>
      <c r="F17" s="203">
        <f t="shared" si="3"/>
        <v>143678.89443492907</v>
      </c>
      <c r="G17" s="203">
        <f>+VLOOKUP($A16,'EV Dep Sch Combined'!$A$20:$M$186,7,FALSE)-VLOOKUP($A17,'EV Dep Sch Combined'!$A$20:$M$186,7,FALSE)</f>
        <v>1127748.9047878124</v>
      </c>
    </row>
    <row r="18" spans="1:7">
      <c r="A18" s="202">
        <v>46022</v>
      </c>
      <c r="B18" s="203">
        <f>VLOOKUP(A18,'EV Dep Sch Combined'!$A$20:$M$186,13,FALSE)</f>
        <v>1840830.9735711997</v>
      </c>
      <c r="C18" s="203">
        <f t="shared" si="0"/>
        <v>137878.23992048285</v>
      </c>
      <c r="D18" s="203">
        <f t="shared" si="1"/>
        <v>-11133.345728158616</v>
      </c>
      <c r="E18" s="203">
        <f t="shared" si="2"/>
        <v>126744.89419232424</v>
      </c>
      <c r="F18" s="203">
        <f t="shared" si="3"/>
        <v>160436.5749269927</v>
      </c>
      <c r="G18" s="203">
        <f>+VLOOKUP($A17,'EV Dep Sch Combined'!$A$20:$M$186,7,FALSE)-VLOOKUP($A18,'EV Dep Sch Combined'!$A$20:$M$186,7,FALSE)</f>
        <v>586431.7146307677</v>
      </c>
    </row>
    <row r="19" spans="1:7">
      <c r="A19" s="202">
        <v>46387</v>
      </c>
      <c r="B19" s="203">
        <f>VLOOKUP(A19,'EV Dep Sch Combined'!$A$20:$M$186,13,FALSE)</f>
        <v>1283471.970777618</v>
      </c>
      <c r="C19" s="203">
        <f t="shared" si="0"/>
        <v>96132.050611243583</v>
      </c>
      <c r="D19" s="203">
        <f t="shared" si="1"/>
        <v>-7762.4384792630335</v>
      </c>
      <c r="E19" s="203">
        <f t="shared" si="2"/>
        <v>88369.612131980553</v>
      </c>
      <c r="F19" s="203">
        <f t="shared" si="3"/>
        <v>111860.26852149436</v>
      </c>
      <c r="G19" s="203">
        <f>+VLOOKUP($A18,'EV Dep Sch Combined'!$A$20:$M$186,7,FALSE)-VLOOKUP($A19,'EV Dep Sch Combined'!$A$20:$M$186,7,FALSE)</f>
        <v>503859.74948741868</v>
      </c>
    </row>
    <row r="20" spans="1:7">
      <c r="A20" s="202">
        <v>46752</v>
      </c>
      <c r="B20" s="203">
        <f>VLOOKUP(A20,'EV Dep Sch Combined'!$A$20:$M$186,13,FALSE)</f>
        <v>812071.76234770112</v>
      </c>
      <c r="C20" s="203">
        <f t="shared" si="0"/>
        <v>60824.174999842806</v>
      </c>
      <c r="D20" s="203">
        <f t="shared" si="1"/>
        <v>-4911.4100186788955</v>
      </c>
      <c r="E20" s="203">
        <f t="shared" si="2"/>
        <v>55912.764981163913</v>
      </c>
      <c r="F20" s="203">
        <f t="shared" si="3"/>
        <v>70775.651874891031</v>
      </c>
      <c r="G20" s="203">
        <f>+VLOOKUP($A19,'EV Dep Sch Combined'!$A$20:$M$186,7,FALSE)-VLOOKUP($A20,'EV Dep Sch Combined'!$A$20:$M$186,7,FALSE)</f>
        <v>492684.20485037472</v>
      </c>
    </row>
    <row r="21" spans="1:7">
      <c r="A21" s="202">
        <v>47118</v>
      </c>
      <c r="B21" s="203">
        <f>VLOOKUP(A21,'EV Dep Sch Combined'!$A$20:$M$186,13,FALSE)</f>
        <v>407043.31308509439</v>
      </c>
      <c r="C21" s="203">
        <f t="shared" si="0"/>
        <v>30487.544150073569</v>
      </c>
      <c r="D21" s="203">
        <f t="shared" si="1"/>
        <v>-2461.7979575386507</v>
      </c>
      <c r="E21" s="203">
        <f t="shared" si="2"/>
        <v>28025.74619253492</v>
      </c>
      <c r="F21" s="203">
        <f t="shared" si="3"/>
        <v>35475.628091816354</v>
      </c>
      <c r="G21" s="203">
        <f>+VLOOKUP($A20,'EV Dep Sch Combined'!$A$20:$M$186,7,FALSE)-VLOOKUP($A21,'EV Dep Sch Combined'!$A$20:$M$186,7,FALSE)</f>
        <v>442905.16528062243</v>
      </c>
    </row>
    <row r="22" spans="1:7">
      <c r="A22" s="202">
        <v>47483</v>
      </c>
      <c r="B22" s="203">
        <f>VLOOKUP(A22,'EV Dep Sch Combined'!$A$20:$M$186,13,FALSE)</f>
        <v>139845.22134686081</v>
      </c>
      <c r="C22" s="203">
        <f t="shared" si="0"/>
        <v>10474.407078879874</v>
      </c>
      <c r="D22" s="203">
        <f t="shared" si="1"/>
        <v>-845.78389870581407</v>
      </c>
      <c r="E22" s="203">
        <f t="shared" si="2"/>
        <v>9628.6231801740596</v>
      </c>
      <c r="F22" s="203">
        <f t="shared" si="3"/>
        <v>12188.130607815265</v>
      </c>
      <c r="G22" s="203">
        <f>+VLOOKUP($A21,'EV Dep Sch Combined'!$A$20:$M$186,7,FALSE)-VLOOKUP($A22,'EV Dep Sch Combined'!$A$20:$M$186,7,FALSE)</f>
        <v>281188.71630116366</v>
      </c>
    </row>
    <row r="23" spans="1:7">
      <c r="A23" s="202">
        <v>47848</v>
      </c>
      <c r="B23" s="203">
        <f>VLOOKUP(A23,'EV Dep Sch Combined'!$A$20:$M$186,13,FALSE)</f>
        <v>37947.235820602858</v>
      </c>
      <c r="C23" s="203">
        <f t="shared" si="0"/>
        <v>2842.2479629631539</v>
      </c>
      <c r="D23" s="203">
        <f t="shared" si="1"/>
        <v>-229.50488224300605</v>
      </c>
      <c r="E23" s="203">
        <f t="shared" si="2"/>
        <v>2612.7430807201476</v>
      </c>
      <c r="F23" s="203">
        <f t="shared" si="3"/>
        <v>3307.2697224305666</v>
      </c>
      <c r="G23" s="203">
        <f>+VLOOKUP($A22,'EV Dep Sch Combined'!$A$20:$M$186,7,FALSE)-VLOOKUP($A23,'EV Dep Sch Combined'!$A$20:$M$186,7,FALSE)</f>
        <v>80421.253163941205</v>
      </c>
    </row>
    <row r="24" spans="1:7">
      <c r="A24" s="202">
        <v>48213</v>
      </c>
      <c r="B24" s="203">
        <f>VLOOKUP(A24,'EV Dep Sch Combined'!$A$20:$M$186,13,FALSE)</f>
        <v>12576.488349790043</v>
      </c>
      <c r="C24" s="203">
        <f t="shared" si="0"/>
        <v>941.97897739927419</v>
      </c>
      <c r="D24" s="203">
        <f t="shared" si="1"/>
        <v>-76.062601539530178</v>
      </c>
      <c r="E24" s="203">
        <f t="shared" si="2"/>
        <v>865.91637585974399</v>
      </c>
      <c r="F24" s="203">
        <f t="shared" si="3"/>
        <v>1096.0966783034733</v>
      </c>
      <c r="G24" s="203">
        <f>+VLOOKUP($A23,'EV Dep Sch Combined'!$A$20:$M$186,7,FALSE)-VLOOKUP($A24,'EV Dep Sch Combined'!$A$20:$M$186,7,FALSE)</f>
        <v>0</v>
      </c>
    </row>
    <row r="25" spans="1:7">
      <c r="A25" s="202">
        <v>48579</v>
      </c>
      <c r="B25" s="203">
        <f>VLOOKUP(A25,'EV Dep Sch Combined'!$A$20:$M$186,13,FALSE)</f>
        <v>1883.4474715420358</v>
      </c>
      <c r="C25" s="203">
        <f t="shared" si="0"/>
        <v>141.07021561849848</v>
      </c>
      <c r="D25" s="203">
        <f t="shared" si="1"/>
        <v>-11.391090307886232</v>
      </c>
      <c r="E25" s="203">
        <f t="shared" si="2"/>
        <v>129.67912531061225</v>
      </c>
      <c r="F25" s="203">
        <f t="shared" si="3"/>
        <v>164.15079153242056</v>
      </c>
      <c r="G25" s="203">
        <f>+VLOOKUP($A24,'EV Dep Sch Combined'!$A$20:$M$186,7,FALSE)-VLOOKUP($A25,'EV Dep Sch Combined'!$A$20:$M$186,7,FALSE)</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N45"/>
  <sheetViews>
    <sheetView zoomScale="85" zoomScaleNormal="85" workbookViewId="0">
      <selection activeCell="L19" sqref="L19"/>
    </sheetView>
  </sheetViews>
  <sheetFormatPr defaultColWidth="8.85546875" defaultRowHeight="15"/>
  <cols>
    <col min="1" max="1" width="54.28515625" style="97" bestFit="1" customWidth="1"/>
    <col min="2" max="2" width="6" style="97" bestFit="1" customWidth="1"/>
    <col min="3" max="3" width="18.42578125" style="97" customWidth="1"/>
    <col min="4" max="4" width="18.28515625" style="97" customWidth="1"/>
    <col min="5" max="5" width="17.28515625" style="97" customWidth="1"/>
    <col min="6" max="6" width="17.42578125" style="97" customWidth="1"/>
    <col min="7" max="7" width="17.28515625" style="97" customWidth="1"/>
    <col min="8" max="12" width="14.7109375" style="97" bestFit="1" customWidth="1"/>
    <col min="13" max="16384" width="8.85546875" style="97"/>
  </cols>
  <sheetData>
    <row r="1" spans="1:14" s="182" customFormat="1">
      <c r="A1" s="384" t="s">
        <v>278</v>
      </c>
      <c r="B1" s="384"/>
      <c r="C1" s="384"/>
      <c r="D1" s="384"/>
      <c r="E1" s="384"/>
      <c r="F1" s="384"/>
      <c r="G1" s="384"/>
      <c r="H1" s="384"/>
      <c r="I1" s="384"/>
      <c r="J1" s="384"/>
      <c r="K1" s="183"/>
      <c r="L1" s="183"/>
      <c r="M1" s="183"/>
      <c r="N1" s="183"/>
    </row>
    <row r="2" spans="1:14" s="182" customFormat="1">
      <c r="A2" s="384" t="s">
        <v>281</v>
      </c>
      <c r="B2" s="384"/>
      <c r="C2" s="384"/>
      <c r="D2" s="384"/>
      <c r="E2" s="384"/>
      <c r="F2" s="384"/>
      <c r="G2" s="384"/>
      <c r="H2" s="384"/>
      <c r="I2" s="384"/>
      <c r="J2" s="384"/>
      <c r="K2" s="183"/>
      <c r="L2" s="183"/>
      <c r="M2" s="183"/>
      <c r="N2" s="183"/>
    </row>
    <row r="3" spans="1:14" s="182" customFormat="1">
      <c r="A3" s="384" t="s">
        <v>279</v>
      </c>
      <c r="B3" s="384"/>
      <c r="C3" s="384"/>
      <c r="D3" s="384"/>
      <c r="E3" s="384"/>
      <c r="F3" s="384"/>
      <c r="G3" s="384"/>
      <c r="H3" s="384"/>
      <c r="I3" s="384"/>
      <c r="J3" s="384"/>
      <c r="K3" s="183"/>
      <c r="L3" s="183"/>
      <c r="M3" s="183"/>
      <c r="N3" s="183"/>
    </row>
    <row r="4" spans="1:14" s="182" customFormat="1">
      <c r="A4" s="384" t="s">
        <v>282</v>
      </c>
      <c r="B4" s="384"/>
      <c r="C4" s="384"/>
      <c r="D4" s="384"/>
      <c r="E4" s="384"/>
      <c r="F4" s="384"/>
      <c r="G4" s="384"/>
      <c r="H4" s="384"/>
      <c r="I4" s="384"/>
      <c r="J4" s="384"/>
      <c r="K4" s="183"/>
      <c r="L4" s="183"/>
      <c r="M4" s="183"/>
      <c r="N4" s="183"/>
    </row>
    <row r="5" spans="1:14" s="182" customFormat="1">
      <c r="A5" s="184"/>
      <c r="B5" s="184"/>
      <c r="C5" s="184"/>
      <c r="D5" s="184"/>
      <c r="E5" s="184"/>
      <c r="F5" s="184"/>
      <c r="G5" s="184"/>
      <c r="H5" s="184"/>
      <c r="I5" s="184"/>
      <c r="J5" s="184"/>
      <c r="K5" s="183"/>
      <c r="L5" s="183"/>
      <c r="M5" s="183"/>
      <c r="N5" s="183"/>
    </row>
    <row r="6" spans="1:14" s="12" customFormat="1">
      <c r="A6" s="12" t="s">
        <v>0</v>
      </c>
      <c r="B6" s="54"/>
      <c r="C6" s="12">
        <v>2018</v>
      </c>
      <c r="D6" s="12">
        <v>2019</v>
      </c>
      <c r="E6" s="12">
        <v>2020</v>
      </c>
      <c r="F6" s="12">
        <v>2021</v>
      </c>
      <c r="G6" s="12">
        <v>2022</v>
      </c>
      <c r="H6" s="12">
        <v>2023</v>
      </c>
      <c r="I6" s="12">
        <v>2024</v>
      </c>
      <c r="J6" s="12">
        <v>2025</v>
      </c>
    </row>
    <row r="8" spans="1:14">
      <c r="A8" s="14" t="s">
        <v>26</v>
      </c>
      <c r="C8" s="2">
        <v>14109.636290099999</v>
      </c>
      <c r="D8" s="2">
        <v>17606.142157000002</v>
      </c>
      <c r="E8" s="2">
        <v>21969.094563300001</v>
      </c>
      <c r="F8" s="2">
        <v>32224.848497899999</v>
      </c>
      <c r="G8" s="2">
        <v>43363.338703100002</v>
      </c>
      <c r="H8" s="2">
        <v>55623.135449000001</v>
      </c>
      <c r="I8" s="2">
        <v>67988.786040000006</v>
      </c>
      <c r="J8" s="2">
        <v>81854.885477999997</v>
      </c>
      <c r="K8" s="2"/>
      <c r="L8" s="2"/>
    </row>
    <row r="9" spans="1:14">
      <c r="A9" s="97" t="s">
        <v>27</v>
      </c>
      <c r="C9" s="2">
        <v>47889.291739574444</v>
      </c>
      <c r="D9" s="2">
        <v>59756.726597259447</v>
      </c>
      <c r="E9" s="2">
        <v>74564.9538489962</v>
      </c>
      <c r="F9" s="2">
        <v>109373.84488433863</v>
      </c>
      <c r="G9" s="2">
        <v>147178.81703456677</v>
      </c>
      <c r="H9" s="2">
        <v>188789.59784925569</v>
      </c>
      <c r="I9" s="2">
        <v>230759.65551026649</v>
      </c>
      <c r="J9" s="2">
        <v>277822.36269370368</v>
      </c>
      <c r="K9" s="2"/>
      <c r="L9" s="2"/>
    </row>
    <row r="11" spans="1:14">
      <c r="A11" s="15" t="s">
        <v>25</v>
      </c>
      <c r="B11" s="15"/>
    </row>
    <row r="12" spans="1:14">
      <c r="A12" s="97" t="s">
        <v>28</v>
      </c>
      <c r="C12" s="16">
        <f>'3. Public (R)'!D74</f>
        <v>0</v>
      </c>
      <c r="D12" s="16">
        <f>'3. Public (R)'!E74</f>
        <v>1284806.2250000001</v>
      </c>
      <c r="E12" s="16">
        <f>'3. Public (R)'!F74</f>
        <v>890669.97031250002</v>
      </c>
      <c r="F12" s="16">
        <f>'3. Public (R)'!G74</f>
        <v>0</v>
      </c>
      <c r="G12" s="16">
        <f>'3. Public (R)'!H74</f>
        <v>0</v>
      </c>
      <c r="H12" s="16">
        <f>'3. Public (R)'!I74</f>
        <v>0</v>
      </c>
      <c r="I12" s="16">
        <f>'3. Public (R)'!J74</f>
        <v>226923.00960880728</v>
      </c>
      <c r="J12" s="16">
        <f>'3. Public (R)'!K74</f>
        <v>387660.14141504583</v>
      </c>
      <c r="K12" s="16"/>
      <c r="L12" s="16"/>
    </row>
    <row r="13" spans="1:14">
      <c r="A13" s="21" t="s">
        <v>29</v>
      </c>
      <c r="C13" s="16">
        <f>'4. Workplace (R)'!D63</f>
        <v>0</v>
      </c>
      <c r="D13" s="16">
        <f>'4. Workplace (R)'!E63</f>
        <v>654914.875</v>
      </c>
      <c r="E13" s="16">
        <f>'4. Workplace (R)'!F63</f>
        <v>328320.3125</v>
      </c>
      <c r="F13" s="16">
        <f>'4. Workplace (R)'!G63</f>
        <v>0</v>
      </c>
      <c r="G13" s="16">
        <f>'4. Workplace (R)'!H63</f>
        <v>0</v>
      </c>
      <c r="H13" s="16">
        <f>'4. Workplace (R)'!I63</f>
        <v>0</v>
      </c>
      <c r="I13" s="16">
        <f>'4. Workplace (R)'!J63</f>
        <v>210194.43205108633</v>
      </c>
      <c r="J13" s="16">
        <f>'4. Workplace (R)'!K63</f>
        <v>215449.29285236352</v>
      </c>
      <c r="K13" s="16"/>
      <c r="L13" s="16"/>
    </row>
    <row r="14" spans="1:14">
      <c r="A14" s="21" t="s">
        <v>30</v>
      </c>
      <c r="C14" s="16">
        <f>'2. Residential (R)'!D57</f>
        <v>0</v>
      </c>
      <c r="D14" s="16">
        <f>'2. Residential (R)'!E57</f>
        <v>1803586.85</v>
      </c>
      <c r="E14" s="16">
        <f>'2. Residential (R)'!F57</f>
        <v>380063.59375</v>
      </c>
      <c r="F14" s="16">
        <f>'2. Residential (R)'!G57</f>
        <v>40383.398437499993</v>
      </c>
      <c r="G14" s="16">
        <f>'2. Residential (R)'!H57</f>
        <v>68988.305664062485</v>
      </c>
      <c r="H14" s="16">
        <f>'2. Residential (R)'!I57</f>
        <v>401124.10662042524</v>
      </c>
      <c r="I14" s="16">
        <f>'2. Residential (R)'!J57</f>
        <v>590120.41485641559</v>
      </c>
      <c r="J14" s="16">
        <f>'2. Residential (R)'!K57</f>
        <v>188033.61038010137</v>
      </c>
      <c r="K14" s="16"/>
      <c r="L14" s="16"/>
    </row>
    <row r="15" spans="1:14">
      <c r="A15" s="21" t="s">
        <v>156</v>
      </c>
      <c r="C15" s="16">
        <f>'5. Multi-Family (R)'!D61</f>
        <v>0</v>
      </c>
      <c r="D15" s="16">
        <f>'5. Multi-Family (R)'!E61</f>
        <v>526789.875</v>
      </c>
      <c r="E15" s="16">
        <f>'5. Multi-Family (R)'!F61</f>
        <v>131328.125</v>
      </c>
      <c r="F15" s="16">
        <f>'5. Multi-Family (R)'!G61</f>
        <v>0</v>
      </c>
      <c r="G15" s="16">
        <f>'5. Multi-Family (R)'!H61</f>
        <v>0</v>
      </c>
      <c r="H15" s="16">
        <f>'5. Multi-Family (R)'!I61</f>
        <v>0</v>
      </c>
      <c r="I15" s="16">
        <f>'5. Multi-Family (R)'!J61</f>
        <v>126116.6592306518</v>
      </c>
      <c r="J15" s="16">
        <f>'5. Multi-Family (R)'!K61</f>
        <v>86179.717140945402</v>
      </c>
      <c r="K15" s="16"/>
      <c r="L15" s="16"/>
    </row>
    <row r="16" spans="1:14">
      <c r="A16" s="21" t="s">
        <v>31</v>
      </c>
      <c r="C16" s="16">
        <f>'1. E&amp;O '!D56</f>
        <v>0</v>
      </c>
      <c r="D16" s="16">
        <f>'1. E&amp;O '!E56</f>
        <v>166915</v>
      </c>
      <c r="E16" s="16">
        <f>'1. E&amp;O '!F56</f>
        <v>0</v>
      </c>
      <c r="F16" s="16">
        <f>'1. E&amp;O '!G56</f>
        <v>0</v>
      </c>
      <c r="G16" s="16">
        <f>'1. E&amp;O '!H56</f>
        <v>0</v>
      </c>
      <c r="H16" s="16">
        <f>'1. E&amp;O '!I56</f>
        <v>0</v>
      </c>
      <c r="I16" s="16">
        <f>'1. E&amp;O '!J56</f>
        <v>0</v>
      </c>
      <c r="J16" s="16">
        <f>'1. E&amp;O '!K56</f>
        <v>0</v>
      </c>
      <c r="K16" s="16"/>
      <c r="L16" s="16"/>
    </row>
    <row r="17" spans="1:12">
      <c r="A17" s="21" t="s">
        <v>35</v>
      </c>
      <c r="C17" s="17">
        <v>0</v>
      </c>
      <c r="D17" s="17">
        <v>0</v>
      </c>
      <c r="E17" s="17">
        <v>0</v>
      </c>
      <c r="F17" s="17">
        <v>0</v>
      </c>
      <c r="G17" s="17">
        <v>0</v>
      </c>
      <c r="H17" s="17">
        <v>0</v>
      </c>
      <c r="I17" s="17">
        <v>0</v>
      </c>
      <c r="J17" s="17">
        <v>0</v>
      </c>
      <c r="K17" s="17"/>
      <c r="L17" s="17"/>
    </row>
    <row r="18" spans="1:12">
      <c r="A18" s="21"/>
      <c r="C18" s="16"/>
      <c r="D18" s="16"/>
      <c r="E18" s="16"/>
      <c r="F18" s="16"/>
      <c r="G18" s="16"/>
    </row>
    <row r="19" spans="1:12">
      <c r="A19" s="43" t="s">
        <v>32</v>
      </c>
      <c r="B19" s="14"/>
      <c r="C19" s="186">
        <f t="shared" ref="C19:J19" si="0">SUM(C12:C18)</f>
        <v>0</v>
      </c>
      <c r="D19" s="186">
        <f t="shared" si="0"/>
        <v>4437012.8250000002</v>
      </c>
      <c r="E19" s="186">
        <f t="shared" si="0"/>
        <v>1730382.0015624999</v>
      </c>
      <c r="F19" s="186">
        <f t="shared" si="0"/>
        <v>40383.398437499993</v>
      </c>
      <c r="G19" s="186">
        <f t="shared" si="0"/>
        <v>68988.305664062485</v>
      </c>
      <c r="H19" s="186">
        <f t="shared" si="0"/>
        <v>401124.10662042524</v>
      </c>
      <c r="I19" s="186">
        <f t="shared" si="0"/>
        <v>1153354.5157469609</v>
      </c>
      <c r="J19" s="186">
        <f t="shared" si="0"/>
        <v>877322.76178845612</v>
      </c>
      <c r="K19" s="16"/>
      <c r="L19" s="16"/>
    </row>
    <row r="20" spans="1:12">
      <c r="A20" s="21"/>
      <c r="C20" s="16"/>
      <c r="D20" s="16"/>
      <c r="E20" s="16"/>
      <c r="F20" s="16"/>
      <c r="G20" s="16"/>
      <c r="H20" s="16"/>
      <c r="I20" s="16"/>
      <c r="J20" s="16"/>
      <c r="K20" s="16"/>
      <c r="L20" s="16"/>
    </row>
    <row r="21" spans="1:12">
      <c r="A21" s="160" t="s">
        <v>292</v>
      </c>
      <c r="B21" s="15"/>
      <c r="C21" s="16"/>
      <c r="D21" s="16"/>
      <c r="E21" s="16"/>
      <c r="F21" s="16"/>
      <c r="G21" s="16"/>
    </row>
    <row r="22" spans="1:12">
      <c r="A22" s="21" t="s">
        <v>28</v>
      </c>
      <c r="C22" s="16">
        <f>'3. Public (R)'!D75</f>
        <v>0</v>
      </c>
      <c r="D22" s="16">
        <f>'3. Public (R)'!E75</f>
        <v>611775.64444249996</v>
      </c>
      <c r="E22" s="16">
        <f>'3. Public (R)'!F75</f>
        <v>920138.01256434363</v>
      </c>
      <c r="F22" s="16">
        <f>'3. Public (R)'!G75</f>
        <v>925257.28273743659</v>
      </c>
      <c r="G22" s="16">
        <f>'3. Public (R)'!H75</f>
        <v>898478.91134409187</v>
      </c>
      <c r="H22" s="16">
        <f>'3. Public (R)'!I75</f>
        <v>835014.00601919019</v>
      </c>
      <c r="I22" s="16">
        <f>'3. Public (R)'!J75</f>
        <v>855888.04866966989</v>
      </c>
      <c r="J22" s="16">
        <f>'3. Public (R)'!K75</f>
        <v>855399.04897562636</v>
      </c>
      <c r="K22" s="16"/>
      <c r="L22" s="16"/>
    </row>
    <row r="23" spans="1:12">
      <c r="A23" s="21" t="s">
        <v>29</v>
      </c>
      <c r="C23" s="16">
        <f>'4. Workplace (R)'!D64</f>
        <v>0</v>
      </c>
      <c r="D23" s="16">
        <f>'4. Workplace (R)'!E64</f>
        <v>605044.60187499993</v>
      </c>
      <c r="E23" s="16">
        <f>'4. Workplace (R)'!F64</f>
        <v>516201.63567187497</v>
      </c>
      <c r="F23" s="16">
        <f>'4. Workplace (R)'!G64</f>
        <v>274553.4914007812</v>
      </c>
      <c r="G23" s="16">
        <f>'4. Workplace (R)'!H64</f>
        <v>208093.82453660152</v>
      </c>
      <c r="H23" s="16">
        <f>'4. Workplace (R)'!I64</f>
        <v>213166.44358751655</v>
      </c>
      <c r="I23" s="16">
        <f>'4. Workplace (R)'!J64</f>
        <v>55664.704227509617</v>
      </c>
      <c r="J23" s="16">
        <f>'4. Workplace (R)'!K64</f>
        <v>57056.321833197362</v>
      </c>
      <c r="K23" s="16"/>
      <c r="L23" s="16"/>
    </row>
    <row r="24" spans="1:12">
      <c r="A24" s="21" t="s">
        <v>30</v>
      </c>
      <c r="C24" s="16">
        <f>'2. Residential (R)'!D58</f>
        <v>0</v>
      </c>
      <c r="D24" s="16">
        <f>'2. Residential (R)'!E58</f>
        <v>683344.95812499989</v>
      </c>
      <c r="E24" s="16">
        <f>'2. Residential (R)'!F58</f>
        <v>610863.18268750003</v>
      </c>
      <c r="F24" s="16">
        <f>'2. Residential (R)'!G58</f>
        <v>591381.32162968745</v>
      </c>
      <c r="G24" s="16">
        <f>'2. Residential (R)'!H58</f>
        <v>598481.09167042957</v>
      </c>
      <c r="H24" s="16">
        <f>'2. Residential (R)'!I58</f>
        <v>401866.73741166986</v>
      </c>
      <c r="I24" s="16">
        <f>'2. Residential (R)'!J58</f>
        <v>86409.916284460662</v>
      </c>
      <c r="J24" s="16">
        <f>'2. Residential (R)'!K58</f>
        <v>88570.16419157217</v>
      </c>
      <c r="K24" s="16"/>
      <c r="L24" s="16"/>
    </row>
    <row r="25" spans="1:12">
      <c r="A25" s="21" t="s">
        <v>156</v>
      </c>
      <c r="C25" s="16">
        <f>'5. Multi-Family (R)'!D62</f>
        <v>0</v>
      </c>
      <c r="D25" s="16">
        <f>'5. Multi-Family (R)'!E62</f>
        <v>579392.708125</v>
      </c>
      <c r="E25" s="16">
        <f>'5. Multi-Family (R)'!F62</f>
        <v>490602.85082812491</v>
      </c>
      <c r="F25" s="16">
        <f>'5. Multi-Family (R)'!G62</f>
        <v>240548.96684687497</v>
      </c>
      <c r="G25" s="16">
        <f>'5. Multi-Family (R)'!H62</f>
        <v>193895.73209189449</v>
      </c>
      <c r="H25" s="16">
        <f>'5. Multi-Family (R)'!I62</f>
        <v>198678.42226919183</v>
      </c>
      <c r="I25" s="16">
        <f>'5. Multi-Family (R)'!J62</f>
        <v>55664.704227509617</v>
      </c>
      <c r="J25" s="16">
        <f>'5. Multi-Family (R)'!K62</f>
        <v>57056.321833197362</v>
      </c>
      <c r="K25" s="16"/>
      <c r="L25" s="16"/>
    </row>
    <row r="26" spans="1:12">
      <c r="A26" s="21" t="s">
        <v>31</v>
      </c>
      <c r="C26" s="16">
        <f>'1. E&amp;O '!D57</f>
        <v>0</v>
      </c>
      <c r="D26" s="16">
        <f>'1. E&amp;O '!E57</f>
        <v>679792</v>
      </c>
      <c r="E26" s="16">
        <f>'1. E&amp;O '!F57</f>
        <v>704305.77937499993</v>
      </c>
      <c r="F26" s="16">
        <f>'1. E&amp;O '!G57</f>
        <v>66808.190593749998</v>
      </c>
      <c r="G26" s="16">
        <f>'1. E&amp;O '!H57</f>
        <v>0</v>
      </c>
      <c r="H26" s="16">
        <f>'1. E&amp;O '!I57</f>
        <v>0</v>
      </c>
      <c r="I26" s="16">
        <f>'1. E&amp;O '!J57</f>
        <v>0</v>
      </c>
      <c r="J26" s="16">
        <f>'1. E&amp;O '!K57</f>
        <v>0</v>
      </c>
      <c r="K26" s="16"/>
      <c r="L26" s="16"/>
    </row>
    <row r="27" spans="1:12">
      <c r="A27" s="21" t="s">
        <v>35</v>
      </c>
      <c r="C27" s="17">
        <f>'6. Low Income'!D38</f>
        <v>0</v>
      </c>
      <c r="D27" s="17">
        <f>'6. Low Income'!E38</f>
        <v>241155.5083333333</v>
      </c>
      <c r="E27" s="17">
        <f>'6. Low Income'!F38</f>
        <v>305103.25104166672</v>
      </c>
      <c r="F27" s="17">
        <f>'6. Low Income'!G38</f>
        <v>274122.14963020827</v>
      </c>
      <c r="G27" s="17">
        <f>'6. Low Income'!H38</f>
        <v>143273.80939023435</v>
      </c>
      <c r="H27" s="17">
        <f>'6. Low Income'!I38</f>
        <v>0</v>
      </c>
      <c r="I27" s="17">
        <f>'6. Low Income'!J38</f>
        <v>0</v>
      </c>
      <c r="J27" s="17">
        <f>'6. Low Income'!K38</f>
        <v>0</v>
      </c>
      <c r="K27" s="17"/>
      <c r="L27" s="17"/>
    </row>
    <row r="28" spans="1:12">
      <c r="C28" s="16"/>
      <c r="D28" s="16"/>
      <c r="E28" s="16"/>
      <c r="F28" s="16"/>
      <c r="G28" s="16"/>
    </row>
    <row r="29" spans="1:12">
      <c r="A29" s="14" t="s">
        <v>33</v>
      </c>
      <c r="B29" s="14"/>
      <c r="C29" s="186">
        <f t="shared" ref="C29:J29" si="1">SUM(C22:C28)</f>
        <v>0</v>
      </c>
      <c r="D29" s="186">
        <f t="shared" si="1"/>
        <v>3400505.4209008329</v>
      </c>
      <c r="E29" s="186">
        <f t="shared" si="1"/>
        <v>3547214.7121685101</v>
      </c>
      <c r="F29" s="186">
        <f t="shared" si="1"/>
        <v>2372671.4028387386</v>
      </c>
      <c r="G29" s="186">
        <f t="shared" si="1"/>
        <v>2042223.3690332519</v>
      </c>
      <c r="H29" s="186">
        <f t="shared" si="1"/>
        <v>1648725.6092875684</v>
      </c>
      <c r="I29" s="186">
        <f t="shared" si="1"/>
        <v>1053627.3734091497</v>
      </c>
      <c r="J29" s="186">
        <f t="shared" si="1"/>
        <v>1058081.8568335932</v>
      </c>
      <c r="K29" s="16"/>
      <c r="L29" s="16"/>
    </row>
    <row r="30" spans="1:12">
      <c r="C30" s="16"/>
      <c r="D30" s="16"/>
      <c r="E30" s="16"/>
      <c r="F30" s="16"/>
      <c r="G30" s="16"/>
      <c r="H30" s="16"/>
      <c r="I30" s="16"/>
      <c r="J30" s="16"/>
      <c r="K30" s="16"/>
      <c r="L30" s="16"/>
    </row>
    <row r="31" spans="1:12">
      <c r="A31" s="15" t="s">
        <v>290</v>
      </c>
      <c r="B31" s="15"/>
      <c r="C31" s="16"/>
      <c r="D31" s="16"/>
      <c r="E31" s="16"/>
      <c r="F31" s="16"/>
      <c r="G31" s="16"/>
    </row>
    <row r="32" spans="1:12">
      <c r="A32" s="97" t="s">
        <v>28</v>
      </c>
      <c r="C32" s="16">
        <f>'3. Public (R)'!D85</f>
        <v>0</v>
      </c>
      <c r="D32" s="16">
        <f>'3. Public (R)'!E85</f>
        <v>36900</v>
      </c>
      <c r="E32" s="16">
        <f>'3. Public (R)'!F85</f>
        <v>308253.375</v>
      </c>
      <c r="F32" s="16">
        <f>'3. Public (R)'!G85</f>
        <v>566013.71249999991</v>
      </c>
      <c r="G32" s="16">
        <f>'3. Public (R)'!H85</f>
        <v>580164.05531249987</v>
      </c>
      <c r="H32" s="16">
        <f>'3. Public (R)'!I85</f>
        <v>693779.51614453108</v>
      </c>
      <c r="I32" s="16">
        <f>'3. Public (R)'!J85</f>
        <v>711124.00404814433</v>
      </c>
      <c r="J32" s="16">
        <f>'3. Public (R)'!K85</f>
        <v>728902.10414934787</v>
      </c>
      <c r="K32" s="16"/>
      <c r="L32" s="16"/>
    </row>
    <row r="33" spans="1:13">
      <c r="A33" s="97" t="s">
        <v>29</v>
      </c>
      <c r="C33" s="185" t="s">
        <v>289</v>
      </c>
      <c r="D33" s="185" t="s">
        <v>289</v>
      </c>
      <c r="E33" s="185" t="s">
        <v>289</v>
      </c>
      <c r="F33" s="185" t="s">
        <v>289</v>
      </c>
      <c r="G33" s="185" t="s">
        <v>289</v>
      </c>
      <c r="H33" s="16"/>
      <c r="I33" s="16"/>
      <c r="J33" s="16"/>
      <c r="K33" s="16"/>
      <c r="L33" s="16"/>
      <c r="M33" s="16"/>
    </row>
    <row r="34" spans="1:13">
      <c r="A34" s="97" t="s">
        <v>30</v>
      </c>
      <c r="C34" s="185" t="s">
        <v>289</v>
      </c>
      <c r="D34" s="185" t="s">
        <v>289</v>
      </c>
      <c r="E34" s="185" t="s">
        <v>289</v>
      </c>
      <c r="F34" s="185" t="s">
        <v>289</v>
      </c>
      <c r="G34" s="185" t="s">
        <v>289</v>
      </c>
      <c r="H34" s="16"/>
      <c r="I34" s="16"/>
      <c r="J34" s="16"/>
      <c r="K34" s="16"/>
      <c r="L34" s="16"/>
    </row>
    <row r="35" spans="1:13">
      <c r="A35" s="21" t="s">
        <v>156</v>
      </c>
      <c r="C35" s="185" t="s">
        <v>289</v>
      </c>
      <c r="D35" s="185" t="s">
        <v>289</v>
      </c>
      <c r="E35" s="185" t="s">
        <v>289</v>
      </c>
      <c r="F35" s="185" t="s">
        <v>289</v>
      </c>
      <c r="G35" s="185" t="s">
        <v>289</v>
      </c>
      <c r="H35" s="16"/>
      <c r="I35" s="16"/>
      <c r="J35" s="16"/>
      <c r="K35" s="16"/>
      <c r="L35" s="16"/>
    </row>
    <row r="36" spans="1:13">
      <c r="A36" s="97" t="s">
        <v>31</v>
      </c>
      <c r="C36" s="16"/>
      <c r="D36" s="16"/>
      <c r="E36" s="16"/>
      <c r="F36" s="16"/>
      <c r="G36" s="16"/>
    </row>
    <row r="37" spans="1:13">
      <c r="C37" s="16"/>
      <c r="D37" s="16"/>
      <c r="E37" s="16"/>
      <c r="F37" s="16"/>
      <c r="G37" s="16"/>
    </row>
    <row r="38" spans="1:13">
      <c r="A38" s="14" t="s">
        <v>34</v>
      </c>
      <c r="B38" s="14"/>
      <c r="C38" s="186">
        <f t="shared" ref="C38:J38" si="2">SUM(C32:C37)</f>
        <v>0</v>
      </c>
      <c r="D38" s="186">
        <f t="shared" si="2"/>
        <v>36900</v>
      </c>
      <c r="E38" s="186">
        <f t="shared" si="2"/>
        <v>308253.375</v>
      </c>
      <c r="F38" s="186">
        <f t="shared" si="2"/>
        <v>566013.71249999991</v>
      </c>
      <c r="G38" s="186">
        <f t="shared" si="2"/>
        <v>580164.05531249987</v>
      </c>
      <c r="H38" s="186">
        <f t="shared" si="2"/>
        <v>693779.51614453108</v>
      </c>
      <c r="I38" s="186">
        <f t="shared" si="2"/>
        <v>711124.00404814433</v>
      </c>
      <c r="J38" s="186">
        <f t="shared" si="2"/>
        <v>728902.10414934787</v>
      </c>
      <c r="K38" s="16"/>
      <c r="L38" s="16"/>
    </row>
    <row r="39" spans="1:13">
      <c r="C39" s="16"/>
      <c r="D39" s="16"/>
      <c r="E39" s="16"/>
      <c r="F39" s="16"/>
      <c r="G39" s="16"/>
    </row>
    <row r="40" spans="1:13">
      <c r="A40" s="15" t="s">
        <v>32</v>
      </c>
      <c r="B40" s="15"/>
      <c r="C40" s="13">
        <f t="shared" ref="C40:H40" si="3">SUM(C19)</f>
        <v>0</v>
      </c>
      <c r="D40" s="13">
        <f t="shared" si="3"/>
        <v>4437012.8250000002</v>
      </c>
      <c r="E40" s="13">
        <f t="shared" si="3"/>
        <v>1730382.0015624999</v>
      </c>
      <c r="F40" s="13">
        <f t="shared" si="3"/>
        <v>40383.398437499993</v>
      </c>
      <c r="G40" s="13">
        <f t="shared" si="3"/>
        <v>68988.305664062485</v>
      </c>
      <c r="H40" s="13">
        <f t="shared" si="3"/>
        <v>401124.10662042524</v>
      </c>
      <c r="I40" s="13">
        <f t="shared" ref="I40:J40" si="4">SUM(I19)</f>
        <v>1153354.5157469609</v>
      </c>
      <c r="J40" s="13">
        <f t="shared" si="4"/>
        <v>877322.76178845612</v>
      </c>
      <c r="K40" s="13"/>
      <c r="L40" s="13"/>
    </row>
    <row r="41" spans="1:13">
      <c r="A41" s="15" t="s">
        <v>33</v>
      </c>
      <c r="B41" s="15"/>
      <c r="C41" s="13">
        <f t="shared" ref="C41:H41" si="5">SUM(C29)</f>
        <v>0</v>
      </c>
      <c r="D41" s="13">
        <f t="shared" si="5"/>
        <v>3400505.4209008329</v>
      </c>
      <c r="E41" s="13">
        <f t="shared" si="5"/>
        <v>3547214.7121685101</v>
      </c>
      <c r="F41" s="13">
        <f t="shared" si="5"/>
        <v>2372671.4028387386</v>
      </c>
      <c r="G41" s="13">
        <f t="shared" si="5"/>
        <v>2042223.3690332519</v>
      </c>
      <c r="H41" s="13">
        <f t="shared" si="5"/>
        <v>1648725.6092875684</v>
      </c>
      <c r="I41" s="13">
        <f t="shared" ref="I41:J41" si="6">SUM(I29)</f>
        <v>1053627.3734091497</v>
      </c>
      <c r="J41" s="13">
        <f t="shared" si="6"/>
        <v>1058081.8568335932</v>
      </c>
      <c r="K41" s="13"/>
      <c r="L41" s="13"/>
    </row>
    <row r="42" spans="1:13">
      <c r="A42" s="15" t="s">
        <v>60</v>
      </c>
      <c r="B42" s="15"/>
      <c r="C42" s="13">
        <f t="shared" ref="C42:H42" si="7">SUM(C38)</f>
        <v>0</v>
      </c>
      <c r="D42" s="13">
        <f t="shared" si="7"/>
        <v>36900</v>
      </c>
      <c r="E42" s="13">
        <f t="shared" si="7"/>
        <v>308253.375</v>
      </c>
      <c r="F42" s="13">
        <f t="shared" si="7"/>
        <v>566013.71249999991</v>
      </c>
      <c r="G42" s="13">
        <f t="shared" si="7"/>
        <v>580164.05531249987</v>
      </c>
      <c r="H42" s="13">
        <f t="shared" si="7"/>
        <v>693779.51614453108</v>
      </c>
      <c r="I42" s="13">
        <f t="shared" ref="I42:J42" si="8">SUM(I38)</f>
        <v>711124.00404814433</v>
      </c>
      <c r="J42" s="13">
        <f t="shared" si="8"/>
        <v>728902.10414934787</v>
      </c>
      <c r="K42" s="13"/>
      <c r="L42" s="13"/>
    </row>
    <row r="43" spans="1:13">
      <c r="A43" s="15"/>
      <c r="B43" s="15"/>
      <c r="C43" s="13"/>
      <c r="D43" s="13"/>
      <c r="E43" s="13"/>
      <c r="F43" s="13"/>
      <c r="G43" s="13"/>
      <c r="H43" s="13"/>
      <c r="I43" s="13"/>
      <c r="J43" s="13"/>
      <c r="K43" s="13"/>
      <c r="L43" s="13"/>
    </row>
    <row r="44" spans="1:13">
      <c r="A44" s="15" t="s">
        <v>304</v>
      </c>
      <c r="C44" s="16">
        <f t="shared" ref="C44" si="9">C40+C41-C42</f>
        <v>0</v>
      </c>
      <c r="D44" s="191">
        <f>D41-D42</f>
        <v>3363605.4209008329</v>
      </c>
      <c r="E44" s="191">
        <f t="shared" ref="E44:J44" si="10">E41-E42</f>
        <v>3238961.3371685101</v>
      </c>
      <c r="F44" s="191">
        <f t="shared" si="10"/>
        <v>1806657.6903387387</v>
      </c>
      <c r="G44" s="191">
        <f t="shared" si="10"/>
        <v>1462059.313720752</v>
      </c>
      <c r="H44" s="191">
        <f t="shared" si="10"/>
        <v>954946.09314303729</v>
      </c>
      <c r="I44" s="191">
        <f t="shared" si="10"/>
        <v>342503.36936100537</v>
      </c>
      <c r="J44" s="191">
        <f t="shared" si="10"/>
        <v>329179.75268424535</v>
      </c>
    </row>
    <row r="45" spans="1:13">
      <c r="C45" s="16"/>
      <c r="D45" s="16"/>
      <c r="E45" s="16"/>
      <c r="F45" s="16"/>
      <c r="G45" s="16"/>
    </row>
  </sheetData>
  <mergeCells count="4">
    <mergeCell ref="A1:J1"/>
    <mergeCell ref="A2:J2"/>
    <mergeCell ref="A3:J3"/>
    <mergeCell ref="A4:J4"/>
  </mergeCells>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1"/>
  <sheetViews>
    <sheetView zoomScale="85" zoomScaleNormal="85" workbookViewId="0">
      <selection activeCell="O21" sqref="O21"/>
    </sheetView>
  </sheetViews>
  <sheetFormatPr defaultColWidth="8.85546875" defaultRowHeight="15"/>
  <cols>
    <col min="1" max="1" width="8.85546875" style="97"/>
    <col min="2" max="2" width="17" style="97" customWidth="1"/>
    <col min="3" max="3" width="7" style="97" customWidth="1"/>
    <col min="4" max="4" width="6.7109375" style="97" customWidth="1"/>
    <col min="5" max="5" width="8.7109375" style="97" customWidth="1"/>
    <col min="6" max="6" width="12.5703125" style="97" bestFit="1" customWidth="1"/>
    <col min="7" max="7" width="12.28515625" style="97" bestFit="1" customWidth="1"/>
    <col min="8" max="9" width="9.7109375" style="97" bestFit="1" customWidth="1"/>
    <col min="10" max="10" width="10.7109375" style="97" bestFit="1" customWidth="1"/>
    <col min="11" max="11" width="12.28515625" style="97" bestFit="1" customWidth="1"/>
    <col min="12" max="12" width="10.7109375" style="97" bestFit="1" customWidth="1"/>
    <col min="13" max="14" width="10.5703125" style="97" customWidth="1"/>
    <col min="15" max="15" width="6.7109375" style="97" customWidth="1"/>
    <col min="16" max="16384" width="8.85546875" style="97"/>
  </cols>
  <sheetData>
    <row r="1" spans="1:14" s="182" customFormat="1">
      <c r="A1" s="384" t="s">
        <v>278</v>
      </c>
      <c r="B1" s="384"/>
      <c r="C1" s="384"/>
      <c r="D1" s="384"/>
      <c r="E1" s="384"/>
      <c r="F1" s="384"/>
      <c r="G1" s="384"/>
      <c r="H1" s="384"/>
      <c r="I1" s="384"/>
      <c r="J1" s="384"/>
      <c r="K1" s="384"/>
      <c r="L1" s="384"/>
      <c r="M1" s="384"/>
      <c r="N1" s="384"/>
    </row>
    <row r="2" spans="1:14" s="182" customFormat="1">
      <c r="A2" s="384" t="s">
        <v>281</v>
      </c>
      <c r="B2" s="384"/>
      <c r="C2" s="384"/>
      <c r="D2" s="384"/>
      <c r="E2" s="384"/>
      <c r="F2" s="384"/>
      <c r="G2" s="384"/>
      <c r="H2" s="384"/>
      <c r="I2" s="384"/>
      <c r="J2" s="384"/>
      <c r="K2" s="384"/>
      <c r="L2" s="384"/>
      <c r="M2" s="384"/>
      <c r="N2" s="384"/>
    </row>
    <row r="3" spans="1:14" s="182" customFormat="1">
      <c r="A3" s="384" t="s">
        <v>279</v>
      </c>
      <c r="B3" s="384"/>
      <c r="C3" s="384"/>
      <c r="D3" s="384"/>
      <c r="E3" s="384"/>
      <c r="F3" s="384"/>
      <c r="G3" s="384"/>
      <c r="H3" s="384"/>
      <c r="I3" s="384"/>
      <c r="J3" s="384"/>
      <c r="K3" s="384"/>
      <c r="L3" s="384"/>
      <c r="M3" s="384"/>
      <c r="N3" s="384"/>
    </row>
    <row r="4" spans="1:14" s="182" customFormat="1">
      <c r="A4" s="384" t="s">
        <v>280</v>
      </c>
      <c r="B4" s="384"/>
      <c r="C4" s="384"/>
      <c r="D4" s="384"/>
      <c r="E4" s="384"/>
      <c r="F4" s="384"/>
      <c r="G4" s="384"/>
      <c r="H4" s="384"/>
      <c r="I4" s="384"/>
      <c r="J4" s="384"/>
      <c r="K4" s="384"/>
      <c r="L4" s="384"/>
      <c r="M4" s="384"/>
      <c r="N4" s="384"/>
    </row>
    <row r="5" spans="1:14" s="182" customFormat="1">
      <c r="A5" s="184"/>
      <c r="B5" s="184"/>
      <c r="C5" s="184"/>
      <c r="D5" s="184"/>
      <c r="E5" s="184"/>
      <c r="F5" s="184"/>
      <c r="G5" s="184"/>
      <c r="H5" s="184"/>
      <c r="I5" s="184"/>
      <c r="J5" s="184"/>
      <c r="K5" s="184"/>
      <c r="L5" s="184"/>
      <c r="M5" s="184"/>
      <c r="N5" s="184"/>
    </row>
    <row r="6" spans="1:14" s="43" customFormat="1">
      <c r="A6" s="12" t="s">
        <v>0</v>
      </c>
      <c r="B6" s="12"/>
      <c r="C6" s="12"/>
      <c r="D6" s="12">
        <v>2017</v>
      </c>
      <c r="E6" s="12">
        <f>D6+1</f>
        <v>2018</v>
      </c>
      <c r="F6" s="12">
        <f>E6+1</f>
        <v>2019</v>
      </c>
      <c r="G6" s="12">
        <f>F6+1</f>
        <v>2020</v>
      </c>
      <c r="H6" s="12">
        <f>G6+1</f>
        <v>2021</v>
      </c>
      <c r="I6" s="12">
        <f>H6+1</f>
        <v>2022</v>
      </c>
      <c r="J6" s="12">
        <f t="shared" ref="J6:N6" si="0">I6+1</f>
        <v>2023</v>
      </c>
      <c r="K6" s="12">
        <f t="shared" si="0"/>
        <v>2024</v>
      </c>
      <c r="L6" s="12">
        <f t="shared" si="0"/>
        <v>2025</v>
      </c>
      <c r="M6" s="12">
        <f t="shared" si="0"/>
        <v>2026</v>
      </c>
      <c r="N6" s="12">
        <f t="shared" si="0"/>
        <v>2027</v>
      </c>
    </row>
    <row r="8" spans="1:14">
      <c r="A8" s="97" t="s">
        <v>31</v>
      </c>
    </row>
    <row r="9" spans="1:14">
      <c r="B9" s="97" t="s">
        <v>61</v>
      </c>
      <c r="E9" s="4">
        <f>'1. E&amp;O '!D53</f>
        <v>0</v>
      </c>
      <c r="F9" s="4">
        <f>'1. E&amp;O '!E53</f>
        <v>0</v>
      </c>
      <c r="G9" s="4">
        <f>'1. E&amp;O '!F53</f>
        <v>0</v>
      </c>
      <c r="H9" s="4">
        <f>'1. E&amp;O '!G53</f>
        <v>0</v>
      </c>
      <c r="I9" s="4">
        <f>'1. E&amp;O '!H53</f>
        <v>0</v>
      </c>
      <c r="J9" s="4">
        <f>'1. E&amp;O '!I53</f>
        <v>0</v>
      </c>
      <c r="K9" s="4">
        <f>'1. E&amp;O '!J53</f>
        <v>0</v>
      </c>
      <c r="L9" s="4">
        <f>'1. E&amp;O '!K53</f>
        <v>0</v>
      </c>
      <c r="M9" s="4">
        <f>'1. E&amp;O '!L53</f>
        <v>0</v>
      </c>
      <c r="N9" s="4">
        <f>'1. E&amp;O '!M53</f>
        <v>0</v>
      </c>
    </row>
    <row r="10" spans="1:14">
      <c r="B10" s="97" t="s">
        <v>62</v>
      </c>
      <c r="E10" s="4">
        <v>0</v>
      </c>
      <c r="F10" s="4">
        <v>0</v>
      </c>
      <c r="G10" s="4">
        <v>0</v>
      </c>
      <c r="H10" s="4">
        <v>0</v>
      </c>
      <c r="I10" s="4">
        <v>0</v>
      </c>
      <c r="J10" s="4">
        <v>0</v>
      </c>
      <c r="K10" s="4">
        <v>0</v>
      </c>
      <c r="L10" s="4">
        <v>0</v>
      </c>
      <c r="M10" s="4">
        <v>0</v>
      </c>
      <c r="N10" s="4">
        <v>0</v>
      </c>
    </row>
    <row r="11" spans="1:14">
      <c r="B11" s="97" t="s">
        <v>63</v>
      </c>
      <c r="E11" s="4">
        <v>0</v>
      </c>
      <c r="F11" s="4">
        <v>0</v>
      </c>
      <c r="G11" s="4">
        <v>0</v>
      </c>
      <c r="H11" s="4">
        <v>0</v>
      </c>
      <c r="I11" s="4">
        <v>0</v>
      </c>
      <c r="J11" s="4">
        <v>0</v>
      </c>
      <c r="K11" s="4">
        <v>0</v>
      </c>
      <c r="L11" s="4">
        <v>0</v>
      </c>
      <c r="M11" s="4">
        <v>0</v>
      </c>
      <c r="N11" s="4">
        <v>0</v>
      </c>
    </row>
    <row r="12" spans="1:14">
      <c r="B12" s="97" t="s">
        <v>64</v>
      </c>
      <c r="E12" s="4">
        <f>SUM('1. E&amp;O '!D19:D20)</f>
        <v>0</v>
      </c>
      <c r="F12" s="4">
        <f>SUM('1. E&amp;O '!E19:E20)</f>
        <v>166915</v>
      </c>
      <c r="G12" s="4">
        <f>SUM('1. E&amp;O '!F19:F20)</f>
        <v>0</v>
      </c>
      <c r="H12" s="4">
        <f>SUM('1. E&amp;O '!G19:G20)</f>
        <v>0</v>
      </c>
      <c r="I12" s="4">
        <f>SUM('1. E&amp;O '!H19:H20)</f>
        <v>0</v>
      </c>
      <c r="J12" s="4">
        <f>SUM('1. E&amp;O '!I19:I20)</f>
        <v>0</v>
      </c>
      <c r="K12" s="4">
        <f>SUM('1. E&amp;O '!J19:J20)</f>
        <v>0</v>
      </c>
      <c r="L12" s="4">
        <f>SUM('1. E&amp;O '!K19:K20)</f>
        <v>0</v>
      </c>
      <c r="M12" s="4">
        <f>SUM('1. E&amp;O '!L19:L20)</f>
        <v>0</v>
      </c>
      <c r="N12" s="4">
        <f>SUM('1. E&amp;O '!M19:M20)</f>
        <v>0</v>
      </c>
    </row>
    <row r="13" spans="1:14" s="85" customFormat="1">
      <c r="B13" s="85" t="s">
        <v>70</v>
      </c>
      <c r="E13" s="86">
        <f t="shared" ref="E13:N13" si="1">SUM(E9:E12)</f>
        <v>0</v>
      </c>
      <c r="F13" s="87">
        <f t="shared" si="1"/>
        <v>166915</v>
      </c>
      <c r="G13" s="87">
        <f t="shared" si="1"/>
        <v>0</v>
      </c>
      <c r="H13" s="87">
        <f t="shared" si="1"/>
        <v>0</v>
      </c>
      <c r="I13" s="87">
        <f t="shared" si="1"/>
        <v>0</v>
      </c>
      <c r="J13" s="87">
        <f t="shared" si="1"/>
        <v>0</v>
      </c>
      <c r="K13" s="87">
        <f t="shared" si="1"/>
        <v>0</v>
      </c>
      <c r="L13" s="87">
        <f t="shared" si="1"/>
        <v>0</v>
      </c>
      <c r="M13" s="87">
        <f t="shared" si="1"/>
        <v>0</v>
      </c>
      <c r="N13" s="87">
        <f t="shared" si="1"/>
        <v>0</v>
      </c>
    </row>
    <row r="14" spans="1:14">
      <c r="B14" s="179" t="s">
        <v>272</v>
      </c>
      <c r="E14" s="180">
        <f>'1. E&amp;O '!D56-'Capex Summary'!E13</f>
        <v>0</v>
      </c>
      <c r="F14" s="180">
        <f>'1. E&amp;O '!E56-'Capex Summary'!F13</f>
        <v>0</v>
      </c>
      <c r="G14" s="180">
        <f>'1. E&amp;O '!F56-'Capex Summary'!G13</f>
        <v>0</v>
      </c>
      <c r="H14" s="180">
        <f>'1. E&amp;O '!G56-'Capex Summary'!H13</f>
        <v>0</v>
      </c>
      <c r="I14" s="180">
        <f>'1. E&amp;O '!H56-'Capex Summary'!I13</f>
        <v>0</v>
      </c>
      <c r="J14" s="180">
        <f>'1. E&amp;O '!I56-'Capex Summary'!J13</f>
        <v>0</v>
      </c>
      <c r="K14" s="180">
        <f>'1. E&amp;O '!J56-'Capex Summary'!K13</f>
        <v>0</v>
      </c>
      <c r="L14" s="180">
        <f>'1. E&amp;O '!K56-'Capex Summary'!L13</f>
        <v>0</v>
      </c>
      <c r="M14" s="180">
        <f>'1. E&amp;O '!L56-'Capex Summary'!M13</f>
        <v>0</v>
      </c>
      <c r="N14" s="180">
        <f>'1. E&amp;O '!M56-'Capex Summary'!N13</f>
        <v>0</v>
      </c>
    </row>
    <row r="15" spans="1:14">
      <c r="A15" s="97" t="s">
        <v>65</v>
      </c>
      <c r="E15" s="4"/>
      <c r="F15" s="4"/>
      <c r="G15" s="4"/>
      <c r="H15" s="4"/>
      <c r="I15" s="4"/>
      <c r="J15" s="4"/>
      <c r="K15" s="4"/>
      <c r="L15" s="4"/>
      <c r="M15" s="4"/>
      <c r="N15" s="4"/>
    </row>
    <row r="16" spans="1:14">
      <c r="B16" s="97" t="s">
        <v>61</v>
      </c>
      <c r="E16" s="4">
        <f>'2. Residential (R)'!D54</f>
        <v>0</v>
      </c>
      <c r="F16" s="4">
        <f>'2. Residential (R)'!E54</f>
        <v>57188.85</v>
      </c>
      <c r="G16" s="4">
        <f>'2. Residential (R)'!F54</f>
        <v>26265.624999999996</v>
      </c>
      <c r="H16" s="4">
        <f>'2. Residential (R)'!G54</f>
        <v>0</v>
      </c>
      <c r="I16" s="4">
        <f>'2. Residential (R)'!H54</f>
        <v>27595.322265624993</v>
      </c>
      <c r="J16" s="4">
        <f>'2. Residential (R)'!I54</f>
        <v>0</v>
      </c>
      <c r="K16" s="4">
        <f>'2. Residential (R)'!J54</f>
        <v>0</v>
      </c>
      <c r="L16" s="4">
        <f>'2. Residential (R)'!K54</f>
        <v>0</v>
      </c>
      <c r="M16" s="4">
        <f>'2. Residential (R)'!L54</f>
        <v>0</v>
      </c>
      <c r="N16" s="4">
        <f>'2. Residential (R)'!M54</f>
        <v>0</v>
      </c>
    </row>
    <row r="17" spans="1:14">
      <c r="B17" s="97" t="s">
        <v>62</v>
      </c>
      <c r="E17" s="4">
        <f>'2. Residential (R)'!D36</f>
        <v>0</v>
      </c>
      <c r="F17" s="4">
        <f>'2. Residential (R)'!E36</f>
        <v>0</v>
      </c>
      <c r="G17" s="4">
        <f>'2. Residential (R)'!F36</f>
        <v>0</v>
      </c>
      <c r="H17" s="4" t="str">
        <f>'2. Residential (R)'!G36</f>
        <v>REDACTED</v>
      </c>
      <c r="I17" s="4">
        <f>'2. Residential (R)'!H36</f>
        <v>0</v>
      </c>
      <c r="J17" s="4" t="str">
        <f>'2. Residential (R)'!J36</f>
        <v>REDACTED</v>
      </c>
      <c r="K17" s="4">
        <f>'2. Residential (R)'!K36</f>
        <v>0</v>
      </c>
      <c r="L17" s="4">
        <f>'2. Residential (R)'!L36</f>
        <v>0</v>
      </c>
      <c r="M17" s="4">
        <f>'2. Residential (R)'!M36</f>
        <v>0</v>
      </c>
      <c r="N17" s="4">
        <f>'2. Residential (R)'!N36</f>
        <v>0</v>
      </c>
    </row>
    <row r="18" spans="1:14">
      <c r="B18" s="97" t="s">
        <v>63</v>
      </c>
      <c r="E18" s="4">
        <f>SUM('2. Residential (R)'!D31:D32)</f>
        <v>0</v>
      </c>
      <c r="F18" s="4">
        <f>SUM('2. Residential (R)'!E31:E32)</f>
        <v>0</v>
      </c>
      <c r="G18" s="4">
        <f>SUM('2. Residential (R)'!F31:F32)</f>
        <v>0</v>
      </c>
      <c r="H18" s="4">
        <f>SUM('2. Residential (R)'!G31:G32)</f>
        <v>0</v>
      </c>
      <c r="I18" s="4">
        <f>SUM('2. Residential (R)'!H31:H32)</f>
        <v>0</v>
      </c>
      <c r="J18" s="4">
        <f>SUM('2. Residential (R)'!I31:I32)</f>
        <v>0</v>
      </c>
      <c r="K18" s="4">
        <f>SUM('2. Residential (R)'!J31:J32)</f>
        <v>0</v>
      </c>
      <c r="L18" s="4">
        <f>SUM('2. Residential (R)'!K31:K32)</f>
        <v>0</v>
      </c>
      <c r="M18" s="4">
        <f>SUM('2. Residential (R)'!L31:L32)</f>
        <v>0</v>
      </c>
      <c r="N18" s="4">
        <f>SUM('2. Residential (R)'!M31:M32)</f>
        <v>0</v>
      </c>
    </row>
    <row r="19" spans="1:14">
      <c r="B19" s="97" t="s">
        <v>64</v>
      </c>
      <c r="E19" s="4">
        <f>SUM('2. Residential (R)'!D41)</f>
        <v>0</v>
      </c>
      <c r="F19" s="4">
        <f>SUM('2. Residential (R)'!E41)</f>
        <v>926398</v>
      </c>
      <c r="G19" s="4">
        <f>SUM('2. Residential (R)'!F41)</f>
        <v>0</v>
      </c>
      <c r="H19" s="4">
        <f>SUM('2. Residential (R)'!G41)</f>
        <v>0</v>
      </c>
      <c r="I19" s="4">
        <f>SUM('2. Residential (R)'!H41)</f>
        <v>0</v>
      </c>
      <c r="J19" s="4">
        <f>SUM('2. Residential (R)'!I41)</f>
        <v>0</v>
      </c>
      <c r="K19" s="4">
        <f>SUM('2. Residential (R)'!J41)</f>
        <v>0</v>
      </c>
      <c r="L19" s="4">
        <f>SUM('2. Residential (R)'!K41)</f>
        <v>0</v>
      </c>
      <c r="M19" s="4">
        <f>SUM('2. Residential (R)'!L41)</f>
        <v>0</v>
      </c>
      <c r="N19" s="4">
        <f>SUM('2. Residential (R)'!M41)</f>
        <v>0</v>
      </c>
    </row>
    <row r="20" spans="1:14" s="85" customFormat="1">
      <c r="B20" s="85" t="s">
        <v>70</v>
      </c>
      <c r="E20" s="86">
        <f>SUM(E16:E19)</f>
        <v>0</v>
      </c>
      <c r="F20" s="87">
        <f t="shared" ref="F20:N20" si="2">SUM(F16:F19)</f>
        <v>983586.85</v>
      </c>
      <c r="G20" s="87">
        <f t="shared" si="2"/>
        <v>26265.624999999996</v>
      </c>
      <c r="H20" s="87">
        <f t="shared" si="2"/>
        <v>0</v>
      </c>
      <c r="I20" s="87">
        <f t="shared" si="2"/>
        <v>27595.322265624993</v>
      </c>
      <c r="J20" s="87">
        <f t="shared" si="2"/>
        <v>0</v>
      </c>
      <c r="K20" s="87">
        <f t="shared" si="2"/>
        <v>0</v>
      </c>
      <c r="L20" s="87">
        <f t="shared" si="2"/>
        <v>0</v>
      </c>
      <c r="M20" s="87">
        <f t="shared" si="2"/>
        <v>0</v>
      </c>
      <c r="N20" s="87">
        <f t="shared" si="2"/>
        <v>0</v>
      </c>
    </row>
    <row r="21" spans="1:14">
      <c r="B21" s="179" t="s">
        <v>272</v>
      </c>
      <c r="E21" s="180">
        <f>'2. Residential (R)'!D57-E20</f>
        <v>0</v>
      </c>
      <c r="F21" s="180">
        <f>'2. Residential (R)'!E57-F20</f>
        <v>820000.00000000012</v>
      </c>
      <c r="G21" s="180">
        <f>'2. Residential (R)'!F57-G20</f>
        <v>353797.96875</v>
      </c>
      <c r="H21" s="180">
        <f>'2. Residential (R)'!G57-H20</f>
        <v>40383.398437499993</v>
      </c>
      <c r="I21" s="180">
        <f>'2. Residential (R)'!H57-I20</f>
        <v>41392.983398437493</v>
      </c>
      <c r="J21" s="180">
        <f>'2. Residential (R)'!I57-J20</f>
        <v>401124.10662042524</v>
      </c>
      <c r="K21" s="180">
        <f>'2. Residential (R)'!J57-K20</f>
        <v>590120.41485641559</v>
      </c>
      <c r="L21" s="180">
        <f>'2. Residential (R)'!K57-L20</f>
        <v>188033.61038010137</v>
      </c>
      <c r="M21" s="180">
        <f>'2. Residential (R)'!L57-M20</f>
        <v>0</v>
      </c>
      <c r="N21" s="180">
        <f>'2. Residential (R)'!M57-N20</f>
        <v>0</v>
      </c>
    </row>
    <row r="22" spans="1:14">
      <c r="A22" s="97" t="s">
        <v>66</v>
      </c>
      <c r="E22" s="4"/>
      <c r="F22" s="4"/>
      <c r="G22" s="4"/>
      <c r="H22" s="4"/>
      <c r="I22" s="4"/>
      <c r="J22" s="4"/>
      <c r="K22" s="4"/>
      <c r="L22" s="4"/>
      <c r="M22" s="4"/>
      <c r="N22" s="4"/>
    </row>
    <row r="23" spans="1:14">
      <c r="B23" s="97" t="s">
        <v>61</v>
      </c>
      <c r="E23" s="4">
        <f>SUM('3. Public (R)'!D36,'3. Public (R)'!D39,'3. Public (R)'!D42,'3. Public (R)'!D71)</f>
        <v>0</v>
      </c>
      <c r="F23" s="4">
        <f>SUM('3. Public (R)'!E36,'3. Public (R)'!E39,'3. Public (R)'!E42,'3. Public (R)'!E71)</f>
        <v>327281.47499999998</v>
      </c>
      <c r="G23" s="4">
        <f>SUM('3. Public (R)'!F36,'3. Public (R)'!F39,'3. Public (R)'!F42,'3. Public (R)'!F71)</f>
        <v>257931.06406249999</v>
      </c>
      <c r="H23" s="4">
        <f>SUM('3. Public (R)'!G36,'3. Public (R)'!G39,'3. Public (R)'!G42,'3. Public (R)'!G71)</f>
        <v>0</v>
      </c>
      <c r="I23" s="4">
        <f>SUM('3. Public (R)'!H36,'3. Public (R)'!H39,'3. Public (R)'!H42,'3. Public (R)'!H71)</f>
        <v>0</v>
      </c>
      <c r="J23" s="4">
        <f>SUM('3. Public (R)'!I36,'3. Public (R)'!I39,'3. Public (R)'!I42,'3. Public (R)'!I71)</f>
        <v>0</v>
      </c>
      <c r="K23" s="4">
        <f>SUM('3. Public (R)'!J36,'3. Public (R)'!J39,'3. Public (R)'!J42,'3. Public (R)'!J71)</f>
        <v>0</v>
      </c>
      <c r="L23" s="4">
        <f>SUM('3. Public (R)'!K36,'3. Public (R)'!K39,'3. Public (R)'!K42,'3. Public (R)'!K71)</f>
        <v>0</v>
      </c>
      <c r="M23" s="4">
        <f>SUM('3. Public (R)'!L36,'3. Public (R)'!L39,'3. Public (R)'!L42,'3. Public (R)'!L71)</f>
        <v>0</v>
      </c>
      <c r="N23" s="4">
        <f>SUM('3. Public (R)'!M36,'3. Public (R)'!M39,'3. Public (R)'!M42,'3. Public (R)'!M71)</f>
        <v>0</v>
      </c>
    </row>
    <row r="24" spans="1:14">
      <c r="B24" s="97" t="s">
        <v>62</v>
      </c>
      <c r="E24" s="4">
        <f>SUM('3. Public (R)'!D46,'3. Public (R)'!D47)</f>
        <v>0</v>
      </c>
      <c r="F24" s="4">
        <f>SUM('3. Public (R)'!E46,'3. Public (R)'!E47)</f>
        <v>106241.24999999999</v>
      </c>
      <c r="G24" s="4">
        <f>SUM('3. Public (R)'!F46,'3. Public (R)'!F47)</f>
        <v>181495.46875</v>
      </c>
      <c r="H24" s="4">
        <f>SUM('3. Public (R)'!G46,'3. Public (R)'!G47)</f>
        <v>0</v>
      </c>
      <c r="I24" s="4">
        <f>SUM('3. Public (R)'!H46,'3. Public (R)'!H47)</f>
        <v>0</v>
      </c>
      <c r="J24" s="4">
        <f>SUM('3. Public (R)'!I46,'3. Public (R)'!I47)</f>
        <v>0</v>
      </c>
      <c r="K24" s="4">
        <f>SUM('3. Public (R)'!J46,'3. Public (R)'!J47)</f>
        <v>60101.111398883033</v>
      </c>
      <c r="L24" s="4">
        <f>SUM('3. Public (R)'!K46,'3. Public (R)'!K47)</f>
        <v>102672.73197309185</v>
      </c>
      <c r="M24" s="4">
        <f>SUM('3. Public (R)'!L46,'3. Public (R)'!L47)</f>
        <v>0</v>
      </c>
      <c r="N24" s="4">
        <f>SUM('3. Public (R)'!M46,'3. Public (R)'!M47)</f>
        <v>0</v>
      </c>
    </row>
    <row r="25" spans="1:14">
      <c r="B25" s="97" t="s">
        <v>63</v>
      </c>
      <c r="E25" s="4">
        <f>SUM('3. Public (R)'!D37,'3. Public (R)'!D38,'3. Public (R)'!D40,'3. Public (R)'!D41)</f>
        <v>0</v>
      </c>
      <c r="F25" s="4">
        <f>SUM('3. Public (R)'!E37,'3. Public (R)'!E38,'3. Public (R)'!E40,'3. Public (R)'!E41)</f>
        <v>264142.49999999994</v>
      </c>
      <c r="G25" s="4">
        <f>SUM('3. Public (R)'!F37,'3. Public (R)'!F38,'3. Public (R)'!F40,'3. Public (R)'!F41)</f>
        <v>451243.43749999994</v>
      </c>
      <c r="H25" s="4">
        <f>SUM('3. Public (R)'!G37,'3. Public (R)'!G38,'3. Public (R)'!G40,'3. Public (R)'!G41)</f>
        <v>0</v>
      </c>
      <c r="I25" s="4">
        <f>SUM('3. Public (R)'!H37,'3. Public (R)'!H38,'3. Public (R)'!H40,'3. Public (R)'!H41)</f>
        <v>0</v>
      </c>
      <c r="J25" s="4">
        <f>SUM('3. Public (R)'!I37,'3. Public (R)'!I38,'3. Public (R)'!I40,'3. Public (R)'!I41)</f>
        <v>0</v>
      </c>
      <c r="K25" s="4">
        <f>SUM('3. Public (R)'!J37,'3. Public (R)'!J38,'3. Public (R)'!J40,'3. Public (R)'!J41)</f>
        <v>166821.89820992423</v>
      </c>
      <c r="L25" s="4">
        <f>SUM('3. Public (R)'!K37,'3. Public (R)'!K38,'3. Public (R)'!K40,'3. Public (R)'!K41)</f>
        <v>284987.40944195399</v>
      </c>
      <c r="M25" s="4">
        <f>SUM('3. Public (R)'!L37,'3. Public (R)'!L38,'3. Public (R)'!L40,'3. Public (R)'!L41)</f>
        <v>0</v>
      </c>
      <c r="N25" s="4">
        <f>SUM('3. Public (R)'!M37,'3. Public (R)'!M38,'3. Public (R)'!M40,'3. Public (R)'!M41)</f>
        <v>0</v>
      </c>
    </row>
    <row r="26" spans="1:14">
      <c r="B26" s="97" t="s">
        <v>64</v>
      </c>
      <c r="E26" s="4">
        <f>SUM('3. Public (R)'!D53)</f>
        <v>0</v>
      </c>
      <c r="F26" s="4">
        <f>SUM('3. Public (R)'!E53)</f>
        <v>587141</v>
      </c>
      <c r="G26" s="4">
        <f>SUM('3. Public (R)'!F53)</f>
        <v>0</v>
      </c>
      <c r="H26" s="4">
        <f>SUM('3. Public (R)'!G53)</f>
        <v>0</v>
      </c>
      <c r="I26" s="4">
        <f>SUM('3. Public (R)'!H53)</f>
        <v>0</v>
      </c>
      <c r="J26" s="4">
        <f>SUM('3. Public (R)'!I53)</f>
        <v>0</v>
      </c>
      <c r="K26" s="4">
        <f>SUM('3. Public (R)'!J53)</f>
        <v>0</v>
      </c>
      <c r="L26" s="4">
        <f>SUM('3. Public (R)'!K53)</f>
        <v>0</v>
      </c>
      <c r="M26" s="4">
        <f>SUM('3. Public (R)'!L53)</f>
        <v>0</v>
      </c>
      <c r="N26" s="4">
        <f>SUM('3. Public (R)'!M53)</f>
        <v>0</v>
      </c>
    </row>
    <row r="27" spans="1:14" s="85" customFormat="1">
      <c r="B27" s="85" t="s">
        <v>70</v>
      </c>
      <c r="E27" s="86">
        <f>SUM(E23:E26)</f>
        <v>0</v>
      </c>
      <c r="F27" s="87">
        <f t="shared" ref="F27:N27" si="3">SUM(F23:F26)</f>
        <v>1284806.2249999999</v>
      </c>
      <c r="G27" s="87">
        <f t="shared" si="3"/>
        <v>890669.97031249991</v>
      </c>
      <c r="H27" s="87">
        <f t="shared" si="3"/>
        <v>0</v>
      </c>
      <c r="I27" s="87">
        <f t="shared" si="3"/>
        <v>0</v>
      </c>
      <c r="J27" s="87">
        <f t="shared" si="3"/>
        <v>0</v>
      </c>
      <c r="K27" s="87">
        <f t="shared" si="3"/>
        <v>226923.00960880728</v>
      </c>
      <c r="L27" s="87">
        <f t="shared" si="3"/>
        <v>387660.14141504583</v>
      </c>
      <c r="M27" s="87">
        <f t="shared" si="3"/>
        <v>0</v>
      </c>
      <c r="N27" s="87">
        <f t="shared" si="3"/>
        <v>0</v>
      </c>
    </row>
    <row r="28" spans="1:14">
      <c r="B28" s="179" t="s">
        <v>272</v>
      </c>
      <c r="E28" s="180">
        <f>'3. Public (R)'!D74-E27</f>
        <v>0</v>
      </c>
      <c r="F28" s="180">
        <f>'3. Public (R)'!E74-F27</f>
        <v>0</v>
      </c>
      <c r="G28" s="180">
        <f>'3. Public (R)'!F74-G27</f>
        <v>0</v>
      </c>
      <c r="H28" s="180">
        <f>'3. Public (R)'!G74-H27</f>
        <v>0</v>
      </c>
      <c r="I28" s="180">
        <f>'3. Public (R)'!H74-I27</f>
        <v>0</v>
      </c>
      <c r="J28" s="180">
        <f>'3. Public (R)'!I74-J27</f>
        <v>0</v>
      </c>
      <c r="K28" s="180">
        <f>'3. Public (R)'!J74-K27</f>
        <v>0</v>
      </c>
      <c r="L28" s="180">
        <f>'3. Public (R)'!K74-L27</f>
        <v>0</v>
      </c>
      <c r="M28" s="180">
        <f>'3. Public (R)'!L74-M27</f>
        <v>0</v>
      </c>
      <c r="N28" s="180">
        <f>'3. Public (R)'!M74-N27</f>
        <v>0</v>
      </c>
    </row>
    <row r="29" spans="1:14">
      <c r="A29" s="97" t="s">
        <v>67</v>
      </c>
      <c r="E29" s="4"/>
      <c r="F29" s="4"/>
      <c r="G29" s="4"/>
      <c r="H29" s="4"/>
      <c r="I29" s="4"/>
      <c r="J29" s="4"/>
      <c r="K29" s="4"/>
      <c r="L29" s="4"/>
      <c r="M29" s="4"/>
      <c r="N29" s="4"/>
    </row>
    <row r="30" spans="1:14">
      <c r="B30" s="97" t="s">
        <v>61</v>
      </c>
      <c r="E30" s="4">
        <f>SUM('4. Workplace (R)'!D35,'4. Workplace (R)'!D60)</f>
        <v>0</v>
      </c>
      <c r="F30" s="4">
        <f>SUM('4. Workplace (R)'!E35,'4. Workplace (R)'!E60)</f>
        <v>73282.374999999985</v>
      </c>
      <c r="G30" s="4">
        <f>SUM('4. Workplace (R)'!F35,'4. Workplace (R)'!F60)</f>
        <v>0</v>
      </c>
      <c r="H30" s="4">
        <f>SUM('4. Workplace (R)'!G35,'4. Workplace (R)'!G60)</f>
        <v>0</v>
      </c>
      <c r="I30" s="4">
        <f>SUM('4. Workplace (R)'!H35,'4. Workplace (R)'!H60)</f>
        <v>0</v>
      </c>
      <c r="J30" s="4">
        <f>SUM('4. Workplace (R)'!I35,'4. Workplace (R)'!I60)</f>
        <v>0</v>
      </c>
      <c r="K30" s="4">
        <f>SUM('4. Workplace (R)'!J35,'4. Workplace (R)'!J60)</f>
        <v>0</v>
      </c>
      <c r="L30" s="4">
        <f>SUM('4. Workplace (R)'!K35,'4. Workplace (R)'!K60)</f>
        <v>0</v>
      </c>
      <c r="M30" s="4">
        <f>SUM('4. Workplace (R)'!L35,'4. Workplace (R)'!L60)</f>
        <v>0</v>
      </c>
      <c r="N30" s="4">
        <f>SUM('4. Workplace (R)'!M35,'4. Workplace (R)'!M60)</f>
        <v>0</v>
      </c>
    </row>
    <row r="31" spans="1:14">
      <c r="B31" s="97" t="s">
        <v>62</v>
      </c>
      <c r="E31" s="4">
        <f>'4. Workplace (R)'!D41</f>
        <v>0</v>
      </c>
      <c r="F31" s="4">
        <f>'4. Workplace (R)'!E41</f>
        <v>0</v>
      </c>
      <c r="G31" s="4">
        <f>'4. Workplace (R)'!F41</f>
        <v>0</v>
      </c>
      <c r="H31" s="4" t="str">
        <f>'4. Workplace (R)'!G41</f>
        <v>REDACTED</v>
      </c>
      <c r="I31" s="4">
        <f>'4. Workplace (R)'!H41</f>
        <v>0</v>
      </c>
      <c r="J31" s="4">
        <f>'4. Workplace (R)'!I41</f>
        <v>0</v>
      </c>
      <c r="K31" s="4">
        <f>'4. Workplace (R)'!J41</f>
        <v>0</v>
      </c>
      <c r="L31" s="4">
        <f>'4. Workplace (R)'!K41</f>
        <v>0</v>
      </c>
      <c r="M31" s="4">
        <f>'4. Workplace (R)'!L41</f>
        <v>0</v>
      </c>
      <c r="N31" s="4">
        <f>'4. Workplace (R)'!M41</f>
        <v>0</v>
      </c>
    </row>
    <row r="32" spans="1:14">
      <c r="B32" s="97" t="s">
        <v>63</v>
      </c>
      <c r="E32" s="4">
        <f>SUM('4. Workplace (R)'!D36,'4. Workplace (R)'!D37)</f>
        <v>0</v>
      </c>
      <c r="F32" s="4">
        <f>SUM('4. Workplace (R)'!E36,'4. Workplace (R)'!E37)</f>
        <v>0</v>
      </c>
      <c r="G32" s="4">
        <f>SUM('4. Workplace (R)'!F36,'4. Workplace (R)'!F37)</f>
        <v>0</v>
      </c>
      <c r="H32" s="4">
        <f>SUM('4. Workplace (R)'!G36,'4. Workplace (R)'!G37)</f>
        <v>0</v>
      </c>
      <c r="I32" s="4">
        <f>SUM('4. Workplace (R)'!H36,'4. Workplace (R)'!H37)</f>
        <v>0</v>
      </c>
      <c r="J32" s="4">
        <f>SUM('4. Workplace (R)'!I36,'4. Workplace (R)'!I37)</f>
        <v>0</v>
      </c>
      <c r="K32" s="4">
        <f>SUM('4. Workplace (R)'!J36,'4. Workplace (R)'!J37)</f>
        <v>0</v>
      </c>
      <c r="L32" s="4">
        <f>SUM('4. Workplace (R)'!K36,'4. Workplace (R)'!K37)</f>
        <v>0</v>
      </c>
      <c r="M32" s="4">
        <f>SUM('4. Workplace (R)'!L36,'4. Workplace (R)'!L37)</f>
        <v>0</v>
      </c>
      <c r="N32" s="4">
        <f>SUM('4. Workplace (R)'!M36,'4. Workplace (R)'!M37)</f>
        <v>0</v>
      </c>
    </row>
    <row r="33" spans="1:14">
      <c r="B33" s="97" t="s">
        <v>64</v>
      </c>
      <c r="E33" s="4">
        <f>SUM('4. Workplace (R)'!D48)</f>
        <v>0</v>
      </c>
      <c r="F33" s="4">
        <f>SUM('4. Workplace (R)'!E48)</f>
        <v>261320</v>
      </c>
      <c r="G33" s="4">
        <f>SUM('4. Workplace (R)'!F48)</f>
        <v>0</v>
      </c>
      <c r="H33" s="4">
        <f>SUM('4. Workplace (R)'!G48)</f>
        <v>0</v>
      </c>
      <c r="I33" s="4">
        <f>SUM('4. Workplace (R)'!H48)</f>
        <v>0</v>
      </c>
      <c r="J33" s="4">
        <f>SUM('4. Workplace (R)'!I48)</f>
        <v>0</v>
      </c>
      <c r="K33" s="4">
        <f>SUM('4. Workplace (R)'!J48)</f>
        <v>0</v>
      </c>
      <c r="L33" s="4">
        <f>SUM('4. Workplace (R)'!K48)</f>
        <v>0</v>
      </c>
      <c r="M33" s="4">
        <f>SUM('4. Workplace (R)'!L48)</f>
        <v>0</v>
      </c>
      <c r="N33" s="4">
        <f>SUM('4. Workplace (R)'!M48)</f>
        <v>0</v>
      </c>
    </row>
    <row r="34" spans="1:14" s="85" customFormat="1">
      <c r="B34" s="85" t="s">
        <v>70</v>
      </c>
      <c r="E34" s="86">
        <f>SUM(E30:E33)</f>
        <v>0</v>
      </c>
      <c r="F34" s="87">
        <f t="shared" ref="F34:N34" si="4">SUM(F30:F33)</f>
        <v>334602.375</v>
      </c>
      <c r="G34" s="87">
        <f t="shared" si="4"/>
        <v>0</v>
      </c>
      <c r="H34" s="87">
        <f t="shared" si="4"/>
        <v>0</v>
      </c>
      <c r="I34" s="87">
        <f t="shared" si="4"/>
        <v>0</v>
      </c>
      <c r="J34" s="87">
        <f t="shared" si="4"/>
        <v>0</v>
      </c>
      <c r="K34" s="87">
        <f t="shared" si="4"/>
        <v>0</v>
      </c>
      <c r="L34" s="87">
        <f t="shared" si="4"/>
        <v>0</v>
      </c>
      <c r="M34" s="87">
        <f t="shared" si="4"/>
        <v>0</v>
      </c>
      <c r="N34" s="87">
        <f t="shared" si="4"/>
        <v>0</v>
      </c>
    </row>
    <row r="35" spans="1:14">
      <c r="B35" s="179" t="s">
        <v>272</v>
      </c>
      <c r="E35" s="180">
        <f>'4. Workplace (R)'!D63-'Capex Summary'!E34</f>
        <v>0</v>
      </c>
      <c r="F35" s="180">
        <f>'4. Workplace (R)'!E63-'Capex Summary'!F34</f>
        <v>320312.5</v>
      </c>
      <c r="G35" s="180">
        <f>'4. Workplace (R)'!F63-'Capex Summary'!G34</f>
        <v>328320.3125</v>
      </c>
      <c r="H35" s="180">
        <f>'4. Workplace (R)'!G63-'Capex Summary'!H34</f>
        <v>0</v>
      </c>
      <c r="I35" s="180">
        <f>'4. Workplace (R)'!H63-'Capex Summary'!I34</f>
        <v>0</v>
      </c>
      <c r="J35" s="180">
        <f>'4. Workplace (R)'!I63-'Capex Summary'!J34</f>
        <v>0</v>
      </c>
      <c r="K35" s="180">
        <f>'4. Workplace (R)'!J63-'Capex Summary'!K34</f>
        <v>210194.43205108633</v>
      </c>
      <c r="L35" s="180">
        <f>'4. Workplace (R)'!K63-'Capex Summary'!L34</f>
        <v>215449.29285236352</v>
      </c>
      <c r="M35" s="180">
        <f>'4. Workplace (R)'!L63-'Capex Summary'!M34</f>
        <v>0</v>
      </c>
      <c r="N35" s="180">
        <f>'4. Workplace (R)'!M63-'Capex Summary'!N34</f>
        <v>0</v>
      </c>
    </row>
    <row r="36" spans="1:14">
      <c r="A36" s="97" t="s">
        <v>68</v>
      </c>
      <c r="E36" s="4"/>
      <c r="F36" s="4"/>
      <c r="G36" s="4"/>
      <c r="H36" s="4"/>
      <c r="I36" s="4"/>
      <c r="J36" s="4"/>
      <c r="K36" s="4"/>
      <c r="L36" s="4"/>
      <c r="M36" s="4"/>
      <c r="N36" s="4"/>
    </row>
    <row r="37" spans="1:14">
      <c r="B37" s="97" t="s">
        <v>61</v>
      </c>
      <c r="E37" s="4">
        <f>SUM('5. Multi-Family (R)'!D35,'5. Multi-Family (R)'!D58)</f>
        <v>0</v>
      </c>
      <c r="F37" s="4">
        <f>SUM('5. Multi-Family (R)'!E35,'5. Multi-Family (R)'!E58)</f>
        <v>119407.37499999997</v>
      </c>
      <c r="G37" s="4">
        <f>SUM('5. Multi-Family (R)'!F35,'5. Multi-Family (R)'!F58)</f>
        <v>31518.749999999996</v>
      </c>
      <c r="H37" s="4">
        <f>SUM('5. Multi-Family (R)'!G35,'5. Multi-Family (R)'!G58)</f>
        <v>0</v>
      </c>
      <c r="I37" s="4">
        <f>SUM('5. Multi-Family (R)'!H35,'5. Multi-Family (R)'!H58)</f>
        <v>0</v>
      </c>
      <c r="J37" s="4">
        <f>SUM('5. Multi-Family (R)'!I35,'5. Multi-Family (R)'!I58)</f>
        <v>0</v>
      </c>
      <c r="K37" s="4">
        <f>SUM('5. Multi-Family (R)'!J35,'5. Multi-Family (R)'!J58)</f>
        <v>0</v>
      </c>
      <c r="L37" s="4">
        <f>SUM('5. Multi-Family (R)'!K35,'5. Multi-Family (R)'!K58)</f>
        <v>0</v>
      </c>
      <c r="M37" s="4">
        <f>SUM('5. Multi-Family (R)'!L35,'5. Multi-Family (R)'!L58)</f>
        <v>0</v>
      </c>
      <c r="N37" s="4">
        <f>SUM('5. Multi-Family (R)'!M35,'5. Multi-Family (R)'!M58)</f>
        <v>0</v>
      </c>
    </row>
    <row r="38" spans="1:14">
      <c r="B38" s="97" t="s">
        <v>62</v>
      </c>
      <c r="E38" s="4">
        <f>SUM('5. Multi-Family (R)'!D41)</f>
        <v>0</v>
      </c>
      <c r="F38" s="4">
        <f>SUM('5. Multi-Family (R)'!E41)</f>
        <v>69187.5</v>
      </c>
      <c r="G38" s="4">
        <f>SUM('5. Multi-Family (R)'!F41)</f>
        <v>47278.125</v>
      </c>
      <c r="H38" s="4">
        <f>SUM('5. Multi-Family (R)'!G41)</f>
        <v>0</v>
      </c>
      <c r="I38" s="4">
        <f>SUM('5. Multi-Family (R)'!H41)</f>
        <v>0</v>
      </c>
      <c r="J38" s="4">
        <f>SUM('5. Multi-Family (R)'!I41)</f>
        <v>0</v>
      </c>
      <c r="K38" s="4">
        <f>SUM('5. Multi-Family (R)'!J41)</f>
        <v>39139.652864685042</v>
      </c>
      <c r="L38" s="4">
        <f>SUM('5. Multi-Family (R)'!K41)</f>
        <v>26745.429457534781</v>
      </c>
      <c r="M38" s="4">
        <f>SUM('5. Multi-Family (R)'!L41)</f>
        <v>0</v>
      </c>
      <c r="N38" s="4">
        <f>SUM('5. Multi-Family (R)'!M41)</f>
        <v>0</v>
      </c>
    </row>
    <row r="39" spans="1:14">
      <c r="B39" s="97" t="s">
        <v>63</v>
      </c>
      <c r="E39" s="4">
        <f>SUM('5. Multi-Family (R)'!D36:D37)</f>
        <v>0</v>
      </c>
      <c r="F39" s="4">
        <f>SUM('5. Multi-Family (R)'!E36:E37)</f>
        <v>0</v>
      </c>
      <c r="G39" s="4">
        <f>SUM('5. Multi-Family (R)'!F36:F37)</f>
        <v>0</v>
      </c>
      <c r="H39" s="4">
        <f>SUM('5. Multi-Family (R)'!G36:G37)</f>
        <v>0</v>
      </c>
      <c r="I39" s="4">
        <f>SUM('5. Multi-Family (R)'!H36:H37)</f>
        <v>0</v>
      </c>
      <c r="J39" s="4">
        <f>SUM('5. Multi-Family (R)'!I36:I37)</f>
        <v>0</v>
      </c>
      <c r="K39" s="4">
        <f>SUM('5. Multi-Family (R)'!J36:J37)</f>
        <v>0</v>
      </c>
      <c r="L39" s="4">
        <f>SUM('5. Multi-Family (R)'!K36:K37)</f>
        <v>0</v>
      </c>
      <c r="M39" s="4">
        <f>SUM('5. Multi-Family (R)'!L36:L37)</f>
        <v>0</v>
      </c>
      <c r="N39" s="4">
        <f>SUM('5. Multi-Family (R)'!M36:M37)</f>
        <v>0</v>
      </c>
    </row>
    <row r="40" spans="1:14">
      <c r="B40" s="97" t="s">
        <v>64</v>
      </c>
      <c r="E40" s="4">
        <f>SUM('5. Multi-Family (R)'!D45)</f>
        <v>0</v>
      </c>
      <c r="F40" s="4">
        <f>SUM('5. Multi-Family (R)'!E45)</f>
        <v>261320</v>
      </c>
      <c r="G40" s="4">
        <f>SUM('5. Multi-Family (R)'!F45)</f>
        <v>0</v>
      </c>
      <c r="H40" s="4">
        <f>SUM('5. Multi-Family (R)'!G45)</f>
        <v>0</v>
      </c>
      <c r="I40" s="4">
        <f>SUM('5. Multi-Family (R)'!H45)</f>
        <v>0</v>
      </c>
      <c r="J40" s="4">
        <f>SUM('5. Multi-Family (R)'!I45)</f>
        <v>0</v>
      </c>
      <c r="K40" s="4">
        <f>SUM('5. Multi-Family (R)'!J45)</f>
        <v>0</v>
      </c>
      <c r="L40" s="4">
        <f>SUM('5. Multi-Family (R)'!K45)</f>
        <v>0</v>
      </c>
      <c r="M40" s="4">
        <f>SUM('5. Multi-Family (R)'!L45)</f>
        <v>0</v>
      </c>
      <c r="N40" s="4">
        <f>SUM('5. Multi-Family (R)'!M45)</f>
        <v>0</v>
      </c>
    </row>
    <row r="41" spans="1:14" s="85" customFormat="1">
      <c r="B41" s="85" t="s">
        <v>70</v>
      </c>
      <c r="E41" s="86">
        <f>SUM(E37:E40)</f>
        <v>0</v>
      </c>
      <c r="F41" s="87">
        <f t="shared" ref="F41:N41" si="5">SUM(F37:F40)</f>
        <v>449914.875</v>
      </c>
      <c r="G41" s="87">
        <f t="shared" si="5"/>
        <v>78796.875</v>
      </c>
      <c r="H41" s="87">
        <f t="shared" si="5"/>
        <v>0</v>
      </c>
      <c r="I41" s="87">
        <f t="shared" si="5"/>
        <v>0</v>
      </c>
      <c r="J41" s="87">
        <f t="shared" si="5"/>
        <v>0</v>
      </c>
      <c r="K41" s="87">
        <f t="shared" si="5"/>
        <v>39139.652864685042</v>
      </c>
      <c r="L41" s="87">
        <f t="shared" si="5"/>
        <v>26745.429457534781</v>
      </c>
      <c r="M41" s="87">
        <f t="shared" si="5"/>
        <v>0</v>
      </c>
      <c r="N41" s="87">
        <f t="shared" si="5"/>
        <v>0</v>
      </c>
    </row>
    <row r="42" spans="1:14">
      <c r="B42" s="179" t="s">
        <v>272</v>
      </c>
      <c r="E42" s="180">
        <f>'5. Multi-Family (R)'!D61-E41</f>
        <v>0</v>
      </c>
      <c r="F42" s="180">
        <f>'5. Multi-Family (R)'!E61-F41</f>
        <v>76875</v>
      </c>
      <c r="G42" s="180">
        <f>'5. Multi-Family (R)'!F61-G41</f>
        <v>52531.25</v>
      </c>
      <c r="H42" s="180">
        <f>'5. Multi-Family (R)'!G61-H41</f>
        <v>0</v>
      </c>
      <c r="I42" s="180">
        <f>'5. Multi-Family (R)'!H61-I41</f>
        <v>0</v>
      </c>
      <c r="J42" s="180">
        <f>'5. Multi-Family (R)'!I61-J41</f>
        <v>0</v>
      </c>
      <c r="K42" s="180">
        <f>'5. Multi-Family (R)'!J61-K41</f>
        <v>86977.00636596675</v>
      </c>
      <c r="L42" s="180">
        <f>'5. Multi-Family (R)'!K61-L41</f>
        <v>59434.287683410621</v>
      </c>
      <c r="M42" s="180">
        <f>'5. Multi-Family (R)'!L61-M41</f>
        <v>0</v>
      </c>
      <c r="N42" s="180">
        <f>'5. Multi-Family (R)'!M61-N41</f>
        <v>0</v>
      </c>
    </row>
    <row r="43" spans="1:14">
      <c r="A43" s="97" t="s">
        <v>277</v>
      </c>
      <c r="E43" s="4"/>
      <c r="F43" s="4"/>
      <c r="G43" s="4"/>
      <c r="H43" s="4"/>
      <c r="I43" s="4"/>
      <c r="J43" s="4"/>
      <c r="K43" s="4"/>
      <c r="L43" s="4"/>
      <c r="M43" s="4"/>
      <c r="N43" s="4"/>
    </row>
    <row r="44" spans="1:14">
      <c r="B44" s="97" t="s">
        <v>61</v>
      </c>
      <c r="E44" s="4">
        <f>E23</f>
        <v>0</v>
      </c>
      <c r="F44" s="4">
        <f t="shared" ref="F44:N44" si="6">F23</f>
        <v>327281.47499999998</v>
      </c>
      <c r="G44" s="4">
        <f t="shared" si="6"/>
        <v>257931.06406249999</v>
      </c>
      <c r="H44" s="4">
        <f t="shared" si="6"/>
        <v>0</v>
      </c>
      <c r="I44" s="4">
        <f t="shared" si="6"/>
        <v>0</v>
      </c>
      <c r="J44" s="4">
        <f t="shared" si="6"/>
        <v>0</v>
      </c>
      <c r="K44" s="4">
        <f t="shared" si="6"/>
        <v>0</v>
      </c>
      <c r="L44" s="4">
        <f t="shared" si="6"/>
        <v>0</v>
      </c>
      <c r="M44" s="4">
        <f t="shared" si="6"/>
        <v>0</v>
      </c>
      <c r="N44" s="4">
        <f t="shared" si="6"/>
        <v>0</v>
      </c>
    </row>
    <row r="45" spans="1:14">
      <c r="B45" s="97" t="s">
        <v>62</v>
      </c>
      <c r="E45" s="4">
        <f t="shared" ref="E45:N45" si="7">E24</f>
        <v>0</v>
      </c>
      <c r="F45" s="4">
        <f t="shared" si="7"/>
        <v>106241.24999999999</v>
      </c>
      <c r="G45" s="4">
        <f t="shared" si="7"/>
        <v>181495.46875</v>
      </c>
      <c r="H45" s="4">
        <f t="shared" si="7"/>
        <v>0</v>
      </c>
      <c r="I45" s="4">
        <f t="shared" si="7"/>
        <v>0</v>
      </c>
      <c r="J45" s="4">
        <f t="shared" si="7"/>
        <v>0</v>
      </c>
      <c r="K45" s="4">
        <f t="shared" si="7"/>
        <v>60101.111398883033</v>
      </c>
      <c r="L45" s="4">
        <f t="shared" si="7"/>
        <v>102672.73197309185</v>
      </c>
      <c r="M45" s="4">
        <f t="shared" si="7"/>
        <v>0</v>
      </c>
      <c r="N45" s="4">
        <f t="shared" si="7"/>
        <v>0</v>
      </c>
    </row>
    <row r="46" spans="1:14">
      <c r="B46" s="97" t="s">
        <v>63</v>
      </c>
      <c r="E46" s="4">
        <f t="shared" ref="E46:N46" si="8">E25</f>
        <v>0</v>
      </c>
      <c r="F46" s="4">
        <f t="shared" si="8"/>
        <v>264142.49999999994</v>
      </c>
      <c r="G46" s="4">
        <f t="shared" si="8"/>
        <v>451243.43749999994</v>
      </c>
      <c r="H46" s="4">
        <f t="shared" si="8"/>
        <v>0</v>
      </c>
      <c r="I46" s="4">
        <f t="shared" si="8"/>
        <v>0</v>
      </c>
      <c r="J46" s="4">
        <f t="shared" si="8"/>
        <v>0</v>
      </c>
      <c r="K46" s="4">
        <f t="shared" si="8"/>
        <v>166821.89820992423</v>
      </c>
      <c r="L46" s="4">
        <f t="shared" si="8"/>
        <v>284987.40944195399</v>
      </c>
      <c r="M46" s="4">
        <f t="shared" si="8"/>
        <v>0</v>
      </c>
      <c r="N46" s="4">
        <f t="shared" si="8"/>
        <v>0</v>
      </c>
    </row>
    <row r="47" spans="1:14">
      <c r="B47" s="97" t="s">
        <v>64</v>
      </c>
      <c r="E47" s="4">
        <f t="shared" ref="E47:N47" si="9">E26</f>
        <v>0</v>
      </c>
      <c r="F47" s="4">
        <f t="shared" si="9"/>
        <v>587141</v>
      </c>
      <c r="G47" s="4">
        <f t="shared" si="9"/>
        <v>0</v>
      </c>
      <c r="H47" s="4">
        <f t="shared" si="9"/>
        <v>0</v>
      </c>
      <c r="I47" s="4">
        <f t="shared" si="9"/>
        <v>0</v>
      </c>
      <c r="J47" s="4">
        <f t="shared" si="9"/>
        <v>0</v>
      </c>
      <c r="K47" s="4">
        <f t="shared" si="9"/>
        <v>0</v>
      </c>
      <c r="L47" s="4">
        <f t="shared" si="9"/>
        <v>0</v>
      </c>
      <c r="M47" s="4">
        <f t="shared" si="9"/>
        <v>0</v>
      </c>
      <c r="N47" s="4">
        <f t="shared" si="9"/>
        <v>0</v>
      </c>
    </row>
    <row r="48" spans="1:14" s="15" customFormat="1">
      <c r="B48" s="15" t="s">
        <v>69</v>
      </c>
      <c r="E48" s="87">
        <f>SUM(E44:E47)</f>
        <v>0</v>
      </c>
      <c r="F48" s="87">
        <f t="shared" ref="F48:N48" si="10">SUM(F44:F47)</f>
        <v>1284806.2249999999</v>
      </c>
      <c r="G48" s="87">
        <f t="shared" si="10"/>
        <v>890669.97031249991</v>
      </c>
      <c r="H48" s="87">
        <f t="shared" si="10"/>
        <v>0</v>
      </c>
      <c r="I48" s="87">
        <f t="shared" si="10"/>
        <v>0</v>
      </c>
      <c r="J48" s="87">
        <f t="shared" si="10"/>
        <v>0</v>
      </c>
      <c r="K48" s="87">
        <f t="shared" si="10"/>
        <v>226923.00960880728</v>
      </c>
      <c r="L48" s="87">
        <f t="shared" si="10"/>
        <v>387660.14141504583</v>
      </c>
      <c r="M48" s="87">
        <f t="shared" si="10"/>
        <v>0</v>
      </c>
      <c r="N48" s="87">
        <f t="shared" si="10"/>
        <v>0</v>
      </c>
    </row>
    <row r="50" spans="1:15">
      <c r="A50" s="97" t="s">
        <v>276</v>
      </c>
    </row>
    <row r="51" spans="1:15">
      <c r="B51" s="97" t="s">
        <v>61</v>
      </c>
      <c r="E51" s="4">
        <f>SUM(E9,E16,E30,E37)</f>
        <v>0</v>
      </c>
      <c r="F51" s="4">
        <f t="shared" ref="F51:N51" si="11">SUM(F9,F16,F30,F37)</f>
        <v>249878.59999999995</v>
      </c>
      <c r="G51" s="4">
        <f t="shared" si="11"/>
        <v>57784.374999999993</v>
      </c>
      <c r="H51" s="4">
        <f t="shared" si="11"/>
        <v>0</v>
      </c>
      <c r="I51" s="4">
        <f t="shared" si="11"/>
        <v>27595.322265624993</v>
      </c>
      <c r="J51" s="4">
        <f t="shared" si="11"/>
        <v>0</v>
      </c>
      <c r="K51" s="4">
        <f t="shared" si="11"/>
        <v>0</v>
      </c>
      <c r="L51" s="4">
        <f t="shared" si="11"/>
        <v>0</v>
      </c>
      <c r="M51" s="4">
        <f t="shared" si="11"/>
        <v>0</v>
      </c>
      <c r="N51" s="4">
        <f t="shared" si="11"/>
        <v>0</v>
      </c>
      <c r="O51" s="140">
        <f>F51/$F$55</f>
        <v>0.12913495272475603</v>
      </c>
    </row>
    <row r="52" spans="1:15">
      <c r="B52" s="97" t="s">
        <v>62</v>
      </c>
      <c r="E52" s="4">
        <f t="shared" ref="E52:N52" si="12">SUM(E10,E17,E31,E38)</f>
        <v>0</v>
      </c>
      <c r="F52" s="4">
        <f t="shared" si="12"/>
        <v>69187.5</v>
      </c>
      <c r="G52" s="4">
        <f t="shared" si="12"/>
        <v>47278.125</v>
      </c>
      <c r="H52" s="4">
        <f t="shared" si="12"/>
        <v>0</v>
      </c>
      <c r="I52" s="4">
        <f t="shared" si="12"/>
        <v>0</v>
      </c>
      <c r="J52" s="4">
        <f t="shared" si="12"/>
        <v>0</v>
      </c>
      <c r="K52" s="4">
        <f t="shared" si="12"/>
        <v>39139.652864685042</v>
      </c>
      <c r="L52" s="4">
        <f t="shared" si="12"/>
        <v>26745.429457534781</v>
      </c>
      <c r="M52" s="4">
        <f t="shared" si="12"/>
        <v>0</v>
      </c>
      <c r="N52" s="4">
        <f t="shared" si="12"/>
        <v>0</v>
      </c>
    </row>
    <row r="53" spans="1:15">
      <c r="B53" s="97" t="s">
        <v>63</v>
      </c>
      <c r="E53" s="4">
        <f t="shared" ref="E53:N53" si="13">SUM(E11,E18,E32,E39)</f>
        <v>0</v>
      </c>
      <c r="F53" s="4">
        <f t="shared" si="13"/>
        <v>0</v>
      </c>
      <c r="G53" s="4">
        <f t="shared" si="13"/>
        <v>0</v>
      </c>
      <c r="H53" s="4">
        <f t="shared" si="13"/>
        <v>0</v>
      </c>
      <c r="I53" s="4">
        <f t="shared" si="13"/>
        <v>0</v>
      </c>
      <c r="J53" s="4">
        <f t="shared" si="13"/>
        <v>0</v>
      </c>
      <c r="K53" s="4">
        <f t="shared" si="13"/>
        <v>0</v>
      </c>
      <c r="L53" s="4">
        <f t="shared" si="13"/>
        <v>0</v>
      </c>
      <c r="M53" s="4">
        <f t="shared" si="13"/>
        <v>0</v>
      </c>
      <c r="N53" s="4">
        <f t="shared" si="13"/>
        <v>0</v>
      </c>
    </row>
    <row r="54" spans="1:15">
      <c r="B54" s="97" t="s">
        <v>64</v>
      </c>
      <c r="E54" s="4">
        <f t="shared" ref="E54:N55" si="14">SUM(E12,E19,E33,E40)</f>
        <v>0</v>
      </c>
      <c r="F54" s="4">
        <f>SUM(F12,F19,F33,F40)</f>
        <v>1615953</v>
      </c>
      <c r="G54" s="4">
        <f t="shared" ref="G54:N54" si="15">SUM(G12,G19,G33,G40)</f>
        <v>0</v>
      </c>
      <c r="H54" s="4">
        <f t="shared" si="15"/>
        <v>0</v>
      </c>
      <c r="I54" s="4">
        <f t="shared" si="15"/>
        <v>0</v>
      </c>
      <c r="J54" s="4">
        <f t="shared" si="15"/>
        <v>0</v>
      </c>
      <c r="K54" s="4">
        <f t="shared" si="15"/>
        <v>0</v>
      </c>
      <c r="L54" s="4">
        <f t="shared" si="15"/>
        <v>0</v>
      </c>
      <c r="M54" s="4">
        <f t="shared" si="15"/>
        <v>0</v>
      </c>
      <c r="N54" s="4">
        <f t="shared" si="15"/>
        <v>0</v>
      </c>
    </row>
    <row r="55" spans="1:15">
      <c r="B55" s="97" t="s">
        <v>69</v>
      </c>
      <c r="E55" s="4">
        <f t="shared" si="14"/>
        <v>0</v>
      </c>
      <c r="F55" s="87">
        <f t="shared" si="14"/>
        <v>1935019.1</v>
      </c>
      <c r="G55" s="87">
        <f t="shared" si="14"/>
        <v>105062.5</v>
      </c>
      <c r="H55" s="87">
        <f t="shared" si="14"/>
        <v>0</v>
      </c>
      <c r="I55" s="87">
        <f t="shared" si="14"/>
        <v>27595.322265624993</v>
      </c>
      <c r="J55" s="87">
        <f t="shared" si="14"/>
        <v>0</v>
      </c>
      <c r="K55" s="87">
        <f t="shared" si="14"/>
        <v>39139.652864685042</v>
      </c>
      <c r="L55" s="87">
        <f t="shared" si="14"/>
        <v>26745.429457534781</v>
      </c>
      <c r="M55" s="87">
        <f t="shared" si="14"/>
        <v>0</v>
      </c>
      <c r="N55" s="87">
        <f t="shared" si="14"/>
        <v>0</v>
      </c>
    </row>
    <row r="57" spans="1:15">
      <c r="A57" s="97" t="s">
        <v>303</v>
      </c>
      <c r="E57" s="4"/>
      <c r="F57" s="87">
        <f>F55+F48</f>
        <v>3219825.3250000002</v>
      </c>
      <c r="G57" s="87">
        <f t="shared" ref="G57:N57" si="16">G55+G48</f>
        <v>995732.47031249991</v>
      </c>
      <c r="H57" s="87">
        <f t="shared" si="16"/>
        <v>0</v>
      </c>
      <c r="I57" s="87">
        <f t="shared" si="16"/>
        <v>27595.322265624993</v>
      </c>
      <c r="J57" s="87">
        <f t="shared" si="16"/>
        <v>0</v>
      </c>
      <c r="K57" s="87">
        <f t="shared" si="16"/>
        <v>266062.66247349232</v>
      </c>
      <c r="L57" s="87">
        <f t="shared" si="16"/>
        <v>414405.57087258063</v>
      </c>
      <c r="M57" s="87">
        <f t="shared" si="16"/>
        <v>0</v>
      </c>
      <c r="N57" s="87">
        <f t="shared" si="16"/>
        <v>0</v>
      </c>
    </row>
    <row r="59" spans="1:15">
      <c r="A59" s="97" t="s">
        <v>307</v>
      </c>
      <c r="C59" s="140">
        <f>1/5</f>
        <v>0.2</v>
      </c>
      <c r="F59" s="190">
        <f>F57*C59</f>
        <v>643965.06500000006</v>
      </c>
    </row>
    <row r="61" spans="1:15">
      <c r="A61" s="97" t="s">
        <v>306</v>
      </c>
    </row>
  </sheetData>
  <mergeCells count="4">
    <mergeCell ref="A4:N4"/>
    <mergeCell ref="A3:N3"/>
    <mergeCell ref="A2:N2"/>
    <mergeCell ref="A1:N1"/>
  </mergeCells>
  <pageMargins left="0.7" right="0.7" top="0.75" bottom="0.75" header="0.3" footer="0.3"/>
  <pageSetup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N69"/>
  <sheetViews>
    <sheetView zoomScaleNormal="100" workbookViewId="0">
      <selection activeCell="M15" sqref="M15"/>
    </sheetView>
  </sheetViews>
  <sheetFormatPr defaultColWidth="8.85546875" defaultRowHeight="15"/>
  <cols>
    <col min="1" max="1" width="46.140625" style="97" customWidth="1"/>
    <col min="2" max="2" width="11.85546875" style="97" customWidth="1"/>
    <col min="3" max="3" width="8.140625" style="56" customWidth="1"/>
    <col min="4" max="5" width="11.42578125" style="21" customWidth="1"/>
    <col min="6" max="11" width="11.42578125" style="97" customWidth="1"/>
    <col min="12" max="12" width="12.42578125" style="97" customWidth="1"/>
    <col min="13" max="16384" width="8.85546875" style="97"/>
  </cols>
  <sheetData>
    <row r="1" spans="1:14" s="182" customFormat="1">
      <c r="A1" s="384" t="s">
        <v>278</v>
      </c>
      <c r="B1" s="384"/>
      <c r="C1" s="384"/>
      <c r="D1" s="384"/>
      <c r="E1" s="384"/>
      <c r="F1" s="384"/>
      <c r="G1" s="384"/>
      <c r="H1" s="384"/>
      <c r="I1" s="384"/>
      <c r="J1" s="384"/>
      <c r="K1" s="384"/>
      <c r="L1" s="183"/>
      <c r="M1" s="183"/>
      <c r="N1" s="183"/>
    </row>
    <row r="2" spans="1:14" s="182" customFormat="1">
      <c r="A2" s="384" t="s">
        <v>281</v>
      </c>
      <c r="B2" s="384"/>
      <c r="C2" s="384"/>
      <c r="D2" s="384"/>
      <c r="E2" s="384"/>
      <c r="F2" s="384"/>
      <c r="G2" s="384"/>
      <c r="H2" s="384"/>
      <c r="I2" s="384"/>
      <c r="J2" s="384"/>
      <c r="K2" s="384"/>
      <c r="L2" s="183"/>
      <c r="M2" s="183"/>
      <c r="N2" s="183"/>
    </row>
    <row r="3" spans="1:14" s="182" customFormat="1">
      <c r="A3" s="384" t="s">
        <v>279</v>
      </c>
      <c r="B3" s="384"/>
      <c r="C3" s="384"/>
      <c r="D3" s="384"/>
      <c r="E3" s="384"/>
      <c r="F3" s="384"/>
      <c r="G3" s="384"/>
      <c r="H3" s="384"/>
      <c r="I3" s="384"/>
      <c r="J3" s="384"/>
      <c r="K3" s="384"/>
      <c r="L3" s="183"/>
      <c r="M3" s="183"/>
      <c r="N3" s="183"/>
    </row>
    <row r="4" spans="1:14" s="182" customFormat="1">
      <c r="A4" s="384" t="s">
        <v>283</v>
      </c>
      <c r="B4" s="384"/>
      <c r="C4" s="384"/>
      <c r="D4" s="384"/>
      <c r="E4" s="384"/>
      <c r="F4" s="384"/>
      <c r="G4" s="384"/>
      <c r="H4" s="384"/>
      <c r="I4" s="384"/>
      <c r="J4" s="384"/>
      <c r="K4" s="384"/>
      <c r="L4" s="183"/>
      <c r="M4" s="183"/>
      <c r="N4" s="183"/>
    </row>
    <row r="5" spans="1:14" s="182" customFormat="1">
      <c r="A5" s="184"/>
      <c r="B5" s="184"/>
      <c r="C5" s="184"/>
      <c r="D5" s="184"/>
      <c r="E5" s="184"/>
      <c r="F5" s="184"/>
      <c r="G5" s="184"/>
      <c r="H5" s="184"/>
      <c r="I5" s="184"/>
      <c r="J5" s="184"/>
      <c r="K5" s="183"/>
      <c r="L5" s="183"/>
      <c r="M5" s="183"/>
      <c r="N5" s="183"/>
    </row>
    <row r="6" spans="1:14">
      <c r="A6" s="126" t="s">
        <v>24</v>
      </c>
      <c r="B6" s="127" t="s">
        <v>95</v>
      </c>
      <c r="C6" s="127" t="s">
        <v>116</v>
      </c>
    </row>
    <row r="7" spans="1:14">
      <c r="A7" s="25" t="s">
        <v>37</v>
      </c>
      <c r="B7" s="26">
        <v>2.5000000000000001E-2</v>
      </c>
      <c r="C7" s="136"/>
    </row>
    <row r="8" spans="1:14">
      <c r="A8" s="32" t="s">
        <v>124</v>
      </c>
      <c r="B8" s="37">
        <v>3</v>
      </c>
      <c r="C8" s="142" t="s">
        <v>123</v>
      </c>
    </row>
    <row r="9" spans="1:14">
      <c r="A9" s="32" t="s">
        <v>125</v>
      </c>
      <c r="B9" s="37">
        <v>10</v>
      </c>
      <c r="C9" s="142" t="s">
        <v>123</v>
      </c>
    </row>
    <row r="10" spans="1:14">
      <c r="A10" s="32" t="s">
        <v>132</v>
      </c>
      <c r="B10" s="38">
        <v>10000</v>
      </c>
      <c r="C10" s="143" t="s">
        <v>122</v>
      </c>
    </row>
    <row r="11" spans="1:14">
      <c r="A11" s="32" t="s">
        <v>131</v>
      </c>
      <c r="B11" s="38">
        <v>1000</v>
      </c>
      <c r="C11" s="143" t="s">
        <v>122</v>
      </c>
    </row>
    <row r="12" spans="1:14">
      <c r="A12" s="32" t="s">
        <v>153</v>
      </c>
      <c r="B12" s="38">
        <v>5000</v>
      </c>
      <c r="C12" s="143" t="s">
        <v>122</v>
      </c>
    </row>
    <row r="13" spans="1:14">
      <c r="A13" s="32" t="s">
        <v>154</v>
      </c>
      <c r="B13" s="37">
        <v>3</v>
      </c>
      <c r="C13" s="143" t="s">
        <v>155</v>
      </c>
    </row>
    <row r="14" spans="1:14" s="21" customFormat="1">
      <c r="A14" s="45"/>
      <c r="B14" s="52"/>
      <c r="C14" s="153"/>
    </row>
    <row r="15" spans="1:14">
      <c r="A15" s="18"/>
      <c r="B15" s="19"/>
      <c r="C15" s="58"/>
      <c r="D15" s="107"/>
      <c r="E15" s="107" t="s">
        <v>77</v>
      </c>
      <c r="F15" s="80" t="s">
        <v>78</v>
      </c>
      <c r="G15" s="80" t="s">
        <v>79</v>
      </c>
      <c r="H15" s="80" t="s">
        <v>80</v>
      </c>
      <c r="I15" s="80" t="s">
        <v>81</v>
      </c>
      <c r="J15" s="80" t="s">
        <v>150</v>
      </c>
      <c r="K15" s="80" t="s">
        <v>151</v>
      </c>
    </row>
    <row r="16" spans="1:14" s="43" customFormat="1">
      <c r="A16" s="54" t="s">
        <v>0</v>
      </c>
      <c r="B16" s="54"/>
      <c r="C16" s="54" t="s">
        <v>291</v>
      </c>
      <c r="D16" s="54">
        <v>2018</v>
      </c>
      <c r="E16" s="54">
        <f>D16+1</f>
        <v>2019</v>
      </c>
      <c r="F16" s="54">
        <f>E16+1</f>
        <v>2020</v>
      </c>
      <c r="G16" s="54">
        <f>F16+1</f>
        <v>2021</v>
      </c>
      <c r="H16" s="54">
        <f>G16+1</f>
        <v>2022</v>
      </c>
      <c r="I16" s="54">
        <f t="shared" ref="I16:K16" si="0">H16+1</f>
        <v>2023</v>
      </c>
      <c r="J16" s="54">
        <f t="shared" si="0"/>
        <v>2024</v>
      </c>
      <c r="K16" s="54">
        <f t="shared" si="0"/>
        <v>2025</v>
      </c>
    </row>
    <row r="18" spans="1:12">
      <c r="A18" s="14" t="s">
        <v>133</v>
      </c>
      <c r="B18" s="21"/>
    </row>
    <row r="19" spans="1:12">
      <c r="A19" s="20" t="s">
        <v>260</v>
      </c>
      <c r="B19" s="56"/>
      <c r="C19" s="56" t="s">
        <v>4</v>
      </c>
      <c r="D19" s="46"/>
      <c r="E19" s="46">
        <f>100000*((1+$B$7)^(E$16-$D$16))</f>
        <v>102499.99999999999</v>
      </c>
      <c r="F19" s="46"/>
      <c r="G19" s="46"/>
      <c r="H19" s="46"/>
      <c r="I19" s="46"/>
      <c r="L19" s="21"/>
    </row>
    <row r="20" spans="1:12">
      <c r="A20" s="111" t="s">
        <v>259</v>
      </c>
      <c r="B20" s="56"/>
      <c r="C20" s="56" t="s">
        <v>4</v>
      </c>
      <c r="D20" s="46"/>
      <c r="E20" s="46">
        <v>64415</v>
      </c>
      <c r="F20" s="46"/>
      <c r="G20" s="46"/>
      <c r="H20" s="46"/>
      <c r="I20" s="46"/>
      <c r="L20" s="21"/>
    </row>
    <row r="21" spans="1:12">
      <c r="A21" s="111" t="s">
        <v>261</v>
      </c>
      <c r="B21" s="56"/>
      <c r="C21" s="56" t="s">
        <v>2</v>
      </c>
      <c r="D21" s="46"/>
      <c r="E21" s="46">
        <v>4447</v>
      </c>
      <c r="F21" s="46"/>
      <c r="G21" s="46"/>
      <c r="H21" s="46"/>
      <c r="I21" s="46"/>
      <c r="L21" s="21"/>
    </row>
    <row r="22" spans="1:12">
      <c r="A22" s="47" t="s">
        <v>262</v>
      </c>
      <c r="B22" s="56"/>
      <c r="C22" s="56" t="s">
        <v>2</v>
      </c>
      <c r="D22" s="46"/>
      <c r="E22" s="46">
        <f>25000*((1+$B$7)^(E$16-$D$16))</f>
        <v>25624.999999999996</v>
      </c>
      <c r="F22" s="46">
        <f t="shared" ref="F22:G22" si="1">25000*((1+$B$7)^(F$16-$D$16))</f>
        <v>26265.624999999996</v>
      </c>
      <c r="G22" s="46">
        <f t="shared" si="1"/>
        <v>26922.265624999996</v>
      </c>
      <c r="H22" s="46"/>
      <c r="I22" s="46"/>
      <c r="L22" s="21"/>
    </row>
    <row r="23" spans="1:12">
      <c r="A23" s="20" t="s">
        <v>263</v>
      </c>
      <c r="B23" s="56"/>
      <c r="C23" s="56" t="s">
        <v>2</v>
      </c>
      <c r="D23" s="46"/>
      <c r="E23" s="46">
        <f>20000*((1+$B$7)^(E$16-$D$16))</f>
        <v>20500</v>
      </c>
      <c r="F23" s="46">
        <f>20000*((1+$B$7)^(F$16-$D$16))</f>
        <v>21012.5</v>
      </c>
      <c r="G23" s="46">
        <f>20000*((1+$B$7)^(G$16-$D$16))</f>
        <v>21537.812499999996</v>
      </c>
      <c r="H23" s="46"/>
      <c r="I23" s="46"/>
      <c r="L23" s="21"/>
    </row>
    <row r="24" spans="1:12">
      <c r="A24" s="111"/>
      <c r="B24" s="56"/>
      <c r="D24" s="46"/>
      <c r="E24" s="46"/>
      <c r="F24" s="46"/>
      <c r="G24" s="46"/>
      <c r="H24" s="46"/>
      <c r="L24" s="21"/>
    </row>
    <row r="25" spans="1:12">
      <c r="A25" s="14" t="s">
        <v>136</v>
      </c>
      <c r="B25" s="56"/>
      <c r="D25" s="46"/>
      <c r="E25" s="46"/>
      <c r="F25" s="34"/>
      <c r="G25" s="34"/>
      <c r="H25" s="34"/>
      <c r="L25" s="21"/>
    </row>
    <row r="26" spans="1:12">
      <c r="A26" s="20" t="s">
        <v>264</v>
      </c>
      <c r="B26" s="56"/>
      <c r="C26" s="56" t="s">
        <v>2</v>
      </c>
      <c r="D26" s="46"/>
      <c r="E26" s="46">
        <f>$B$8*$B$10*((1+$B$7)^(E$16-$D$16))</f>
        <v>30749.999999999996</v>
      </c>
      <c r="F26" s="46">
        <f>$B$8*$B$10*((1+$B$7)^(F$16-$D$16))</f>
        <v>31518.749999999996</v>
      </c>
      <c r="G26" s="46"/>
      <c r="H26" s="46"/>
      <c r="I26" s="46"/>
      <c r="L26" s="21"/>
    </row>
    <row r="27" spans="1:12">
      <c r="A27" s="20" t="s">
        <v>265</v>
      </c>
      <c r="B27" s="56"/>
      <c r="C27" s="56" t="s">
        <v>2</v>
      </c>
      <c r="D27" s="46"/>
      <c r="E27" s="46">
        <f>$B$9*$B$11*((1+$B$7)^(E$16-$D$16))</f>
        <v>10250</v>
      </c>
      <c r="F27" s="46">
        <f>$B$9*$B$11*((1+$B$7)^(F$16-$D$16))</f>
        <v>10506.25</v>
      </c>
      <c r="G27" s="46"/>
      <c r="H27" s="46"/>
      <c r="I27" s="46"/>
      <c r="L27" s="21"/>
    </row>
    <row r="28" spans="1:12">
      <c r="A28" s="20" t="s">
        <v>266</v>
      </c>
      <c r="B28" s="56"/>
      <c r="C28" s="56" t="s">
        <v>2</v>
      </c>
      <c r="D28" s="46"/>
      <c r="E28" s="46"/>
      <c r="F28" s="46"/>
      <c r="G28" s="46"/>
      <c r="H28" s="46"/>
      <c r="L28" s="21"/>
    </row>
    <row r="29" spans="1:12">
      <c r="A29" s="20" t="s">
        <v>267</v>
      </c>
      <c r="B29" s="56"/>
      <c r="C29" s="56" t="s">
        <v>2</v>
      </c>
      <c r="D29" s="46"/>
      <c r="E29" s="46"/>
      <c r="F29" s="46"/>
      <c r="G29" s="46"/>
      <c r="H29" s="46"/>
      <c r="L29" s="21"/>
    </row>
    <row r="30" spans="1:12">
      <c r="A30" s="20"/>
      <c r="B30" s="56"/>
      <c r="D30" s="46"/>
      <c r="E30" s="46"/>
      <c r="F30" s="46"/>
      <c r="G30" s="46"/>
      <c r="H30" s="46"/>
      <c r="L30" s="21"/>
    </row>
    <row r="31" spans="1:12">
      <c r="A31" s="134" t="s">
        <v>36</v>
      </c>
      <c r="B31" s="56"/>
      <c r="D31" s="46"/>
      <c r="E31" s="46"/>
      <c r="F31" s="34"/>
      <c r="G31" s="34"/>
      <c r="H31" s="34"/>
      <c r="L31" s="21"/>
    </row>
    <row r="32" spans="1:12">
      <c r="A32" s="113" t="s">
        <v>48</v>
      </c>
      <c r="B32" s="56"/>
      <c r="C32" s="56" t="s">
        <v>2</v>
      </c>
      <c r="D32" s="46"/>
      <c r="E32" s="46">
        <f>$B$12*((1+$B$7)^(E$16-$D$16))</f>
        <v>5125</v>
      </c>
      <c r="F32" s="46">
        <f>$B$12*((1+$B$7)^(F$16-$D$16))</f>
        <v>5253.125</v>
      </c>
      <c r="G32" s="46"/>
      <c r="H32" s="46"/>
      <c r="I32" s="46"/>
      <c r="L32" s="21"/>
    </row>
    <row r="33" spans="1:12">
      <c r="A33" s="113" t="s">
        <v>88</v>
      </c>
      <c r="B33" s="56"/>
      <c r="C33" s="56" t="s">
        <v>2</v>
      </c>
      <c r="D33" s="46"/>
      <c r="E33" s="46">
        <f>$B$12*$B$13*((1+$B$7)^(E$16-$D$16))</f>
        <v>15374.999999999998</v>
      </c>
      <c r="F33" s="46">
        <f>$B$12*$B$13*((1+$B$7)^(F$16-$D$16))</f>
        <v>15759.374999999998</v>
      </c>
      <c r="G33" s="46"/>
      <c r="H33" s="46"/>
      <c r="I33" s="46"/>
      <c r="L33" s="21"/>
    </row>
    <row r="34" spans="1:12">
      <c r="A34" s="113" t="s">
        <v>148</v>
      </c>
      <c r="B34" s="56"/>
      <c r="C34" s="56" t="s">
        <v>2</v>
      </c>
      <c r="D34" s="46"/>
      <c r="E34" s="141"/>
      <c r="F34" s="141"/>
      <c r="G34" s="141"/>
      <c r="H34" s="141"/>
      <c r="L34" s="21"/>
    </row>
    <row r="35" spans="1:12">
      <c r="B35" s="21"/>
      <c r="L35" s="21"/>
    </row>
    <row r="36" spans="1:12">
      <c r="A36" s="14" t="s">
        <v>149</v>
      </c>
      <c r="B36" s="56"/>
      <c r="D36" s="108"/>
      <c r="E36" s="108"/>
      <c r="F36" s="8"/>
      <c r="G36" s="8"/>
      <c r="H36" s="8"/>
      <c r="L36" s="21"/>
    </row>
    <row r="37" spans="1:12">
      <c r="A37" s="104" t="s">
        <v>89</v>
      </c>
      <c r="B37" s="56"/>
      <c r="D37" s="46"/>
      <c r="E37" s="46"/>
      <c r="F37" s="34"/>
      <c r="G37" s="34"/>
      <c r="H37" s="34"/>
      <c r="L37" s="21"/>
    </row>
    <row r="38" spans="1:12">
      <c r="A38" s="20" t="s">
        <v>87</v>
      </c>
      <c r="B38" s="56"/>
      <c r="C38" s="56" t="s">
        <v>2</v>
      </c>
      <c r="D38" s="46"/>
      <c r="E38" s="46">
        <f>50000*((1+$B$7)^(E$16-$D$16))</f>
        <v>51249.999999999993</v>
      </c>
      <c r="F38" s="46">
        <f>25000*((1+$B$7)^(F$16-$D$16))</f>
        <v>26265.624999999996</v>
      </c>
      <c r="G38" s="46"/>
      <c r="H38" s="46"/>
      <c r="I38" s="46"/>
      <c r="L38" s="21"/>
    </row>
    <row r="39" spans="1:12">
      <c r="A39" s="47" t="s">
        <v>54</v>
      </c>
      <c r="B39" s="56"/>
      <c r="C39" s="56" t="s">
        <v>2</v>
      </c>
      <c r="D39" s="46"/>
      <c r="E39" s="46">
        <f>15000*((1+$B$7)^(E$16-$D$16))</f>
        <v>15374.999999999998</v>
      </c>
      <c r="F39" s="34">
        <f>10000*((1+$B$7)^(F$16-$D$16))</f>
        <v>10506.25</v>
      </c>
      <c r="G39" s="34"/>
      <c r="H39" s="34"/>
      <c r="I39" s="34"/>
      <c r="L39" s="21"/>
    </row>
    <row r="40" spans="1:12">
      <c r="A40" s="20" t="s">
        <v>233</v>
      </c>
      <c r="B40" s="56"/>
      <c r="C40" s="56" t="s">
        <v>2</v>
      </c>
      <c r="D40" s="46"/>
      <c r="E40" s="46">
        <f>25000*((1+$B$7)^(E$16-$D$16))</f>
        <v>25624.999999999996</v>
      </c>
      <c r="F40" s="46">
        <f t="shared" ref="F40" si="2">25000*((1+$B$7)^(F$16-$D$16))</f>
        <v>26265.624999999996</v>
      </c>
      <c r="G40" s="46"/>
      <c r="H40" s="46"/>
      <c r="I40" s="46"/>
      <c r="L40" s="21"/>
    </row>
    <row r="41" spans="1:12">
      <c r="A41" s="20" t="s">
        <v>234</v>
      </c>
      <c r="B41" s="56"/>
      <c r="C41" s="56" t="s">
        <v>2</v>
      </c>
      <c r="D41" s="46"/>
      <c r="E41" s="46">
        <f>25000*((1+$B$7)^(E$16-$D$16))</f>
        <v>25624.999999999996</v>
      </c>
      <c r="F41" s="34">
        <f>25000*((1+$B$7)^(F$16-$D$16))</f>
        <v>26265.624999999996</v>
      </c>
      <c r="G41" s="34"/>
      <c r="H41" s="34"/>
      <c r="I41" s="34"/>
      <c r="L41" s="21"/>
    </row>
    <row r="42" spans="1:12">
      <c r="A42" s="20"/>
      <c r="B42" s="56"/>
      <c r="D42" s="46"/>
      <c r="E42" s="46"/>
      <c r="F42" s="34"/>
      <c r="G42" s="34"/>
      <c r="H42" s="34"/>
      <c r="L42" s="21"/>
    </row>
    <row r="43" spans="1:12">
      <c r="A43" s="134" t="s">
        <v>111</v>
      </c>
      <c r="B43" s="56"/>
      <c r="D43" s="46"/>
      <c r="E43" s="46"/>
      <c r="F43" s="34"/>
      <c r="G43" s="34"/>
      <c r="H43" s="34"/>
      <c r="L43" s="21"/>
    </row>
    <row r="44" spans="1:12">
      <c r="A44" s="112" t="s">
        <v>236</v>
      </c>
      <c r="B44" s="56"/>
      <c r="C44" s="56" t="s">
        <v>2</v>
      </c>
      <c r="D44" s="95"/>
      <c r="E44" s="46">
        <f>50000*((1+$B$7)^(E$16-$D$16))</f>
        <v>51249.999999999993</v>
      </c>
      <c r="F44" s="46">
        <f t="shared" ref="F44" si="3">50000*((1+$B$7)^(F$16-$D$16))</f>
        <v>52531.249999999993</v>
      </c>
      <c r="G44" s="46"/>
      <c r="H44" s="46"/>
      <c r="I44" s="46"/>
      <c r="L44" s="21"/>
    </row>
    <row r="45" spans="1:12">
      <c r="A45" s="112" t="s">
        <v>237</v>
      </c>
      <c r="B45" s="56"/>
      <c r="C45" s="56" t="s">
        <v>2</v>
      </c>
      <c r="D45" s="95"/>
      <c r="E45" s="46">
        <f>40000*((1+$B$7)^(E$16-$D$16))</f>
        <v>41000</v>
      </c>
      <c r="F45" s="46">
        <f t="shared" ref="F45" si="4">40000*((1+$B$7)^(F$16-$D$16))</f>
        <v>42025</v>
      </c>
      <c r="G45" s="46"/>
      <c r="H45" s="46"/>
      <c r="I45" s="46"/>
      <c r="L45" s="21"/>
    </row>
    <row r="46" spans="1:12">
      <c r="A46" s="113" t="s">
        <v>235</v>
      </c>
      <c r="B46" s="56"/>
      <c r="C46" s="56" t="s">
        <v>2</v>
      </c>
      <c r="D46" s="95"/>
      <c r="E46" s="46">
        <f>100000*((1+$B$7)^(E$16-$D$16))</f>
        <v>102499.99999999999</v>
      </c>
      <c r="F46" s="46">
        <f>100000*((1+$B$7)^(F$16-$D$16))</f>
        <v>105062.49999999999</v>
      </c>
      <c r="G46" s="34"/>
      <c r="H46" s="34"/>
      <c r="I46" s="34"/>
      <c r="L46" s="21"/>
    </row>
    <row r="47" spans="1:12">
      <c r="A47" s="112" t="s">
        <v>239</v>
      </c>
      <c r="B47" s="56"/>
      <c r="C47" s="56" t="s">
        <v>2</v>
      </c>
      <c r="D47" s="95"/>
      <c r="E47" s="46">
        <f>10000*((1+$B$7)^(E$16-$D$16))</f>
        <v>10250</v>
      </c>
      <c r="F47" s="46">
        <f>10000*((1+$B$7)^(F$16-$D$16))</f>
        <v>10506.25</v>
      </c>
      <c r="G47" s="46"/>
      <c r="H47" s="46"/>
      <c r="I47" s="46"/>
      <c r="L47" s="21"/>
    </row>
    <row r="48" spans="1:12">
      <c r="A48" s="112" t="s">
        <v>238</v>
      </c>
      <c r="B48" s="56"/>
      <c r="C48" s="56" t="s">
        <v>2</v>
      </c>
      <c r="D48" s="95"/>
      <c r="E48" s="46">
        <f>30000*((1+$B$7)^(E$16-$D$16))</f>
        <v>30749.999999999996</v>
      </c>
      <c r="F48" s="46">
        <f t="shared" ref="F48" si="5">30000*((1+$B$7)^(F$16-$D$16))</f>
        <v>31518.749999999996</v>
      </c>
      <c r="G48" s="46"/>
      <c r="H48" s="46"/>
      <c r="I48" s="46"/>
      <c r="L48" s="21"/>
    </row>
    <row r="49" spans="1:12">
      <c r="A49" s="21" t="s">
        <v>52</v>
      </c>
      <c r="B49" s="56"/>
      <c r="C49" s="56" t="s">
        <v>2</v>
      </c>
      <c r="D49" s="95"/>
      <c r="E49" s="46">
        <f>15000*((1+$B$7)^(E$16-$D$16))</f>
        <v>15374.999999999998</v>
      </c>
      <c r="F49" s="46">
        <f>10000*((1+$B$7)^(F$16-$D$16))</f>
        <v>10506.25</v>
      </c>
      <c r="G49" s="46">
        <f>10000*((1+$B$7)^(G$16-$D$16))</f>
        <v>10768.906249999998</v>
      </c>
      <c r="H49" s="46"/>
      <c r="I49" s="46"/>
      <c r="L49" s="21"/>
    </row>
    <row r="50" spans="1:12">
      <c r="A50" s="110"/>
      <c r="B50" s="56"/>
      <c r="D50" s="46"/>
      <c r="E50" s="46"/>
      <c r="F50" s="34"/>
      <c r="G50" s="34"/>
      <c r="H50" s="34"/>
    </row>
    <row r="51" spans="1:12">
      <c r="A51" s="14" t="s">
        <v>135</v>
      </c>
      <c r="B51" s="55"/>
      <c r="C51" s="59"/>
    </row>
    <row r="52" spans="1:12">
      <c r="A52" s="104" t="s">
        <v>55</v>
      </c>
      <c r="B52" s="55"/>
      <c r="C52" s="59"/>
    </row>
    <row r="53" spans="1:12">
      <c r="A53" s="102" t="s">
        <v>274</v>
      </c>
      <c r="B53" s="65"/>
      <c r="C53" s="62" t="s">
        <v>4</v>
      </c>
      <c r="D53" s="46"/>
      <c r="E53" s="46">
        <v>0</v>
      </c>
      <c r="F53" s="46">
        <v>0</v>
      </c>
      <c r="G53" s="46">
        <v>0</v>
      </c>
      <c r="H53" s="46">
        <v>0</v>
      </c>
      <c r="I53" s="46">
        <v>0</v>
      </c>
      <c r="L53" s="21"/>
    </row>
    <row r="54" spans="1:12">
      <c r="A54" s="102" t="s">
        <v>275</v>
      </c>
      <c r="B54" s="65"/>
      <c r="C54" s="62" t="s">
        <v>2</v>
      </c>
      <c r="D54" s="46"/>
      <c r="E54" s="46">
        <v>198720</v>
      </c>
      <c r="F54" s="46">
        <v>252537.02937499995</v>
      </c>
      <c r="G54" s="46">
        <v>7579.2062187499996</v>
      </c>
      <c r="H54" s="46">
        <v>0</v>
      </c>
      <c r="I54" s="46">
        <v>0</v>
      </c>
      <c r="L54" s="21"/>
    </row>
    <row r="55" spans="1:12">
      <c r="A55" s="89"/>
      <c r="B55" s="55"/>
      <c r="D55" s="46"/>
      <c r="E55" s="46"/>
      <c r="F55" s="34"/>
      <c r="G55" s="34"/>
      <c r="H55" s="34"/>
    </row>
    <row r="56" spans="1:12">
      <c r="A56" s="67" t="s">
        <v>32</v>
      </c>
      <c r="B56" s="93"/>
      <c r="C56" s="78" t="s">
        <v>4</v>
      </c>
      <c r="D56" s="73">
        <f t="shared" ref="D56:I56" si="6">SUM(D19:D20)+D53</f>
        <v>0</v>
      </c>
      <c r="E56" s="73">
        <f t="shared" si="6"/>
        <v>166915</v>
      </c>
      <c r="F56" s="73">
        <f t="shared" si="6"/>
        <v>0</v>
      </c>
      <c r="G56" s="73">
        <f t="shared" si="6"/>
        <v>0</v>
      </c>
      <c r="H56" s="73">
        <f t="shared" si="6"/>
        <v>0</v>
      </c>
      <c r="I56" s="73">
        <f t="shared" si="6"/>
        <v>0</v>
      </c>
      <c r="J56" s="50"/>
    </row>
    <row r="57" spans="1:12">
      <c r="A57" s="69" t="s">
        <v>33</v>
      </c>
      <c r="B57" s="94"/>
      <c r="C57" s="79" t="s">
        <v>2</v>
      </c>
      <c r="D57" s="74">
        <f t="shared" ref="D57:I57" si="7">SUM(D21:D49)+D54</f>
        <v>0</v>
      </c>
      <c r="E57" s="74">
        <f t="shared" si="7"/>
        <v>679792</v>
      </c>
      <c r="F57" s="74">
        <f t="shared" si="7"/>
        <v>704305.77937499993</v>
      </c>
      <c r="G57" s="74">
        <f t="shared" si="7"/>
        <v>66808.190593749998</v>
      </c>
      <c r="H57" s="74">
        <f t="shared" si="7"/>
        <v>0</v>
      </c>
      <c r="I57" s="74">
        <f t="shared" si="7"/>
        <v>0</v>
      </c>
      <c r="J57" s="50"/>
    </row>
    <row r="58" spans="1:12">
      <c r="C58" s="91"/>
      <c r="D58" s="164"/>
      <c r="E58" s="164"/>
      <c r="F58" s="164"/>
      <c r="G58" s="164"/>
      <c r="H58" s="164"/>
      <c r="I58" s="164"/>
    </row>
    <row r="59" spans="1:12">
      <c r="C59" s="162"/>
      <c r="D59" s="163"/>
      <c r="E59" s="163"/>
      <c r="F59" s="163"/>
      <c r="G59" s="163"/>
      <c r="H59" s="163"/>
      <c r="I59" s="164"/>
      <c r="J59" s="50"/>
      <c r="K59" s="140"/>
    </row>
    <row r="60" spans="1:12">
      <c r="A60" s="1" t="s">
        <v>104</v>
      </c>
      <c r="C60" s="91"/>
      <c r="D60" s="163"/>
      <c r="E60" s="163"/>
      <c r="F60" s="163"/>
      <c r="G60" s="163"/>
      <c r="H60" s="163"/>
      <c r="I60" s="164"/>
      <c r="J60" s="50"/>
      <c r="K60" s="140"/>
    </row>
    <row r="61" spans="1:12">
      <c r="A61" s="11" t="s">
        <v>126</v>
      </c>
      <c r="C61" s="91"/>
      <c r="D61" s="164"/>
      <c r="E61" s="164"/>
      <c r="F61" s="164"/>
      <c r="G61" s="164"/>
      <c r="H61" s="164"/>
      <c r="I61" s="164"/>
    </row>
    <row r="62" spans="1:12">
      <c r="A62" s="11" t="s">
        <v>127</v>
      </c>
      <c r="C62" s="91"/>
      <c r="D62" s="164"/>
      <c r="E62" s="164"/>
      <c r="F62" s="164"/>
      <c r="G62" s="164"/>
      <c r="H62" s="164"/>
      <c r="I62" s="164"/>
    </row>
    <row r="63" spans="1:12">
      <c r="A63" s="11" t="s">
        <v>128</v>
      </c>
      <c r="C63" s="91"/>
      <c r="D63" s="164"/>
      <c r="E63" s="164"/>
      <c r="F63" s="164"/>
      <c r="G63" s="164"/>
      <c r="H63" s="164"/>
      <c r="I63" s="164"/>
    </row>
    <row r="64" spans="1:12">
      <c r="A64" s="11" t="s">
        <v>129</v>
      </c>
    </row>
    <row r="65" spans="1:1">
      <c r="A65" s="11" t="s">
        <v>130</v>
      </c>
    </row>
    <row r="66" spans="1:1">
      <c r="A66" s="82" t="s">
        <v>258</v>
      </c>
    </row>
    <row r="67" spans="1:1">
      <c r="A67" s="11" t="s">
        <v>170</v>
      </c>
    </row>
    <row r="69" spans="1:1">
      <c r="A69" s="11"/>
    </row>
  </sheetData>
  <mergeCells count="4">
    <mergeCell ref="A4:K4"/>
    <mergeCell ref="A3:K3"/>
    <mergeCell ref="A2:K2"/>
    <mergeCell ref="A1:K1"/>
  </mergeCells>
  <pageMargins left="0.5" right="0.5" top="0.5" bottom="0.5" header="0.3" footer="0.3"/>
  <pageSetup scale="75" orientation="landscape" r:id="rId1"/>
  <ignoredErrors>
    <ignoredError sqref="F48 F3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N75"/>
  <sheetViews>
    <sheetView zoomScaleNormal="100" workbookViewId="0">
      <selection activeCell="K40" sqref="K40"/>
    </sheetView>
  </sheetViews>
  <sheetFormatPr defaultColWidth="8.85546875" defaultRowHeight="12.75"/>
  <cols>
    <col min="1" max="1" width="48" style="11" customWidth="1"/>
    <col min="2" max="2" width="11.42578125" style="11" customWidth="1"/>
    <col min="3" max="3" width="15" style="11" bestFit="1" customWidth="1"/>
    <col min="4" max="5" width="11.7109375" style="11" customWidth="1"/>
    <col min="6" max="9" width="11.7109375" style="82" customWidth="1"/>
    <col min="10" max="11" width="11.7109375" style="11" customWidth="1"/>
    <col min="12" max="12" width="12.28515625" style="11" customWidth="1"/>
    <col min="13" max="16384" width="8.85546875" style="11"/>
  </cols>
  <sheetData>
    <row r="1" spans="1:14" ht="15.75">
      <c r="K1" s="353" t="s">
        <v>393</v>
      </c>
    </row>
    <row r="2" spans="1:14" s="182" customFormat="1" ht="15">
      <c r="A2" s="384" t="s">
        <v>278</v>
      </c>
      <c r="B2" s="384"/>
      <c r="C2" s="384"/>
      <c r="D2" s="384"/>
      <c r="E2" s="384"/>
      <c r="F2" s="384"/>
      <c r="G2" s="384"/>
      <c r="H2" s="384"/>
      <c r="I2" s="384"/>
      <c r="J2" s="384"/>
      <c r="K2" s="384"/>
      <c r="L2" s="183"/>
      <c r="M2" s="183"/>
      <c r="N2" s="183"/>
    </row>
    <row r="3" spans="1:14" s="182" customFormat="1" ht="15">
      <c r="A3" s="384" t="s">
        <v>281</v>
      </c>
      <c r="B3" s="384"/>
      <c r="C3" s="384"/>
      <c r="D3" s="384"/>
      <c r="E3" s="384"/>
      <c r="F3" s="384"/>
      <c r="G3" s="384"/>
      <c r="H3" s="384"/>
      <c r="I3" s="384"/>
      <c r="J3" s="384"/>
      <c r="K3" s="384"/>
      <c r="L3" s="183"/>
      <c r="M3" s="183"/>
      <c r="N3" s="183"/>
    </row>
    <row r="4" spans="1:14" s="182" customFormat="1" ht="15">
      <c r="A4" s="384" t="s">
        <v>279</v>
      </c>
      <c r="B4" s="384"/>
      <c r="C4" s="384"/>
      <c r="D4" s="384"/>
      <c r="E4" s="384"/>
      <c r="F4" s="384"/>
      <c r="G4" s="384"/>
      <c r="H4" s="384"/>
      <c r="I4" s="384"/>
      <c r="J4" s="384"/>
      <c r="K4" s="384"/>
      <c r="L4" s="183"/>
      <c r="M4" s="183"/>
      <c r="N4" s="183"/>
    </row>
    <row r="5" spans="1:14" s="182" customFormat="1" ht="15">
      <c r="A5" s="384" t="s">
        <v>284</v>
      </c>
      <c r="B5" s="384"/>
      <c r="C5" s="384"/>
      <c r="D5" s="384"/>
      <c r="E5" s="384"/>
      <c r="F5" s="384"/>
      <c r="G5" s="384"/>
      <c r="H5" s="384"/>
      <c r="I5" s="384"/>
      <c r="J5" s="384"/>
      <c r="K5" s="384"/>
      <c r="L5" s="183"/>
      <c r="M5" s="183"/>
      <c r="N5" s="183"/>
    </row>
    <row r="6" spans="1:14" s="182" customFormat="1" ht="15">
      <c r="A6" s="184"/>
      <c r="B6" s="184"/>
      <c r="C6" s="184"/>
      <c r="D6" s="184"/>
      <c r="E6" s="184"/>
      <c r="F6" s="184"/>
      <c r="G6" s="184"/>
      <c r="H6" s="184"/>
      <c r="I6" s="184"/>
      <c r="J6" s="184"/>
      <c r="K6" s="183"/>
      <c r="L6" s="183"/>
      <c r="M6" s="183"/>
      <c r="N6" s="183"/>
    </row>
    <row r="7" spans="1:14" s="24" customFormat="1" ht="15">
      <c r="A7" s="126" t="s">
        <v>24</v>
      </c>
      <c r="B7" s="127" t="s">
        <v>95</v>
      </c>
      <c r="C7" s="127" t="s">
        <v>116</v>
      </c>
      <c r="F7" s="84"/>
      <c r="G7" s="41"/>
      <c r="H7" s="41"/>
      <c r="I7" s="41"/>
    </row>
    <row r="8" spans="1:14" s="41" customFormat="1" thickBot="1">
      <c r="A8" s="25" t="s">
        <v>37</v>
      </c>
      <c r="B8" s="343">
        <v>2.5000000000000001E-2</v>
      </c>
      <c r="C8" s="136"/>
    </row>
    <row r="9" spans="1:14" s="24" customFormat="1" thickTop="1">
      <c r="A9" s="341" t="s">
        <v>161</v>
      </c>
      <c r="B9" s="375" t="s">
        <v>394</v>
      </c>
      <c r="C9" s="342" t="s">
        <v>117</v>
      </c>
      <c r="D9" s="41"/>
      <c r="F9" s="41"/>
      <c r="G9" s="41"/>
      <c r="H9" s="41"/>
      <c r="I9" s="41"/>
    </row>
    <row r="10" spans="1:14" s="24" customFormat="1" thickBot="1">
      <c r="A10" s="341" t="s">
        <v>96</v>
      </c>
      <c r="B10" s="356"/>
      <c r="C10" s="342" t="s">
        <v>117</v>
      </c>
      <c r="D10" s="41"/>
      <c r="F10" s="41"/>
      <c r="G10" s="41"/>
      <c r="H10" s="41"/>
      <c r="I10" s="41"/>
    </row>
    <row r="11" spans="1:14" s="24" customFormat="1" thickTop="1">
      <c r="A11" s="32" t="s">
        <v>119</v>
      </c>
      <c r="B11" s="344">
        <v>120</v>
      </c>
      <c r="C11" s="144" t="s">
        <v>118</v>
      </c>
      <c r="D11" s="41"/>
      <c r="F11" s="41"/>
      <c r="H11" s="41"/>
      <c r="I11" s="41"/>
    </row>
    <row r="12" spans="1:14" s="24" customFormat="1" ht="12">
      <c r="A12" s="25" t="s">
        <v>159</v>
      </c>
      <c r="B12" s="38">
        <v>1500</v>
      </c>
      <c r="C12" s="144" t="s">
        <v>120</v>
      </c>
      <c r="D12" s="41"/>
      <c r="E12" s="41"/>
      <c r="F12" s="41"/>
      <c r="H12" s="41"/>
      <c r="I12" s="41"/>
    </row>
    <row r="13" spans="1:14" s="24" customFormat="1" ht="12">
      <c r="A13" s="32" t="s">
        <v>98</v>
      </c>
      <c r="B13" s="38">
        <v>200</v>
      </c>
      <c r="C13" s="144" t="s">
        <v>117</v>
      </c>
      <c r="E13" s="41"/>
      <c r="F13" s="41"/>
      <c r="H13" s="41"/>
      <c r="I13" s="41"/>
    </row>
    <row r="14" spans="1:14" s="24" customFormat="1" ht="12">
      <c r="A14" s="137" t="s">
        <v>109</v>
      </c>
      <c r="B14" s="29">
        <v>0.05</v>
      </c>
      <c r="C14" s="145" t="s">
        <v>121</v>
      </c>
      <c r="D14" s="41"/>
      <c r="E14" s="41"/>
      <c r="F14" s="41"/>
      <c r="G14" s="41"/>
      <c r="H14" s="41"/>
      <c r="I14" s="41"/>
    </row>
    <row r="15" spans="1:14" s="24" customFormat="1" ht="12">
      <c r="A15" s="25" t="s">
        <v>99</v>
      </c>
      <c r="B15" s="39">
        <v>0.02</v>
      </c>
      <c r="C15" s="145"/>
      <c r="D15" s="41"/>
      <c r="E15" s="41"/>
      <c r="F15" s="41"/>
      <c r="G15" s="41"/>
      <c r="H15" s="41"/>
      <c r="I15" s="41"/>
    </row>
    <row r="16" spans="1:14" s="24" customFormat="1" ht="12">
      <c r="A16" s="25" t="s">
        <v>100</v>
      </c>
      <c r="B16" s="39">
        <v>0.05</v>
      </c>
      <c r="C16" s="145" t="s">
        <v>121</v>
      </c>
      <c r="D16" s="41"/>
      <c r="F16" s="41"/>
      <c r="G16" s="41"/>
      <c r="H16" s="41"/>
      <c r="I16" s="41"/>
    </row>
    <row r="17" spans="1:12" s="24" customFormat="1" ht="12">
      <c r="A17" s="25" t="s">
        <v>101</v>
      </c>
      <c r="B17" s="39">
        <v>0.02</v>
      </c>
      <c r="C17" s="145" t="s">
        <v>121</v>
      </c>
      <c r="D17" s="41"/>
      <c r="F17" s="41"/>
      <c r="G17" s="41"/>
      <c r="H17" s="41"/>
      <c r="I17" s="41"/>
    </row>
    <row r="18" spans="1:12" s="24" customFormat="1" ht="12">
      <c r="C18" s="63"/>
      <c r="D18" s="41"/>
      <c r="E18" s="41"/>
      <c r="F18" s="41"/>
      <c r="G18" s="41"/>
      <c r="H18" s="41"/>
      <c r="I18" s="41"/>
    </row>
    <row r="19" spans="1:12" ht="15">
      <c r="D19" s="107"/>
      <c r="E19" s="107" t="s">
        <v>77</v>
      </c>
      <c r="F19" s="80" t="s">
        <v>78</v>
      </c>
      <c r="G19" s="80" t="s">
        <v>79</v>
      </c>
      <c r="H19" s="80" t="s">
        <v>80</v>
      </c>
      <c r="I19" s="80" t="s">
        <v>81</v>
      </c>
      <c r="J19" s="80" t="s">
        <v>150</v>
      </c>
      <c r="K19" s="80" t="s">
        <v>151</v>
      </c>
    </row>
    <row r="20" spans="1:12" s="43" customFormat="1" ht="14.45" customHeight="1">
      <c r="A20" s="54" t="s">
        <v>0</v>
      </c>
      <c r="B20" s="54"/>
      <c r="C20" s="54" t="s">
        <v>291</v>
      </c>
      <c r="D20" s="54">
        <v>2018</v>
      </c>
      <c r="E20" s="54">
        <v>2019</v>
      </c>
      <c r="F20" s="54">
        <v>2020</v>
      </c>
      <c r="G20" s="54">
        <v>2021</v>
      </c>
      <c r="H20" s="54">
        <v>2022</v>
      </c>
      <c r="I20" s="54">
        <v>2023</v>
      </c>
      <c r="J20" s="54">
        <v>2024</v>
      </c>
      <c r="K20" s="54">
        <v>2025</v>
      </c>
    </row>
    <row r="21" spans="1:12" s="10" customFormat="1" ht="15">
      <c r="A21" s="1"/>
      <c r="B21" s="1"/>
      <c r="C21" s="1"/>
      <c r="D21" s="49"/>
      <c r="E21" s="49"/>
      <c r="F21" s="49"/>
      <c r="G21" s="49"/>
      <c r="H21" s="49"/>
      <c r="I21" s="49"/>
    </row>
    <row r="22" spans="1:12" s="10" customFormat="1" ht="15">
      <c r="A22" s="14" t="s">
        <v>76</v>
      </c>
      <c r="B22" s="181"/>
      <c r="C22" s="1"/>
      <c r="D22" s="49"/>
      <c r="E22" s="49"/>
      <c r="F22" s="49"/>
      <c r="G22" s="49"/>
      <c r="H22" s="99"/>
      <c r="I22" s="49"/>
      <c r="K22" s="169"/>
      <c r="L22" s="135"/>
    </row>
    <row r="23" spans="1:12" s="10" customFormat="1" ht="15">
      <c r="A23" s="103" t="s">
        <v>82</v>
      </c>
      <c r="B23" s="49"/>
      <c r="D23" s="187"/>
      <c r="E23" s="129">
        <v>500</v>
      </c>
      <c r="F23" s="130">
        <v>490</v>
      </c>
      <c r="G23" s="130">
        <v>480.2</v>
      </c>
      <c r="H23" s="130">
        <v>470.596</v>
      </c>
      <c r="I23" s="130">
        <v>461.18407999999999</v>
      </c>
      <c r="J23" s="130">
        <v>451.96039839999997</v>
      </c>
      <c r="K23" s="130"/>
      <c r="L23" s="135"/>
    </row>
    <row r="24" spans="1:12" s="10" customFormat="1" ht="15">
      <c r="A24" s="103" t="s">
        <v>83</v>
      </c>
      <c r="B24" s="49"/>
      <c r="D24" s="187"/>
      <c r="E24" s="129">
        <v>50</v>
      </c>
      <c r="F24" s="130">
        <v>49</v>
      </c>
      <c r="G24" s="130">
        <v>48.019999999999996</v>
      </c>
      <c r="H24" s="130">
        <v>47.059599999999996</v>
      </c>
      <c r="I24" s="130">
        <v>46.118407999999995</v>
      </c>
      <c r="J24" s="130">
        <v>45.196039839999997</v>
      </c>
      <c r="K24" s="130"/>
      <c r="L24" s="135"/>
    </row>
    <row r="25" spans="1:12" s="10" customFormat="1" ht="15">
      <c r="A25" s="103" t="s">
        <v>72</v>
      </c>
      <c r="B25" s="49"/>
      <c r="D25" s="172"/>
      <c r="E25" s="128">
        <v>500</v>
      </c>
      <c r="F25" s="130"/>
      <c r="G25" s="130"/>
      <c r="H25" s="130"/>
      <c r="I25" s="131"/>
      <c r="J25" s="146"/>
      <c r="K25" s="146"/>
      <c r="L25" s="135"/>
    </row>
    <row r="26" spans="1:12" s="10" customFormat="1" ht="15">
      <c r="A26" s="103" t="s">
        <v>168</v>
      </c>
      <c r="B26" s="49"/>
      <c r="D26" s="187"/>
      <c r="E26" s="129">
        <v>300</v>
      </c>
      <c r="F26" s="130">
        <v>200</v>
      </c>
      <c r="G26" s="130"/>
      <c r="H26" s="130"/>
      <c r="I26" s="146"/>
      <c r="J26" s="147">
        <v>230.59204</v>
      </c>
      <c r="K26" s="147">
        <v>225.98019919999999</v>
      </c>
      <c r="L26" s="135"/>
    </row>
    <row r="27" spans="1:12" s="10" customFormat="1" ht="15">
      <c r="A27" s="103" t="s">
        <v>73</v>
      </c>
      <c r="B27" s="49"/>
      <c r="D27" s="187"/>
      <c r="E27" s="129"/>
      <c r="F27" s="130">
        <v>24.5</v>
      </c>
      <c r="G27" s="130">
        <v>25</v>
      </c>
      <c r="H27" s="130">
        <v>25</v>
      </c>
      <c r="I27" s="131"/>
      <c r="J27" s="146"/>
      <c r="K27" s="146"/>
      <c r="L27" s="135"/>
    </row>
    <row r="28" spans="1:12" s="10" customFormat="1" ht="15">
      <c r="A28" s="96" t="s">
        <v>74</v>
      </c>
      <c r="B28" s="43"/>
      <c r="C28" s="14"/>
      <c r="D28" s="188"/>
      <c r="E28" s="132">
        <v>550</v>
      </c>
      <c r="F28" s="133">
        <v>539</v>
      </c>
      <c r="G28" s="133">
        <v>528.22</v>
      </c>
      <c r="H28" s="133">
        <v>517.65560000000005</v>
      </c>
      <c r="I28" s="133">
        <v>507.30248799999998</v>
      </c>
      <c r="J28" s="133">
        <v>497.15643823999994</v>
      </c>
      <c r="K28" s="133"/>
    </row>
    <row r="29" spans="1:12" s="10" customFormat="1" ht="15">
      <c r="B29" s="49"/>
      <c r="D29" s="49"/>
      <c r="E29" s="49"/>
      <c r="F29" s="49"/>
      <c r="G29" s="49"/>
      <c r="H29" s="49"/>
      <c r="I29" s="49"/>
      <c r="K29" s="169"/>
    </row>
    <row r="30" spans="1:12" s="10" customFormat="1" ht="15.75" thickBot="1">
      <c r="A30" s="14" t="s">
        <v>162</v>
      </c>
      <c r="B30" s="181"/>
      <c r="C30" s="1"/>
      <c r="D30" s="49"/>
      <c r="E30" s="49"/>
      <c r="F30" s="49"/>
      <c r="G30" s="49"/>
      <c r="H30" s="49"/>
      <c r="I30" s="49"/>
    </row>
    <row r="31" spans="1:12" s="10" customFormat="1" ht="16.5" thickTop="1" thickBot="1">
      <c r="A31" s="40" t="s">
        <v>152</v>
      </c>
      <c r="B31" s="98"/>
      <c r="C31" s="105" t="s">
        <v>4</v>
      </c>
      <c r="D31" s="90"/>
      <c r="E31" s="357"/>
      <c r="F31" s="358"/>
      <c r="G31" s="358"/>
      <c r="H31" s="359"/>
      <c r="I31" s="49"/>
      <c r="L31" s="49"/>
    </row>
    <row r="32" spans="1:12" s="10" customFormat="1" ht="16.5" thickTop="1" thickBot="1">
      <c r="A32" s="148" t="s">
        <v>85</v>
      </c>
      <c r="B32" s="98"/>
      <c r="C32" s="105" t="s">
        <v>4</v>
      </c>
      <c r="D32" s="46"/>
      <c r="E32" s="360"/>
      <c r="F32" s="374" t="s">
        <v>394</v>
      </c>
      <c r="G32" s="361"/>
      <c r="H32" s="362"/>
      <c r="J32" s="376" t="s">
        <v>394</v>
      </c>
      <c r="K32" s="369"/>
      <c r="L32" s="49"/>
    </row>
    <row r="33" spans="1:12" s="10" customFormat="1" ht="16.5" thickTop="1" thickBot="1">
      <c r="A33" s="49" t="s">
        <v>84</v>
      </c>
      <c r="B33" s="98"/>
      <c r="C33" s="105" t="s">
        <v>2</v>
      </c>
      <c r="D33" s="46"/>
      <c r="E33" s="363"/>
      <c r="F33" s="364"/>
      <c r="G33" s="364"/>
      <c r="H33" s="365"/>
      <c r="I33" s="49"/>
      <c r="L33" s="49"/>
    </row>
    <row r="34" spans="1:12" s="49" customFormat="1" ht="15.75" thickTop="1">
      <c r="B34" s="98"/>
      <c r="C34" s="105"/>
      <c r="D34" s="46"/>
      <c r="E34" s="46"/>
      <c r="F34" s="46"/>
      <c r="G34" s="46"/>
      <c r="H34" s="46"/>
    </row>
    <row r="35" spans="1:12" s="10" customFormat="1" ht="15.75" thickBot="1">
      <c r="A35" s="14" t="s">
        <v>163</v>
      </c>
      <c r="B35" s="98"/>
      <c r="C35" s="105"/>
      <c r="D35" s="46"/>
      <c r="E35" s="46"/>
      <c r="F35" s="46"/>
      <c r="G35" s="46"/>
      <c r="H35" s="46"/>
      <c r="I35" s="49"/>
      <c r="L35" s="49"/>
    </row>
    <row r="36" spans="1:12" s="10" customFormat="1" ht="16.5" thickTop="1" thickBot="1">
      <c r="A36" s="10" t="s">
        <v>75</v>
      </c>
      <c r="B36" s="98"/>
      <c r="C36" s="105" t="s">
        <v>4</v>
      </c>
      <c r="D36" s="46"/>
      <c r="E36" s="366"/>
      <c r="F36" s="367"/>
      <c r="G36" s="377" t="s">
        <v>394</v>
      </c>
      <c r="H36" s="368"/>
      <c r="J36" s="376" t="s">
        <v>394</v>
      </c>
      <c r="K36" s="369"/>
      <c r="L36" s="49"/>
    </row>
    <row r="37" spans="1:12" s="97" customFormat="1" ht="15.75" thickTop="1">
      <c r="A37" s="97" t="s">
        <v>107</v>
      </c>
      <c r="B37" s="98"/>
      <c r="C37" s="83" t="s">
        <v>2</v>
      </c>
      <c r="D37" s="46"/>
      <c r="E37" s="46">
        <v>0</v>
      </c>
      <c r="F37" s="46">
        <v>7538.2343749999982</v>
      </c>
      <c r="G37" s="46">
        <v>7726.690234374998</v>
      </c>
      <c r="H37" s="46">
        <v>7919.8574902343726</v>
      </c>
      <c r="I37" s="46">
        <v>8117.8539274902305</v>
      </c>
      <c r="J37" s="46"/>
      <c r="L37" s="21"/>
    </row>
    <row r="38" spans="1:12" s="10" customFormat="1" ht="15">
      <c r="A38" s="10" t="s">
        <v>108</v>
      </c>
      <c r="B38" s="98"/>
      <c r="C38" s="60" t="s">
        <v>2</v>
      </c>
      <c r="D38" s="46"/>
      <c r="E38" s="90">
        <v>17937.5</v>
      </c>
      <c r="F38" s="90">
        <v>18385.9375</v>
      </c>
      <c r="G38" s="90">
        <v>18845.585937499996</v>
      </c>
      <c r="H38" s="90">
        <v>19316.725585937496</v>
      </c>
      <c r="I38" s="90">
        <v>19799.643725585931</v>
      </c>
      <c r="J38" s="90"/>
      <c r="L38" s="49"/>
    </row>
    <row r="39" spans="1:12" s="10" customFormat="1" ht="15">
      <c r="B39" s="98"/>
      <c r="C39" s="105"/>
      <c r="D39" s="46"/>
      <c r="E39" s="46"/>
      <c r="F39" s="46"/>
      <c r="G39" s="46"/>
      <c r="H39" s="46"/>
      <c r="I39" s="49"/>
      <c r="L39" s="49"/>
    </row>
    <row r="40" spans="1:12" s="10" customFormat="1" ht="15">
      <c r="A40" s="14" t="s">
        <v>115</v>
      </c>
      <c r="B40" s="98"/>
      <c r="C40" s="105"/>
      <c r="D40" s="46"/>
      <c r="E40" s="46"/>
      <c r="F40" s="46"/>
      <c r="G40" s="46"/>
      <c r="H40" s="46"/>
      <c r="I40" s="49"/>
      <c r="L40" s="49"/>
    </row>
    <row r="41" spans="1:12" s="10" customFormat="1" ht="15">
      <c r="A41" s="111" t="s">
        <v>259</v>
      </c>
      <c r="B41" s="98"/>
      <c r="C41" s="105" t="s">
        <v>4</v>
      </c>
      <c r="D41" s="46"/>
      <c r="E41" s="46">
        <v>926398</v>
      </c>
      <c r="F41" s="90"/>
      <c r="G41" s="90"/>
      <c r="H41" s="90"/>
      <c r="I41" s="49"/>
      <c r="L41" s="49"/>
    </row>
    <row r="42" spans="1:12" s="10" customFormat="1" ht="15.75" thickBot="1">
      <c r="A42" s="111" t="s">
        <v>261</v>
      </c>
      <c r="B42" s="98"/>
      <c r="C42" s="105" t="s">
        <v>2</v>
      </c>
      <c r="D42" s="46"/>
      <c r="E42" s="46">
        <v>44469</v>
      </c>
      <c r="F42" s="90">
        <v>20423</v>
      </c>
      <c r="G42" s="90">
        <v>20423</v>
      </c>
      <c r="H42" s="90">
        <v>20423</v>
      </c>
      <c r="I42" s="90">
        <v>20423</v>
      </c>
      <c r="L42" s="49"/>
    </row>
    <row r="43" spans="1:12" s="10" customFormat="1" ht="16.5" thickTop="1" thickBot="1">
      <c r="A43" s="49" t="s">
        <v>105</v>
      </c>
      <c r="B43" s="98"/>
      <c r="C43" s="105" t="s">
        <v>2</v>
      </c>
      <c r="D43" s="90"/>
      <c r="E43" s="366"/>
      <c r="F43" s="367"/>
      <c r="G43" s="377" t="s">
        <v>394</v>
      </c>
      <c r="H43" s="367"/>
      <c r="I43" s="368"/>
      <c r="J43" s="90"/>
      <c r="L43" s="49"/>
    </row>
    <row r="44" spans="1:12" s="97" customFormat="1" ht="15.75" thickTop="1">
      <c r="A44" s="21" t="s">
        <v>52</v>
      </c>
      <c r="B44" s="98"/>
      <c r="C44" s="106" t="s">
        <v>2</v>
      </c>
      <c r="D44" s="46"/>
      <c r="E44" s="46">
        <v>51249.999999999993</v>
      </c>
      <c r="F44" s="46">
        <v>52531.249999999993</v>
      </c>
      <c r="G44" s="46">
        <v>53844.531249999993</v>
      </c>
      <c r="H44" s="46">
        <v>55190.644531249985</v>
      </c>
      <c r="I44" s="46">
        <v>56570.410644531235</v>
      </c>
      <c r="J44" s="46"/>
    </row>
    <row r="45" spans="1:12" s="10" customFormat="1" ht="15">
      <c r="B45" s="98"/>
      <c r="C45" s="105"/>
      <c r="D45" s="46"/>
      <c r="E45" s="46"/>
      <c r="F45" s="49"/>
      <c r="G45" s="49"/>
      <c r="H45" s="49"/>
      <c r="I45" s="49"/>
    </row>
    <row r="46" spans="1:12" s="10" customFormat="1" ht="15">
      <c r="A46" s="14" t="s">
        <v>86</v>
      </c>
      <c r="B46" s="98"/>
      <c r="C46" s="61"/>
      <c r="D46" s="46"/>
      <c r="E46" s="46"/>
      <c r="F46" s="49"/>
      <c r="G46" s="49"/>
      <c r="H46" s="49"/>
      <c r="I46" s="49"/>
      <c r="L46" s="97"/>
    </row>
    <row r="47" spans="1:12" s="10" customFormat="1" ht="15">
      <c r="A47" s="10" t="s">
        <v>86</v>
      </c>
      <c r="B47" s="98"/>
      <c r="C47" s="60" t="s">
        <v>2</v>
      </c>
      <c r="D47" s="46"/>
      <c r="E47" s="46">
        <v>51249.999999999993</v>
      </c>
      <c r="F47" s="46">
        <v>52531.249999999993</v>
      </c>
      <c r="G47" s="46">
        <v>26922.265624999996</v>
      </c>
      <c r="H47" s="46">
        <v>27595.322265624993</v>
      </c>
      <c r="I47" s="46">
        <v>28285.205322265618</v>
      </c>
      <c r="L47" s="21"/>
    </row>
    <row r="48" spans="1:12" s="10" customFormat="1" ht="15">
      <c r="B48" s="98"/>
      <c r="C48" s="60"/>
      <c r="D48" s="46"/>
      <c r="E48" s="46"/>
      <c r="F48" s="46"/>
      <c r="G48" s="46"/>
      <c r="H48" s="46"/>
      <c r="I48" s="49"/>
      <c r="L48" s="21"/>
    </row>
    <row r="49" spans="1:13" s="10" customFormat="1" ht="15">
      <c r="A49" s="14" t="s">
        <v>114</v>
      </c>
      <c r="B49" s="98"/>
      <c r="C49" s="60"/>
      <c r="D49" s="46"/>
      <c r="E49" s="46"/>
      <c r="F49" s="46"/>
      <c r="G49" s="46"/>
      <c r="H49" s="46"/>
      <c r="I49" s="49"/>
      <c r="L49" s="21"/>
    </row>
    <row r="50" spans="1:13" ht="15">
      <c r="A50" s="10" t="s">
        <v>106</v>
      </c>
      <c r="B50" s="98"/>
      <c r="C50" s="60" t="s">
        <v>2</v>
      </c>
      <c r="D50" s="46"/>
      <c r="E50" s="44">
        <v>31500</v>
      </c>
      <c r="F50" s="44">
        <v>64680</v>
      </c>
      <c r="G50" s="44">
        <v>63386.400000000001</v>
      </c>
      <c r="H50" s="44">
        <v>62118.672000000006</v>
      </c>
      <c r="I50" s="44">
        <v>60876.298559999996</v>
      </c>
    </row>
    <row r="51" spans="1:13" ht="15">
      <c r="A51" s="10"/>
      <c r="B51" s="98"/>
      <c r="C51" s="60"/>
      <c r="D51" s="46"/>
      <c r="E51" s="44"/>
      <c r="F51" s="44"/>
      <c r="G51" s="44"/>
      <c r="H51" s="44"/>
    </row>
    <row r="52" spans="1:13" ht="15">
      <c r="A52" s="14" t="s">
        <v>113</v>
      </c>
      <c r="B52" s="98"/>
      <c r="C52" s="60"/>
      <c r="D52" s="46"/>
      <c r="E52" s="44"/>
      <c r="F52" s="44"/>
      <c r="G52" s="44"/>
      <c r="H52" s="44"/>
    </row>
    <row r="53" spans="1:13" s="10" customFormat="1" ht="15">
      <c r="A53" s="104" t="s">
        <v>55</v>
      </c>
      <c r="B53" s="98"/>
      <c r="C53" s="98"/>
      <c r="D53" s="46"/>
      <c r="E53" s="46"/>
      <c r="F53" s="46"/>
      <c r="G53" s="46"/>
      <c r="H53" s="98"/>
      <c r="I53" s="49"/>
      <c r="L53" s="49"/>
    </row>
    <row r="54" spans="1:13" s="97" customFormat="1" ht="15">
      <c r="A54" s="102" t="s">
        <v>274</v>
      </c>
      <c r="B54" s="98"/>
      <c r="C54" s="98" t="s">
        <v>4</v>
      </c>
      <c r="D54" s="46"/>
      <c r="E54" s="46">
        <v>57188.85</v>
      </c>
      <c r="F54" s="46">
        <v>26265.624999999996</v>
      </c>
      <c r="G54" s="46">
        <v>0</v>
      </c>
      <c r="H54" s="46">
        <v>27595.322265624993</v>
      </c>
      <c r="I54" s="46">
        <v>0</v>
      </c>
      <c r="J54" s="46">
        <v>0</v>
      </c>
      <c r="K54" s="46">
        <v>0</v>
      </c>
      <c r="L54" s="21"/>
    </row>
    <row r="55" spans="1:13" s="97" customFormat="1" ht="15">
      <c r="A55" s="102" t="s">
        <v>275</v>
      </c>
      <c r="B55" s="98"/>
      <c r="C55" s="98" t="s">
        <v>2</v>
      </c>
      <c r="D55" s="46"/>
      <c r="E55" s="46">
        <v>350063.45812499995</v>
      </c>
      <c r="F55" s="46">
        <v>244242.2608125</v>
      </c>
      <c r="G55" s="46">
        <v>250348.31733281247</v>
      </c>
      <c r="H55" s="46">
        <v>256607.02526613278</v>
      </c>
      <c r="I55" s="46">
        <v>115557.50923179684</v>
      </c>
      <c r="J55" s="46">
        <v>86409.916284460662</v>
      </c>
      <c r="K55" s="46">
        <v>88570.16419157217</v>
      </c>
      <c r="L55" s="21"/>
    </row>
    <row r="56" spans="1:13" s="10" customFormat="1" ht="15">
      <c r="C56" s="60"/>
      <c r="D56" s="49"/>
      <c r="E56" s="49"/>
      <c r="F56" s="101"/>
      <c r="G56" s="101"/>
      <c r="H56" s="101"/>
      <c r="I56" s="49"/>
    </row>
    <row r="57" spans="1:13" s="14" customFormat="1" ht="15">
      <c r="A57" s="67" t="s">
        <v>32</v>
      </c>
      <c r="B57" s="67"/>
      <c r="C57" s="68" t="s">
        <v>4</v>
      </c>
      <c r="D57" s="71">
        <v>0</v>
      </c>
      <c r="E57" s="71">
        <v>1803586.85</v>
      </c>
      <c r="F57" s="71">
        <v>380063.59375</v>
      </c>
      <c r="G57" s="71">
        <v>40383.398437499993</v>
      </c>
      <c r="H57" s="71">
        <v>68988.305664062485</v>
      </c>
      <c r="I57" s="71">
        <v>401124.10662042524</v>
      </c>
      <c r="J57" s="71">
        <v>590120.41485641559</v>
      </c>
      <c r="K57" s="71">
        <v>188033.61038010137</v>
      </c>
      <c r="L57" s="120"/>
    </row>
    <row r="58" spans="1:13" s="14" customFormat="1" ht="15">
      <c r="A58" s="69" t="s">
        <v>33</v>
      </c>
      <c r="B58" s="69"/>
      <c r="C58" s="70" t="s">
        <v>2</v>
      </c>
      <c r="D58" s="72">
        <v>0</v>
      </c>
      <c r="E58" s="72">
        <v>683344.95812499989</v>
      </c>
      <c r="F58" s="72">
        <v>610863.18268750003</v>
      </c>
      <c r="G58" s="72">
        <v>591381.32162968745</v>
      </c>
      <c r="H58" s="72">
        <v>598481.09167042957</v>
      </c>
      <c r="I58" s="72">
        <v>401866.73741166986</v>
      </c>
      <c r="J58" s="72">
        <v>86409.916284460662</v>
      </c>
      <c r="K58" s="72">
        <v>88570.16419157217</v>
      </c>
      <c r="L58" s="120"/>
    </row>
    <row r="59" spans="1:13" s="10" customFormat="1" ht="15">
      <c r="F59" s="101"/>
      <c r="G59" s="101"/>
      <c r="H59" s="101"/>
      <c r="I59" s="49"/>
    </row>
    <row r="60" spans="1:13" s="10" customFormat="1" ht="15">
      <c r="B60" s="169"/>
      <c r="C60" s="170"/>
      <c r="D60" s="171"/>
      <c r="E60" s="171"/>
      <c r="F60" s="171"/>
      <c r="G60" s="171"/>
      <c r="H60" s="172"/>
      <c r="I60" s="172"/>
      <c r="L60" s="120"/>
      <c r="M60" s="140"/>
    </row>
    <row r="61" spans="1:13" s="10" customFormat="1" ht="15">
      <c r="A61" s="1" t="s">
        <v>104</v>
      </c>
      <c r="B61" s="169"/>
      <c r="C61" s="169"/>
      <c r="D61" s="171"/>
      <c r="E61" s="171"/>
      <c r="F61" s="171"/>
      <c r="G61" s="171"/>
      <c r="H61" s="172"/>
      <c r="I61" s="172"/>
      <c r="L61" s="120"/>
      <c r="M61" s="140"/>
    </row>
    <row r="62" spans="1:13" s="10" customFormat="1" ht="15">
      <c r="A62" s="11" t="s">
        <v>169</v>
      </c>
      <c r="B62" s="169"/>
      <c r="C62" s="169"/>
      <c r="D62" s="169"/>
      <c r="E62" s="169"/>
      <c r="F62" s="169"/>
      <c r="G62" s="169"/>
      <c r="H62" s="169"/>
      <c r="I62" s="169"/>
    </row>
    <row r="63" spans="1:13">
      <c r="A63" s="11" t="s">
        <v>97</v>
      </c>
    </row>
    <row r="64" spans="1:13">
      <c r="A64" s="82" t="s">
        <v>166</v>
      </c>
    </row>
    <row r="65" spans="1:1">
      <c r="A65" s="11" t="s">
        <v>158</v>
      </c>
    </row>
    <row r="66" spans="1:1">
      <c r="A66" s="154" t="s">
        <v>167</v>
      </c>
    </row>
    <row r="67" spans="1:1">
      <c r="A67" s="11" t="s">
        <v>165</v>
      </c>
    </row>
    <row r="68" spans="1:1">
      <c r="A68" s="11" t="s">
        <v>102</v>
      </c>
    </row>
    <row r="69" spans="1:1">
      <c r="A69" s="11" t="s">
        <v>103</v>
      </c>
    </row>
    <row r="70" spans="1:1">
      <c r="A70" s="82" t="s">
        <v>268</v>
      </c>
    </row>
    <row r="71" spans="1:1">
      <c r="A71" s="11" t="s">
        <v>164</v>
      </c>
    </row>
    <row r="72" spans="1:1">
      <c r="A72" s="11" t="s">
        <v>171</v>
      </c>
    </row>
    <row r="73" spans="1:1">
      <c r="A73" s="11" t="s">
        <v>110</v>
      </c>
    </row>
    <row r="74" spans="1:1">
      <c r="A74" s="11" t="s">
        <v>112</v>
      </c>
    </row>
    <row r="75" spans="1:1">
      <c r="A75" s="11" t="s">
        <v>160</v>
      </c>
    </row>
  </sheetData>
  <mergeCells count="4">
    <mergeCell ref="A2:K2"/>
    <mergeCell ref="A3:K3"/>
    <mergeCell ref="A4:K4"/>
    <mergeCell ref="A5:K5"/>
  </mergeCells>
  <pageMargins left="0.5" right="0.5" top="0.5" bottom="0.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N103"/>
  <sheetViews>
    <sheetView zoomScaleNormal="100" workbookViewId="0">
      <selection activeCell="G36" sqref="G36"/>
    </sheetView>
  </sheetViews>
  <sheetFormatPr defaultColWidth="8.85546875" defaultRowHeight="15"/>
  <cols>
    <col min="1" max="1" width="40.42578125" style="97" customWidth="1"/>
    <col min="2" max="2" width="8.85546875" style="97" customWidth="1"/>
    <col min="3" max="3" width="15.140625" style="55" bestFit="1" customWidth="1"/>
    <col min="4" max="4" width="8.28515625" style="97" customWidth="1"/>
    <col min="5" max="5" width="24" style="97" customWidth="1"/>
    <col min="6" max="6" width="10" style="97" customWidth="1"/>
    <col min="7" max="7" width="12.7109375" style="97" customWidth="1"/>
    <col min="8" max="11" width="11.42578125" style="97" customWidth="1"/>
    <col min="12" max="12" width="4.7109375" style="97" customWidth="1"/>
    <col min="13" max="13" width="11.42578125" style="97" customWidth="1"/>
    <col min="14" max="14" width="10.7109375" style="97" customWidth="1"/>
    <col min="15" max="16384" width="8.85546875" style="97"/>
  </cols>
  <sheetData>
    <row r="1" spans="1:14" ht="15.75">
      <c r="M1" s="353" t="s">
        <v>393</v>
      </c>
    </row>
    <row r="2" spans="1:14" s="182" customFormat="1">
      <c r="A2" s="384" t="s">
        <v>278</v>
      </c>
      <c r="B2" s="384"/>
      <c r="C2" s="384"/>
      <c r="D2" s="384"/>
      <c r="E2" s="384"/>
      <c r="F2" s="384"/>
      <c r="G2" s="384"/>
      <c r="H2" s="384"/>
      <c r="I2" s="384"/>
      <c r="J2" s="384"/>
      <c r="K2" s="384"/>
      <c r="L2" s="183"/>
      <c r="M2" s="183"/>
      <c r="N2" s="183"/>
    </row>
    <row r="3" spans="1:14" s="182" customFormat="1">
      <c r="A3" s="384" t="s">
        <v>281</v>
      </c>
      <c r="B3" s="384"/>
      <c r="C3" s="384"/>
      <c r="D3" s="384"/>
      <c r="E3" s="384"/>
      <c r="F3" s="384"/>
      <c r="G3" s="384"/>
      <c r="H3" s="384"/>
      <c r="I3" s="384"/>
      <c r="J3" s="384"/>
      <c r="K3" s="384"/>
      <c r="L3" s="183"/>
      <c r="M3" s="183"/>
      <c r="N3" s="183"/>
    </row>
    <row r="4" spans="1:14" s="182" customFormat="1">
      <c r="A4" s="384" t="s">
        <v>279</v>
      </c>
      <c r="B4" s="384"/>
      <c r="C4" s="384"/>
      <c r="D4" s="384"/>
      <c r="E4" s="384"/>
      <c r="F4" s="384"/>
      <c r="G4" s="384"/>
      <c r="H4" s="384"/>
      <c r="I4" s="384"/>
      <c r="J4" s="384"/>
      <c r="K4" s="384"/>
      <c r="L4" s="183"/>
      <c r="M4" s="183"/>
      <c r="N4" s="183"/>
    </row>
    <row r="5" spans="1:14" s="182" customFormat="1">
      <c r="A5" s="384" t="s">
        <v>285</v>
      </c>
      <c r="B5" s="384"/>
      <c r="C5" s="384"/>
      <c r="D5" s="384"/>
      <c r="E5" s="384"/>
      <c r="F5" s="384"/>
      <c r="G5" s="384"/>
      <c r="H5" s="384"/>
      <c r="I5" s="384"/>
      <c r="J5" s="384"/>
      <c r="K5" s="384"/>
      <c r="L5" s="183"/>
      <c r="M5" s="183"/>
      <c r="N5" s="183"/>
    </row>
    <row r="6" spans="1:14" s="182" customFormat="1">
      <c r="A6" s="184"/>
      <c r="B6" s="184"/>
      <c r="C6" s="184"/>
      <c r="D6" s="184"/>
      <c r="E6" s="184"/>
      <c r="F6" s="184"/>
      <c r="G6" s="184"/>
      <c r="H6" s="184"/>
      <c r="I6" s="184"/>
      <c r="J6" s="184"/>
      <c r="K6" s="183"/>
      <c r="L6" s="183"/>
      <c r="M6" s="183"/>
      <c r="N6" s="183"/>
    </row>
    <row r="7" spans="1:14" s="24" customFormat="1">
      <c r="A7" s="126" t="s">
        <v>24</v>
      </c>
      <c r="B7" s="127" t="s">
        <v>95</v>
      </c>
      <c r="C7" s="127" t="s">
        <v>116</v>
      </c>
      <c r="E7" s="22" t="s">
        <v>43</v>
      </c>
      <c r="F7" s="23"/>
      <c r="G7" s="23"/>
    </row>
    <row r="8" spans="1:14" s="24" customFormat="1" ht="12.75" thickBot="1">
      <c r="A8" s="48" t="s">
        <v>37</v>
      </c>
      <c r="B8" s="26">
        <v>2.5000000000000001E-2</v>
      </c>
      <c r="C8" s="26"/>
      <c r="E8" s="25" t="s">
        <v>40</v>
      </c>
      <c r="F8" s="27">
        <v>7.5</v>
      </c>
      <c r="G8" s="25" t="s">
        <v>46</v>
      </c>
    </row>
    <row r="9" spans="1:14" s="24" customFormat="1" ht="13.5" thickTop="1" thickBot="1">
      <c r="A9" s="25" t="s">
        <v>211</v>
      </c>
      <c r="B9" s="382" t="s">
        <v>394</v>
      </c>
      <c r="C9" s="149" t="s">
        <v>143</v>
      </c>
      <c r="E9" s="48" t="s">
        <v>198</v>
      </c>
      <c r="F9" s="138">
        <v>50</v>
      </c>
      <c r="G9" s="48" t="s">
        <v>197</v>
      </c>
    </row>
    <row r="10" spans="1:14" s="24" customFormat="1" ht="12.75" thickTop="1">
      <c r="A10" s="25" t="s">
        <v>50</v>
      </c>
      <c r="B10" s="345">
        <v>4</v>
      </c>
      <c r="C10" s="27"/>
      <c r="E10" s="25" t="s">
        <v>41</v>
      </c>
      <c r="F10" s="28">
        <v>25</v>
      </c>
      <c r="G10" s="25" t="s">
        <v>47</v>
      </c>
    </row>
    <row r="11" spans="1:14" s="24" customFormat="1" ht="12">
      <c r="A11" s="25" t="s">
        <v>51</v>
      </c>
      <c r="B11" s="138">
        <v>2</v>
      </c>
      <c r="C11" s="29"/>
      <c r="E11" s="25" t="s">
        <v>202</v>
      </c>
      <c r="F11" s="30">
        <v>52.3</v>
      </c>
      <c r="G11" s="25" t="s">
        <v>199</v>
      </c>
      <c r="H11" s="41"/>
    </row>
    <row r="12" spans="1:14" s="24" customFormat="1" ht="12.75" thickBot="1">
      <c r="A12" s="161" t="s">
        <v>39</v>
      </c>
      <c r="B12" s="38">
        <v>32000</v>
      </c>
      <c r="C12" s="38"/>
      <c r="E12" s="25" t="s">
        <v>205</v>
      </c>
      <c r="F12" s="30">
        <v>7.8550000000000004</v>
      </c>
      <c r="G12" s="25" t="s">
        <v>201</v>
      </c>
    </row>
    <row r="13" spans="1:14" s="24" customFormat="1" ht="12.75" thickTop="1">
      <c r="A13" s="379" t="s">
        <v>212</v>
      </c>
      <c r="B13" s="381" t="s">
        <v>394</v>
      </c>
      <c r="C13" s="380"/>
      <c r="E13" s="25" t="s">
        <v>208</v>
      </c>
      <c r="F13" s="37">
        <v>10</v>
      </c>
      <c r="G13" s="25" t="s">
        <v>147</v>
      </c>
    </row>
    <row r="14" spans="1:14" s="24" customFormat="1" ht="12.75" thickBot="1">
      <c r="A14" s="379" t="s">
        <v>213</v>
      </c>
      <c r="B14" s="356">
        <v>30050</v>
      </c>
      <c r="C14" s="380"/>
      <c r="E14" s="25" t="s">
        <v>42</v>
      </c>
      <c r="F14" s="27">
        <v>2.5</v>
      </c>
      <c r="G14" s="25" t="s">
        <v>46</v>
      </c>
      <c r="H14" s="41"/>
    </row>
    <row r="15" spans="1:14" s="24" customFormat="1" ht="12.75" thickTop="1">
      <c r="A15" s="31" t="s">
        <v>216</v>
      </c>
      <c r="B15" s="38">
        <v>3000</v>
      </c>
      <c r="C15" s="38"/>
      <c r="E15" s="25" t="s">
        <v>49</v>
      </c>
      <c r="F15" s="28">
        <v>15</v>
      </c>
      <c r="G15" s="25" t="s">
        <v>47</v>
      </c>
      <c r="H15" s="41"/>
    </row>
    <row r="16" spans="1:14" s="24" customFormat="1" ht="12">
      <c r="A16" s="31" t="s">
        <v>214</v>
      </c>
      <c r="B16" s="38">
        <v>5000</v>
      </c>
      <c r="C16" s="38"/>
      <c r="E16" s="25" t="s">
        <v>204</v>
      </c>
      <c r="F16" s="155">
        <v>9.3428499999999998E-2</v>
      </c>
      <c r="G16" s="25" t="s">
        <v>207</v>
      </c>
      <c r="H16" s="41"/>
    </row>
    <row r="17" spans="1:13" s="24" customFormat="1" ht="12">
      <c r="A17" s="31" t="s">
        <v>215</v>
      </c>
      <c r="B17" s="38">
        <v>4500</v>
      </c>
      <c r="C17" s="32"/>
      <c r="E17" s="25" t="s">
        <v>206</v>
      </c>
      <c r="F17" s="155">
        <v>9.3428499999999998E-2</v>
      </c>
      <c r="G17" s="25" t="s">
        <v>207</v>
      </c>
    </row>
    <row r="18" spans="1:13" s="24" customFormat="1" ht="12">
      <c r="A18" s="32" t="s">
        <v>217</v>
      </c>
      <c r="B18" s="38">
        <v>500</v>
      </c>
      <c r="C18" s="143" t="s">
        <v>144</v>
      </c>
    </row>
    <row r="19" spans="1:13" s="24" customFormat="1" ht="12.75" thickBot="1">
      <c r="A19" s="32" t="s">
        <v>218</v>
      </c>
      <c r="B19" s="38">
        <v>1000</v>
      </c>
      <c r="C19" s="143" t="s">
        <v>145</v>
      </c>
      <c r="E19" s="35"/>
      <c r="F19" s="36"/>
    </row>
    <row r="20" spans="1:13" s="24" customFormat="1" ht="13.5" thickTop="1" thickBot="1">
      <c r="A20" s="32" t="s">
        <v>219</v>
      </c>
      <c r="B20" s="382" t="s">
        <v>394</v>
      </c>
      <c r="C20" s="143" t="s">
        <v>143</v>
      </c>
      <c r="D20" s="41"/>
      <c r="E20" s="84"/>
    </row>
    <row r="21" spans="1:13" s="24" customFormat="1" ht="12.75" thickTop="1">
      <c r="A21" s="32" t="s">
        <v>109</v>
      </c>
      <c r="B21" s="29">
        <v>0.1</v>
      </c>
      <c r="C21" s="27"/>
    </row>
    <row r="22" spans="1:13" s="24" customFormat="1" ht="12">
      <c r="A22" s="48" t="s">
        <v>220</v>
      </c>
      <c r="B22" s="29">
        <v>0.02</v>
      </c>
      <c r="C22" s="27"/>
    </row>
    <row r="23" spans="1:13" s="24" customFormat="1">
      <c r="A23" s="45"/>
      <c r="B23" s="63"/>
      <c r="C23" s="63"/>
      <c r="D23" s="107"/>
      <c r="E23" s="107" t="s">
        <v>77</v>
      </c>
      <c r="F23" s="80" t="s">
        <v>78</v>
      </c>
      <c r="G23" s="80" t="s">
        <v>79</v>
      </c>
      <c r="H23" s="80" t="s">
        <v>80</v>
      </c>
      <c r="I23" s="80" t="s">
        <v>81</v>
      </c>
      <c r="J23" s="80" t="s">
        <v>150</v>
      </c>
      <c r="K23" s="80" t="s">
        <v>151</v>
      </c>
    </row>
    <row r="24" spans="1:13" s="43" customFormat="1">
      <c r="A24" s="54" t="s">
        <v>0</v>
      </c>
      <c r="B24" s="54"/>
      <c r="C24" s="54" t="s">
        <v>291</v>
      </c>
      <c r="D24" s="54">
        <v>2018</v>
      </c>
      <c r="E24" s="54">
        <v>2019</v>
      </c>
      <c r="F24" s="54">
        <v>2020</v>
      </c>
      <c r="G24" s="54">
        <v>2021</v>
      </c>
      <c r="H24" s="54">
        <v>2022</v>
      </c>
      <c r="I24" s="54">
        <v>2023</v>
      </c>
      <c r="J24" s="54">
        <v>2024</v>
      </c>
      <c r="K24" s="54">
        <v>2025</v>
      </c>
      <c r="L24" s="54"/>
      <c r="M24" s="54" t="s">
        <v>53</v>
      </c>
    </row>
    <row r="25" spans="1:13">
      <c r="D25" s="56"/>
      <c r="E25" s="56"/>
      <c r="F25" s="21"/>
      <c r="G25" s="21"/>
      <c r="H25" s="21"/>
      <c r="I25" s="21"/>
      <c r="M25" s="135"/>
    </row>
    <row r="26" spans="1:13">
      <c r="A26" s="14" t="s">
        <v>146</v>
      </c>
      <c r="D26" s="91"/>
      <c r="E26" s="91"/>
      <c r="F26" s="21"/>
      <c r="G26" s="21"/>
      <c r="H26" s="21"/>
      <c r="I26" s="21"/>
      <c r="M26" s="135"/>
    </row>
    <row r="27" spans="1:13">
      <c r="A27" s="10" t="s">
        <v>139</v>
      </c>
      <c r="B27" s="41"/>
      <c r="C27" s="75"/>
      <c r="D27" s="91"/>
      <c r="E27" s="114">
        <v>3</v>
      </c>
      <c r="F27" s="114">
        <v>5</v>
      </c>
      <c r="G27" s="114">
        <v>0</v>
      </c>
      <c r="H27" s="114">
        <v>0</v>
      </c>
      <c r="I27" s="114">
        <v>0</v>
      </c>
      <c r="J27" s="125">
        <v>0</v>
      </c>
      <c r="K27" s="125">
        <v>0</v>
      </c>
      <c r="M27" s="135"/>
    </row>
    <row r="28" spans="1:13">
      <c r="A28" s="7" t="s">
        <v>11</v>
      </c>
      <c r="D28" s="91"/>
      <c r="E28" s="114">
        <v>12</v>
      </c>
      <c r="F28" s="114">
        <v>20</v>
      </c>
      <c r="G28" s="114">
        <v>0</v>
      </c>
      <c r="H28" s="114">
        <v>0</v>
      </c>
      <c r="I28" s="114">
        <v>0</v>
      </c>
      <c r="J28" s="125">
        <v>0</v>
      </c>
      <c r="K28" s="125">
        <v>0</v>
      </c>
      <c r="M28" s="135"/>
    </row>
    <row r="29" spans="1:13">
      <c r="A29" s="97" t="s">
        <v>12</v>
      </c>
      <c r="B29" s="3"/>
      <c r="C29" s="76"/>
      <c r="D29" s="91"/>
      <c r="E29" s="114">
        <v>6</v>
      </c>
      <c r="F29" s="114">
        <v>10</v>
      </c>
      <c r="G29" s="114">
        <v>0</v>
      </c>
      <c r="H29" s="114">
        <v>0</v>
      </c>
      <c r="I29" s="114">
        <v>0</v>
      </c>
      <c r="J29" s="125">
        <v>0</v>
      </c>
      <c r="K29" s="125">
        <v>0</v>
      </c>
      <c r="M29" s="135"/>
    </row>
    <row r="30" spans="1:13">
      <c r="A30" s="97" t="s">
        <v>138</v>
      </c>
      <c r="B30" s="3"/>
      <c r="C30" s="76"/>
      <c r="D30" s="91"/>
      <c r="E30" s="114">
        <v>3</v>
      </c>
      <c r="F30" s="114">
        <v>8</v>
      </c>
      <c r="G30" s="114">
        <v>8</v>
      </c>
      <c r="H30" s="114">
        <v>8</v>
      </c>
      <c r="I30" s="114">
        <v>8</v>
      </c>
      <c r="J30" s="114">
        <v>8</v>
      </c>
      <c r="K30" s="114">
        <v>8</v>
      </c>
      <c r="M30" s="135"/>
    </row>
    <row r="31" spans="1:13">
      <c r="A31" s="97" t="s">
        <v>140</v>
      </c>
      <c r="B31" s="3"/>
      <c r="C31" s="76"/>
      <c r="D31" s="91"/>
      <c r="E31" s="114">
        <v>12</v>
      </c>
      <c r="F31" s="114">
        <v>32</v>
      </c>
      <c r="G31" s="114">
        <v>32</v>
      </c>
      <c r="H31" s="114">
        <v>32</v>
      </c>
      <c r="I31" s="114">
        <v>32</v>
      </c>
      <c r="J31" s="114">
        <v>32</v>
      </c>
      <c r="K31" s="114">
        <v>32</v>
      </c>
      <c r="M31" s="135"/>
    </row>
    <row r="32" spans="1:13">
      <c r="A32" s="97" t="s">
        <v>141</v>
      </c>
      <c r="B32" s="3"/>
      <c r="C32" s="76"/>
      <c r="D32" s="91"/>
      <c r="E32" s="114">
        <v>6</v>
      </c>
      <c r="F32" s="114">
        <v>16</v>
      </c>
      <c r="G32" s="114">
        <v>16</v>
      </c>
      <c r="H32" s="114">
        <v>16</v>
      </c>
      <c r="I32" s="114">
        <v>16</v>
      </c>
      <c r="J32" s="114">
        <v>16</v>
      </c>
      <c r="K32" s="114">
        <v>16</v>
      </c>
      <c r="M32" s="135"/>
    </row>
    <row r="33" spans="1:13">
      <c r="B33" s="3" t="s">
        <v>3</v>
      </c>
      <c r="C33" s="76"/>
      <c r="D33" s="91"/>
      <c r="E33" s="91"/>
      <c r="F33" s="21"/>
      <c r="G33" s="21"/>
      <c r="H33" s="21"/>
      <c r="I33" s="21"/>
    </row>
    <row r="34" spans="1:13">
      <c r="A34" s="6" t="s">
        <v>298</v>
      </c>
      <c r="B34" s="21"/>
      <c r="D34" s="56"/>
      <c r="E34" s="56"/>
      <c r="F34" s="21"/>
      <c r="G34" s="21"/>
      <c r="H34" s="21"/>
      <c r="I34" s="21"/>
    </row>
    <row r="35" spans="1:13" ht="15.75" thickBot="1">
      <c r="A35" s="3" t="s">
        <v>28</v>
      </c>
      <c r="B35" s="56"/>
      <c r="C35" s="56"/>
      <c r="D35" s="115"/>
      <c r="E35" s="115"/>
      <c r="F35" s="116"/>
      <c r="G35" s="116"/>
      <c r="H35" s="116"/>
      <c r="I35" s="21"/>
      <c r="M35" s="49"/>
    </row>
    <row r="36" spans="1:13" ht="15.75" thickTop="1">
      <c r="A36" s="3" t="s">
        <v>8</v>
      </c>
      <c r="B36" s="56" t="s">
        <v>58</v>
      </c>
      <c r="C36" s="56" t="s">
        <v>4</v>
      </c>
      <c r="D36" s="46"/>
      <c r="E36" s="370">
        <v>98399.999999999985</v>
      </c>
      <c r="F36" s="371">
        <v>168100</v>
      </c>
      <c r="G36" s="373" t="s">
        <v>394</v>
      </c>
      <c r="H36" s="371">
        <v>0</v>
      </c>
      <c r="I36" s="371">
        <v>0</v>
      </c>
      <c r="J36" s="371">
        <v>0</v>
      </c>
      <c r="K36" s="372">
        <v>0</v>
      </c>
      <c r="M36" s="21"/>
    </row>
    <row r="37" spans="1:13" ht="15.75" thickBot="1">
      <c r="A37" s="3" t="s">
        <v>7</v>
      </c>
      <c r="B37" s="56" t="s">
        <v>58</v>
      </c>
      <c r="C37" s="56" t="s">
        <v>4</v>
      </c>
      <c r="D37" s="46"/>
      <c r="E37" s="363">
        <v>233392.49999999997</v>
      </c>
      <c r="F37" s="364">
        <v>398712.18749999994</v>
      </c>
      <c r="G37" s="364">
        <v>0</v>
      </c>
      <c r="H37" s="364">
        <v>0</v>
      </c>
      <c r="I37" s="364">
        <v>0</v>
      </c>
      <c r="J37" s="361">
        <v>0</v>
      </c>
      <c r="K37" s="362">
        <v>0</v>
      </c>
      <c r="M37" s="21"/>
    </row>
    <row r="38" spans="1:13" ht="16.5" thickTop="1" thickBot="1">
      <c r="A38" s="3" t="s">
        <v>221</v>
      </c>
      <c r="B38" s="56" t="s">
        <v>58</v>
      </c>
      <c r="C38" s="56" t="s">
        <v>4</v>
      </c>
      <c r="D38" s="46"/>
      <c r="E38" s="46"/>
      <c r="F38" s="46"/>
      <c r="G38" s="46"/>
      <c r="H38" s="46"/>
      <c r="I38" s="46"/>
      <c r="J38" s="363">
        <v>132031.09566353753</v>
      </c>
      <c r="K38" s="365">
        <v>225553.12175854333</v>
      </c>
      <c r="M38" s="21"/>
    </row>
    <row r="39" spans="1:13" ht="15.75" thickTop="1">
      <c r="A39" s="3" t="s">
        <v>9</v>
      </c>
      <c r="B39" s="56" t="s">
        <v>58</v>
      </c>
      <c r="C39" s="56" t="s">
        <v>4</v>
      </c>
      <c r="D39" s="46"/>
      <c r="E39" s="46">
        <v>9225</v>
      </c>
      <c r="F39" s="46">
        <v>15759.374999999998</v>
      </c>
      <c r="G39" s="46">
        <v>0</v>
      </c>
      <c r="H39" s="46">
        <v>0</v>
      </c>
      <c r="I39" s="46">
        <v>0</v>
      </c>
      <c r="M39" s="21"/>
    </row>
    <row r="40" spans="1:13">
      <c r="A40" s="3" t="s">
        <v>10</v>
      </c>
      <c r="B40" s="56" t="s">
        <v>58</v>
      </c>
      <c r="C40" s="56" t="s">
        <v>4</v>
      </c>
      <c r="D40" s="46"/>
      <c r="E40" s="46">
        <v>30749.999999999996</v>
      </c>
      <c r="F40" s="46">
        <v>52531.249999999993</v>
      </c>
      <c r="G40" s="46">
        <v>0</v>
      </c>
      <c r="H40" s="46">
        <v>0</v>
      </c>
      <c r="I40" s="46">
        <v>0</v>
      </c>
      <c r="M40" s="21"/>
    </row>
    <row r="41" spans="1:13">
      <c r="A41" s="3" t="s">
        <v>187</v>
      </c>
      <c r="B41" s="56" t="s">
        <v>58</v>
      </c>
      <c r="C41" s="56" t="s">
        <v>4</v>
      </c>
      <c r="D41" s="46"/>
      <c r="E41" s="46"/>
      <c r="F41" s="46"/>
      <c r="G41" s="46"/>
      <c r="H41" s="46"/>
      <c r="I41" s="46"/>
      <c r="J41" s="46">
        <v>34790.802546386709</v>
      </c>
      <c r="K41" s="46">
        <v>59434.287683410628</v>
      </c>
      <c r="M41" s="21"/>
    </row>
    <row r="42" spans="1:13">
      <c r="A42" s="21" t="s">
        <v>59</v>
      </c>
      <c r="B42" s="56" t="s">
        <v>57</v>
      </c>
      <c r="C42" s="77" t="s">
        <v>4</v>
      </c>
      <c r="D42" s="46"/>
      <c r="E42" s="46">
        <v>3074.9999999999995</v>
      </c>
      <c r="F42" s="46">
        <v>5253.125</v>
      </c>
      <c r="G42" s="46">
        <v>0</v>
      </c>
      <c r="H42" s="46">
        <v>0</v>
      </c>
      <c r="I42" s="46">
        <v>0</v>
      </c>
      <c r="J42" s="46">
        <v>0</v>
      </c>
      <c r="K42" s="46">
        <v>0</v>
      </c>
      <c r="M42" s="21"/>
    </row>
    <row r="43" spans="1:13">
      <c r="A43" s="21"/>
      <c r="B43" s="56"/>
      <c r="C43" s="77"/>
      <c r="D43" s="46"/>
      <c r="E43" s="46"/>
      <c r="F43" s="46"/>
      <c r="G43" s="46"/>
      <c r="H43" s="46"/>
      <c r="I43" s="46"/>
      <c r="M43" s="21"/>
    </row>
    <row r="44" spans="1:13">
      <c r="A44" s="14" t="s">
        <v>230</v>
      </c>
      <c r="B44" s="56"/>
      <c r="C44" s="77"/>
      <c r="D44" s="46"/>
      <c r="E44" s="46"/>
      <c r="F44" s="46"/>
      <c r="G44" s="46"/>
      <c r="H44" s="46"/>
      <c r="I44" s="46"/>
      <c r="M44" s="21"/>
    </row>
    <row r="45" spans="1:13" ht="15.75" thickBot="1">
      <c r="A45" s="3" t="s">
        <v>5</v>
      </c>
      <c r="B45" s="56"/>
      <c r="C45" s="77"/>
      <c r="D45" s="46"/>
      <c r="E45" s="46"/>
      <c r="F45" s="46"/>
      <c r="G45" s="46"/>
      <c r="H45" s="46"/>
      <c r="I45" s="46"/>
      <c r="M45" s="21"/>
    </row>
    <row r="46" spans="1:13" ht="15.75" thickTop="1">
      <c r="A46" s="3" t="s">
        <v>222</v>
      </c>
      <c r="B46" s="56" t="s">
        <v>58</v>
      </c>
      <c r="C46" s="56" t="s">
        <v>4</v>
      </c>
      <c r="D46" s="46"/>
      <c r="E46" s="370">
        <v>92403.749999999985</v>
      </c>
      <c r="F46" s="371">
        <v>157856.40625</v>
      </c>
      <c r="G46" s="373" t="s">
        <v>394</v>
      </c>
      <c r="H46" s="371">
        <v>0</v>
      </c>
      <c r="I46" s="371">
        <v>0</v>
      </c>
      <c r="J46" s="371">
        <v>52273.180825946023</v>
      </c>
      <c r="K46" s="372">
        <v>89300.017244324466</v>
      </c>
      <c r="M46" s="49"/>
    </row>
    <row r="47" spans="1:13" ht="15.75" thickBot="1">
      <c r="A47" s="3" t="s">
        <v>223</v>
      </c>
      <c r="B47" s="56" t="s">
        <v>58</v>
      </c>
      <c r="C47" s="56" t="s">
        <v>4</v>
      </c>
      <c r="D47" s="46"/>
      <c r="E47" s="363">
        <v>13837.499999999998</v>
      </c>
      <c r="F47" s="364">
        <v>23639.0625</v>
      </c>
      <c r="G47" s="364">
        <v>0</v>
      </c>
      <c r="H47" s="364">
        <v>0</v>
      </c>
      <c r="I47" s="364">
        <v>0</v>
      </c>
      <c r="J47" s="364">
        <v>7827.9305729370089</v>
      </c>
      <c r="K47" s="365">
        <v>13372.714728767391</v>
      </c>
      <c r="M47" s="21"/>
    </row>
    <row r="48" spans="1:13" ht="15.75" thickTop="1">
      <c r="A48" s="97" t="s">
        <v>224</v>
      </c>
      <c r="B48" s="56"/>
      <c r="C48" s="56"/>
      <c r="D48" s="117"/>
      <c r="E48" s="117"/>
      <c r="F48" s="118"/>
      <c r="G48" s="118"/>
      <c r="H48" s="118"/>
      <c r="I48" s="21"/>
      <c r="J48" s="21"/>
      <c r="K48" s="21"/>
    </row>
    <row r="49" spans="1:13">
      <c r="A49" s="97" t="s">
        <v>7</v>
      </c>
      <c r="B49" s="56" t="s">
        <v>57</v>
      </c>
      <c r="C49" s="77" t="s">
        <v>2</v>
      </c>
      <c r="D49" s="46"/>
      <c r="E49" s="46">
        <v>4784.5462499999994</v>
      </c>
      <c r="F49" s="46">
        <v>13282.099746093747</v>
      </c>
      <c r="G49" s="46">
        <v>13614.15223974609</v>
      </c>
      <c r="H49" s="46">
        <v>13954.506045739741</v>
      </c>
      <c r="I49" s="46">
        <v>14303.368696883233</v>
      </c>
      <c r="J49" s="46">
        <v>14660.952914305313</v>
      </c>
      <c r="K49" s="46">
        <v>15027.476737162946</v>
      </c>
    </row>
    <row r="50" spans="1:13">
      <c r="A50" s="97" t="s">
        <v>10</v>
      </c>
      <c r="B50" s="56" t="s">
        <v>57</v>
      </c>
      <c r="C50" s="77" t="s">
        <v>2</v>
      </c>
      <c r="D50" s="46"/>
      <c r="E50" s="46">
        <v>630.37499999999977</v>
      </c>
      <c r="F50" s="46">
        <v>1749.9472656249995</v>
      </c>
      <c r="G50" s="46">
        <v>1793.6959472656245</v>
      </c>
      <c r="H50" s="46">
        <v>1838.538345947265</v>
      </c>
      <c r="I50" s="46">
        <v>1884.5018045959464</v>
      </c>
      <c r="J50" s="46">
        <v>1931.6143497108449</v>
      </c>
      <c r="K50" s="46">
        <v>1979.9047084536162</v>
      </c>
    </row>
    <row r="51" spans="1:13">
      <c r="A51" s="3"/>
      <c r="B51" s="56"/>
      <c r="C51" s="56"/>
      <c r="D51" s="46"/>
      <c r="E51" s="46"/>
      <c r="F51" s="46"/>
      <c r="G51" s="46"/>
      <c r="H51" s="46"/>
      <c r="I51" s="46"/>
      <c r="M51" s="21"/>
    </row>
    <row r="52" spans="1:13">
      <c r="A52" s="14" t="s">
        <v>226</v>
      </c>
      <c r="B52" s="56"/>
      <c r="C52" s="56"/>
      <c r="D52" s="46"/>
      <c r="E52" s="46"/>
      <c r="F52" s="46"/>
      <c r="G52" s="46"/>
      <c r="H52" s="46"/>
      <c r="I52" s="46"/>
      <c r="M52" s="21"/>
    </row>
    <row r="53" spans="1:13">
      <c r="A53" s="111" t="s">
        <v>259</v>
      </c>
      <c r="B53" s="56" t="s">
        <v>58</v>
      </c>
      <c r="C53" s="56" t="s">
        <v>4</v>
      </c>
      <c r="D53" s="21"/>
      <c r="E53" s="46">
        <v>587141</v>
      </c>
      <c r="F53" s="46"/>
      <c r="G53" s="46"/>
      <c r="H53" s="46"/>
      <c r="I53" s="46"/>
      <c r="J53" s="21"/>
      <c r="K53" s="21"/>
      <c r="L53" s="21"/>
      <c r="M53" s="21"/>
    </row>
    <row r="54" spans="1:13">
      <c r="A54" s="111" t="s">
        <v>261</v>
      </c>
      <c r="B54" s="56" t="s">
        <v>58</v>
      </c>
      <c r="C54" s="56" t="s">
        <v>2</v>
      </c>
      <c r="D54" s="46"/>
      <c r="E54" s="46">
        <v>37799</v>
      </c>
      <c r="G54" s="46"/>
      <c r="H54" s="46"/>
      <c r="I54" s="46"/>
    </row>
    <row r="55" spans="1:13">
      <c r="A55" s="49" t="s">
        <v>225</v>
      </c>
      <c r="B55" s="56" t="s">
        <v>57</v>
      </c>
      <c r="C55" s="90" t="s">
        <v>2</v>
      </c>
      <c r="D55" s="46"/>
      <c r="E55" s="46">
        <v>6457.4999999999991</v>
      </c>
      <c r="F55" s="46">
        <v>17650.5</v>
      </c>
      <c r="G55" s="46">
        <v>18091.762499999997</v>
      </c>
      <c r="H55" s="46">
        <v>18544.056562499994</v>
      </c>
      <c r="I55" s="46">
        <v>19007.657976562496</v>
      </c>
      <c r="J55" s="46">
        <v>19482.849425976554</v>
      </c>
      <c r="K55" s="46">
        <v>19969.920661625969</v>
      </c>
    </row>
    <row r="56" spans="1:13">
      <c r="A56" s="97" t="s">
        <v>52</v>
      </c>
      <c r="B56" s="56" t="s">
        <v>57</v>
      </c>
      <c r="C56" s="56" t="s">
        <v>2</v>
      </c>
      <c r="D56" s="46"/>
      <c r="E56" s="46">
        <v>51249.999999999993</v>
      </c>
      <c r="F56" s="46">
        <v>52531.249999999993</v>
      </c>
      <c r="G56" s="46">
        <v>53844.531249999993</v>
      </c>
      <c r="H56" s="46">
        <v>55190.644531249985</v>
      </c>
      <c r="I56" s="46">
        <v>56570.410644531235</v>
      </c>
      <c r="J56" s="46">
        <v>57984.670910644512</v>
      </c>
      <c r="K56" s="46">
        <v>59434.287683410628</v>
      </c>
    </row>
    <row r="57" spans="1:13">
      <c r="B57" s="56"/>
      <c r="C57" s="56"/>
      <c r="D57" s="21"/>
    </row>
    <row r="58" spans="1:13">
      <c r="A58" s="14" t="s">
        <v>86</v>
      </c>
      <c r="B58" s="56"/>
      <c r="C58" s="56"/>
      <c r="D58" s="56"/>
      <c r="E58" s="56"/>
      <c r="F58" s="21"/>
      <c r="G58" s="21"/>
      <c r="H58" s="21"/>
      <c r="I58" s="21"/>
      <c r="J58" s="21"/>
      <c r="K58" s="21"/>
    </row>
    <row r="59" spans="1:13">
      <c r="A59" s="10" t="s">
        <v>86</v>
      </c>
      <c r="B59" s="56" t="s">
        <v>58</v>
      </c>
      <c r="C59" s="56" t="s">
        <v>2</v>
      </c>
      <c r="D59" s="46"/>
      <c r="E59" s="46">
        <v>51249.999999999993</v>
      </c>
      <c r="F59" s="46">
        <v>52531.249999999993</v>
      </c>
      <c r="G59" s="46">
        <v>53844.531249999993</v>
      </c>
      <c r="H59" s="46">
        <v>26922.265624999996</v>
      </c>
      <c r="I59" s="46">
        <v>26922.265624999996</v>
      </c>
      <c r="J59" s="46">
        <v>27595.322265624993</v>
      </c>
      <c r="K59" s="46">
        <v>28285.205322265618</v>
      </c>
    </row>
    <row r="60" spans="1:13">
      <c r="B60" s="56"/>
      <c r="M60" s="21"/>
    </row>
    <row r="61" spans="1:13">
      <c r="A61" s="14" t="s">
        <v>134</v>
      </c>
      <c r="B61" s="56"/>
      <c r="M61" s="21"/>
    </row>
    <row r="62" spans="1:13">
      <c r="A62" s="97" t="s">
        <v>142</v>
      </c>
      <c r="B62" s="56" t="s">
        <v>58</v>
      </c>
      <c r="C62" s="56" t="s">
        <v>2</v>
      </c>
      <c r="D62" s="46"/>
      <c r="E62" s="46">
        <v>18450</v>
      </c>
      <c r="F62" s="46">
        <v>50429.999999999993</v>
      </c>
      <c r="G62" s="46">
        <v>51690.749999999993</v>
      </c>
      <c r="H62" s="46">
        <v>52983.018749999988</v>
      </c>
      <c r="I62" s="46">
        <v>54307.594218749982</v>
      </c>
      <c r="J62" s="46">
        <v>55665.284074218725</v>
      </c>
      <c r="K62" s="46">
        <v>57056.916176074199</v>
      </c>
      <c r="M62" s="21"/>
    </row>
    <row r="63" spans="1:13">
      <c r="A63" s="97" t="s">
        <v>17</v>
      </c>
      <c r="B63" s="56" t="s">
        <v>58</v>
      </c>
      <c r="C63" s="56" t="s">
        <v>2</v>
      </c>
      <c r="D63" s="46"/>
      <c r="E63" s="46">
        <v>4797</v>
      </c>
      <c r="F63" s="46">
        <v>13111.8</v>
      </c>
      <c r="G63" s="46">
        <v>13439.594999999999</v>
      </c>
      <c r="H63" s="46">
        <v>13775.584874999997</v>
      </c>
      <c r="I63" s="46">
        <v>14119.974496874996</v>
      </c>
      <c r="J63" s="46">
        <v>14472.97385929687</v>
      </c>
      <c r="K63" s="46">
        <v>14834.798205779292</v>
      </c>
      <c r="M63" s="21"/>
    </row>
    <row r="64" spans="1:13">
      <c r="B64" s="56"/>
      <c r="M64" s="21"/>
    </row>
    <row r="65" spans="1:14">
      <c r="A65" s="104" t="s">
        <v>19</v>
      </c>
      <c r="B65" s="56"/>
      <c r="D65" s="117"/>
      <c r="E65" s="117"/>
      <c r="F65" s="118"/>
      <c r="G65" s="118"/>
      <c r="H65" s="118"/>
      <c r="I65" s="21"/>
      <c r="J65" s="21"/>
      <c r="K65" s="21"/>
      <c r="M65" s="21"/>
    </row>
    <row r="66" spans="1:14">
      <c r="A66" s="97" t="s">
        <v>20</v>
      </c>
      <c r="B66" s="56" t="s">
        <v>58</v>
      </c>
      <c r="C66" s="55" t="s">
        <v>2</v>
      </c>
      <c r="D66" s="46"/>
      <c r="E66" s="46">
        <v>31458.543806249996</v>
      </c>
      <c r="F66" s="46">
        <v>143311.14400624996</v>
      </c>
      <c r="G66" s="46">
        <v>146893.92260640621</v>
      </c>
      <c r="H66" s="46">
        <v>180679.52480587963</v>
      </c>
      <c r="I66" s="46">
        <v>185196.5129260266</v>
      </c>
      <c r="J66" s="46">
        <v>189826.42574917726</v>
      </c>
      <c r="K66" s="46">
        <v>194572.0863929067</v>
      </c>
      <c r="M66" s="21"/>
    </row>
    <row r="67" spans="1:14">
      <c r="A67" s="97" t="s">
        <v>21</v>
      </c>
      <c r="B67" s="56" t="s">
        <v>58</v>
      </c>
      <c r="C67" s="55" t="s">
        <v>2</v>
      </c>
      <c r="D67" s="46"/>
      <c r="E67" s="46">
        <v>48360.549999999996</v>
      </c>
      <c r="F67" s="46">
        <v>132094.84999999998</v>
      </c>
      <c r="G67" s="46">
        <v>135395.91374999998</v>
      </c>
      <c r="H67" s="46">
        <v>138779.50409374997</v>
      </c>
      <c r="I67" s="46">
        <v>142247.6841960937</v>
      </c>
      <c r="J67" s="46">
        <v>145802.56880099603</v>
      </c>
      <c r="K67" s="46">
        <v>149446.32552102095</v>
      </c>
      <c r="M67" s="21"/>
    </row>
    <row r="68" spans="1:14">
      <c r="A68" s="97" t="s">
        <v>22</v>
      </c>
      <c r="B68" s="56" t="s">
        <v>58</v>
      </c>
      <c r="C68" s="55" t="s">
        <v>2</v>
      </c>
      <c r="D68" s="46"/>
      <c r="E68" s="46">
        <v>6291.708761249999</v>
      </c>
      <c r="F68" s="46">
        <v>17197.337280749998</v>
      </c>
      <c r="G68" s="46">
        <v>17627.270712768746</v>
      </c>
      <c r="H68" s="46">
        <v>18067.952480587963</v>
      </c>
      <c r="I68" s="46">
        <v>18519.651292602663</v>
      </c>
      <c r="J68" s="46">
        <v>18982.642574917725</v>
      </c>
      <c r="K68" s="46">
        <v>19457.208639290671</v>
      </c>
      <c r="M68" s="21"/>
    </row>
    <row r="69" spans="1:14">
      <c r="B69" s="21"/>
      <c r="M69" s="21"/>
    </row>
    <row r="70" spans="1:14">
      <c r="A70" s="104" t="s">
        <v>231</v>
      </c>
      <c r="B70" s="21"/>
      <c r="D70" s="56"/>
      <c r="E70" s="56"/>
      <c r="F70" s="21"/>
      <c r="G70" s="21"/>
      <c r="H70" s="21"/>
      <c r="I70" s="21"/>
      <c r="M70" s="21"/>
    </row>
    <row r="71" spans="1:14">
      <c r="A71" s="102" t="s">
        <v>274</v>
      </c>
      <c r="C71" s="56" t="s">
        <v>4</v>
      </c>
      <c r="D71" s="46"/>
      <c r="E71" s="46">
        <v>216581.47499999998</v>
      </c>
      <c r="F71" s="46">
        <v>68818.564062499994</v>
      </c>
      <c r="G71" s="46">
        <v>0</v>
      </c>
      <c r="H71" s="46">
        <v>0</v>
      </c>
      <c r="I71" s="46">
        <v>0</v>
      </c>
      <c r="J71" s="46">
        <v>0</v>
      </c>
      <c r="K71" s="46">
        <v>0</v>
      </c>
    </row>
    <row r="72" spans="1:14">
      <c r="A72" s="102" t="s">
        <v>275</v>
      </c>
      <c r="C72" s="56" t="s">
        <v>2</v>
      </c>
      <c r="D72" s="46"/>
      <c r="E72" s="46">
        <v>350246.42062499997</v>
      </c>
      <c r="F72" s="46">
        <v>426247.83426562493</v>
      </c>
      <c r="G72" s="46">
        <v>419021.15748124995</v>
      </c>
      <c r="H72" s="46">
        <v>377743.31522843736</v>
      </c>
      <c r="I72" s="46">
        <v>301934.38414126943</v>
      </c>
      <c r="J72" s="46">
        <v>309482.74374480115</v>
      </c>
      <c r="K72" s="46">
        <v>295334.91892763576</v>
      </c>
    </row>
    <row r="73" spans="1:14">
      <c r="A73" s="3"/>
      <c r="C73" s="56"/>
      <c r="D73" s="46"/>
      <c r="E73" s="46"/>
      <c r="F73" s="46"/>
      <c r="G73" s="46"/>
      <c r="H73" s="46"/>
      <c r="I73" s="46"/>
    </row>
    <row r="74" spans="1:14">
      <c r="A74" s="67" t="s">
        <v>32</v>
      </c>
      <c r="B74" s="67"/>
      <c r="C74" s="78" t="s">
        <v>4</v>
      </c>
      <c r="D74" s="73">
        <v>0</v>
      </c>
      <c r="E74" s="73">
        <v>1284806.2250000001</v>
      </c>
      <c r="F74" s="73">
        <v>890669.97031250002</v>
      </c>
      <c r="G74" s="73">
        <v>0</v>
      </c>
      <c r="H74" s="73">
        <v>0</v>
      </c>
      <c r="I74" s="73">
        <v>0</v>
      </c>
      <c r="J74" s="73">
        <v>226923.00960880728</v>
      </c>
      <c r="K74" s="73">
        <v>387660.14141504583</v>
      </c>
      <c r="L74" s="109"/>
      <c r="M74" s="50"/>
    </row>
    <row r="75" spans="1:14">
      <c r="A75" s="69" t="s">
        <v>33</v>
      </c>
      <c r="B75" s="69"/>
      <c r="C75" s="79" t="s">
        <v>2</v>
      </c>
      <c r="D75" s="74">
        <v>0</v>
      </c>
      <c r="E75" s="74">
        <v>611775.64444249996</v>
      </c>
      <c r="F75" s="74">
        <v>920138.01256434363</v>
      </c>
      <c r="G75" s="74">
        <v>925257.28273743659</v>
      </c>
      <c r="H75" s="74">
        <v>898478.91134409187</v>
      </c>
      <c r="I75" s="74">
        <v>835014.00601919019</v>
      </c>
      <c r="J75" s="74">
        <v>855888.04866966989</v>
      </c>
      <c r="K75" s="74">
        <v>855399.04897562636</v>
      </c>
      <c r="L75" s="109"/>
      <c r="M75" s="50"/>
    </row>
    <row r="76" spans="1:14" s="21" customFormat="1">
      <c r="A76" s="43"/>
      <c r="B76" s="43"/>
      <c r="C76" s="107"/>
      <c r="D76" s="109"/>
      <c r="E76" s="109"/>
      <c r="F76" s="109"/>
      <c r="G76" s="109"/>
      <c r="H76" s="109"/>
      <c r="I76" s="109"/>
      <c r="M76" s="123"/>
    </row>
    <row r="77" spans="1:14">
      <c r="A77" s="14" t="s">
        <v>1</v>
      </c>
      <c r="C77" s="91"/>
      <c r="D77" s="165"/>
      <c r="E77" s="166"/>
      <c r="F77" s="163"/>
      <c r="G77" s="163"/>
      <c r="H77" s="163"/>
      <c r="I77" s="163"/>
      <c r="J77" s="164"/>
      <c r="M77" s="50"/>
      <c r="N77" s="140"/>
    </row>
    <row r="78" spans="1:14">
      <c r="A78" s="97" t="s">
        <v>15</v>
      </c>
      <c r="B78" s="14"/>
      <c r="C78" s="167"/>
      <c r="D78" s="165"/>
      <c r="E78" s="165"/>
      <c r="F78" s="168"/>
      <c r="G78" s="168"/>
      <c r="H78" s="168"/>
      <c r="I78" s="164"/>
      <c r="J78" s="164"/>
    </row>
    <row r="79" spans="1:14">
      <c r="A79" s="97" t="s">
        <v>228</v>
      </c>
      <c r="D79" s="139"/>
      <c r="E79" s="350">
        <v>3</v>
      </c>
      <c r="F79" s="350">
        <v>5</v>
      </c>
      <c r="G79" s="350">
        <v>5</v>
      </c>
      <c r="H79" s="350">
        <v>6</v>
      </c>
      <c r="I79" s="350">
        <v>6</v>
      </c>
      <c r="J79" s="350">
        <v>6</v>
      </c>
      <c r="K79" s="350">
        <v>6</v>
      </c>
    </row>
    <row r="80" spans="1:14">
      <c r="A80" s="97" t="s">
        <v>44</v>
      </c>
      <c r="D80" s="46"/>
      <c r="E80" s="46">
        <v>27674.999999999996</v>
      </c>
      <c r="F80" s="46">
        <v>245373.46875</v>
      </c>
      <c r="G80" s="46">
        <v>471678.09374999994</v>
      </c>
      <c r="H80" s="46">
        <v>483470.04609374987</v>
      </c>
      <c r="I80" s="46">
        <v>594668.15669531235</v>
      </c>
      <c r="J80" s="46">
        <v>609534.86061269511</v>
      </c>
      <c r="K80" s="46">
        <v>624773.23212801246</v>
      </c>
    </row>
    <row r="81" spans="1:11">
      <c r="A81" s="97" t="s">
        <v>16</v>
      </c>
      <c r="D81" s="117"/>
      <c r="E81" s="117"/>
      <c r="F81" s="33"/>
      <c r="G81" s="33"/>
      <c r="H81" s="33"/>
    </row>
    <row r="82" spans="1:11">
      <c r="A82" s="97" t="s">
        <v>228</v>
      </c>
      <c r="D82" s="139"/>
      <c r="E82" s="350">
        <v>2</v>
      </c>
      <c r="F82" s="350">
        <v>2</v>
      </c>
      <c r="G82" s="350">
        <v>2</v>
      </c>
      <c r="H82" s="350">
        <v>2</v>
      </c>
      <c r="I82" s="350">
        <v>2</v>
      </c>
      <c r="J82" s="350">
        <v>2</v>
      </c>
      <c r="K82" s="350">
        <v>2</v>
      </c>
    </row>
    <row r="83" spans="1:11">
      <c r="A83" s="97" t="s">
        <v>45</v>
      </c>
      <c r="D83" s="46"/>
      <c r="E83" s="46">
        <v>9225</v>
      </c>
      <c r="F83" s="46">
        <v>62879.90625</v>
      </c>
      <c r="G83" s="46">
        <v>94335.618749999994</v>
      </c>
      <c r="H83" s="46">
        <v>96694.009218749983</v>
      </c>
      <c r="I83" s="46">
        <v>99111.359449218726</v>
      </c>
      <c r="J83" s="46">
        <v>101589.14343544918</v>
      </c>
      <c r="K83" s="46">
        <v>104128.87202133541</v>
      </c>
    </row>
    <row r="84" spans="1:11">
      <c r="D84" s="117"/>
      <c r="E84" s="117"/>
      <c r="F84" s="16"/>
      <c r="G84" s="16"/>
      <c r="H84" s="16"/>
    </row>
    <row r="85" spans="1:11">
      <c r="A85" s="14" t="s">
        <v>18</v>
      </c>
      <c r="B85" s="14"/>
      <c r="C85" s="80"/>
      <c r="D85" s="109"/>
      <c r="E85" s="109">
        <v>36900</v>
      </c>
      <c r="F85" s="42">
        <v>308253.375</v>
      </c>
      <c r="G85" s="42">
        <v>566013.71249999991</v>
      </c>
      <c r="H85" s="42">
        <v>580164.05531249987</v>
      </c>
      <c r="I85" s="42">
        <v>693779.51614453108</v>
      </c>
      <c r="J85" s="42">
        <v>711124.00404814433</v>
      </c>
      <c r="K85" s="42">
        <v>728902.10414934787</v>
      </c>
    </row>
    <row r="86" spans="1:11">
      <c r="E86" s="16"/>
    </row>
    <row r="88" spans="1:11">
      <c r="A88" s="1" t="s">
        <v>104</v>
      </c>
    </row>
    <row r="89" spans="1:11">
      <c r="A89" s="11" t="s">
        <v>200</v>
      </c>
    </row>
    <row r="90" spans="1:11">
      <c r="A90" s="11" t="s">
        <v>203</v>
      </c>
    </row>
    <row r="91" spans="1:11">
      <c r="A91" s="11" t="s">
        <v>209</v>
      </c>
    </row>
    <row r="92" spans="1:11">
      <c r="A92" s="11" t="s">
        <v>273</v>
      </c>
    </row>
    <row r="93" spans="1:11">
      <c r="A93" s="11" t="s">
        <v>271</v>
      </c>
    </row>
    <row r="94" spans="1:11">
      <c r="A94" s="11" t="s">
        <v>165</v>
      </c>
    </row>
    <row r="95" spans="1:11">
      <c r="A95" s="82" t="s">
        <v>270</v>
      </c>
      <c r="C95" s="97"/>
    </row>
    <row r="96" spans="1:11">
      <c r="A96" s="82" t="s">
        <v>232</v>
      </c>
      <c r="C96" s="97"/>
    </row>
    <row r="97" spans="1:3">
      <c r="A97" s="11" t="s">
        <v>227</v>
      </c>
      <c r="C97" s="97"/>
    </row>
    <row r="98" spans="1:3">
      <c r="A98" s="11" t="s">
        <v>293</v>
      </c>
      <c r="C98" s="97"/>
    </row>
    <row r="99" spans="1:3">
      <c r="A99" s="11" t="s">
        <v>229</v>
      </c>
      <c r="C99" s="97"/>
    </row>
    <row r="100" spans="1:3">
      <c r="A100" s="11" t="s">
        <v>301</v>
      </c>
      <c r="C100" s="97"/>
    </row>
    <row r="101" spans="1:3">
      <c r="C101" s="97"/>
    </row>
    <row r="102" spans="1:3">
      <c r="C102" s="97"/>
    </row>
    <row r="103" spans="1:3">
      <c r="C103" s="97"/>
    </row>
  </sheetData>
  <mergeCells count="4">
    <mergeCell ref="A2:K2"/>
    <mergeCell ref="A3:K3"/>
    <mergeCell ref="A4:K4"/>
    <mergeCell ref="A5:K5"/>
  </mergeCells>
  <pageMargins left="0.5" right="0.5" top="0.5" bottom="0.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O78"/>
  <sheetViews>
    <sheetView zoomScaleNormal="100" workbookViewId="0">
      <selection activeCell="B15" sqref="B15"/>
    </sheetView>
  </sheetViews>
  <sheetFormatPr defaultColWidth="8.85546875" defaultRowHeight="15"/>
  <cols>
    <col min="1" max="1" width="43.28515625" style="97" customWidth="1"/>
    <col min="2" max="2" width="8.7109375" style="97" customWidth="1"/>
    <col min="3" max="3" width="12.85546875" style="97" bestFit="1" customWidth="1"/>
    <col min="4" max="4" width="8.85546875" style="97" customWidth="1"/>
    <col min="5" max="8" width="10.28515625" style="97" bestFit="1" customWidth="1"/>
    <col min="9" max="12" width="10.28515625" style="97" customWidth="1"/>
    <col min="13" max="13" width="15.7109375" style="97" customWidth="1"/>
    <col min="14" max="14" width="11.42578125" style="97" bestFit="1" customWidth="1"/>
    <col min="15" max="16384" width="8.85546875" style="97"/>
  </cols>
  <sheetData>
    <row r="1" spans="1:14" ht="15.75">
      <c r="K1" s="353" t="s">
        <v>393</v>
      </c>
    </row>
    <row r="2" spans="1:14" s="182" customFormat="1">
      <c r="A2" s="384" t="s">
        <v>278</v>
      </c>
      <c r="B2" s="384"/>
      <c r="C2" s="384"/>
      <c r="D2" s="384"/>
      <c r="E2" s="384"/>
      <c r="F2" s="384"/>
      <c r="G2" s="384"/>
      <c r="H2" s="384"/>
      <c r="I2" s="384"/>
      <c r="J2" s="384"/>
      <c r="K2" s="384"/>
      <c r="L2" s="183"/>
      <c r="M2" s="183"/>
      <c r="N2" s="183"/>
    </row>
    <row r="3" spans="1:14" s="182" customFormat="1">
      <c r="A3" s="384" t="s">
        <v>281</v>
      </c>
      <c r="B3" s="384"/>
      <c r="C3" s="384"/>
      <c r="D3" s="384"/>
      <c r="E3" s="384"/>
      <c r="F3" s="384"/>
      <c r="G3" s="384"/>
      <c r="H3" s="384"/>
      <c r="I3" s="384"/>
      <c r="J3" s="384"/>
      <c r="K3" s="384"/>
      <c r="L3" s="183"/>
      <c r="M3" s="183"/>
      <c r="N3" s="183"/>
    </row>
    <row r="4" spans="1:14" s="182" customFormat="1">
      <c r="A4" s="384" t="s">
        <v>279</v>
      </c>
      <c r="B4" s="384"/>
      <c r="C4" s="384"/>
      <c r="D4" s="384"/>
      <c r="E4" s="384"/>
      <c r="F4" s="384"/>
      <c r="G4" s="384"/>
      <c r="H4" s="384"/>
      <c r="I4" s="384"/>
      <c r="J4" s="384"/>
      <c r="K4" s="384"/>
      <c r="L4" s="183"/>
      <c r="M4" s="183"/>
      <c r="N4" s="183"/>
    </row>
    <row r="5" spans="1:14" s="182" customFormat="1">
      <c r="A5" s="384" t="s">
        <v>286</v>
      </c>
      <c r="B5" s="384"/>
      <c r="C5" s="384"/>
      <c r="D5" s="384"/>
      <c r="E5" s="384"/>
      <c r="F5" s="384"/>
      <c r="G5" s="384"/>
      <c r="H5" s="384"/>
      <c r="I5" s="384"/>
      <c r="J5" s="384"/>
      <c r="K5" s="384"/>
      <c r="L5" s="183"/>
      <c r="M5" s="183"/>
      <c r="N5" s="183"/>
    </row>
    <row r="6" spans="1:14" s="182" customFormat="1">
      <c r="A6" s="184"/>
      <c r="B6" s="184"/>
      <c r="C6" s="184"/>
      <c r="D6" s="184"/>
      <c r="E6" s="184"/>
      <c r="F6" s="184"/>
      <c r="G6" s="184"/>
      <c r="H6" s="184"/>
      <c r="I6" s="184"/>
      <c r="J6" s="184"/>
      <c r="K6" s="183"/>
      <c r="L6" s="183"/>
      <c r="M6" s="183"/>
      <c r="N6" s="183"/>
    </row>
    <row r="7" spans="1:14" s="24" customFormat="1">
      <c r="A7" s="126" t="s">
        <v>24</v>
      </c>
      <c r="B7" s="127" t="s">
        <v>95</v>
      </c>
      <c r="C7" s="127" t="s">
        <v>116</v>
      </c>
      <c r="D7" s="122"/>
      <c r="E7" s="57"/>
      <c r="F7" s="57"/>
    </row>
    <row r="8" spans="1:14" s="24" customFormat="1" ht="12">
      <c r="A8" s="25" t="s">
        <v>37</v>
      </c>
      <c r="B8" s="26">
        <v>2.5000000000000001E-2</v>
      </c>
      <c r="C8" s="26"/>
      <c r="D8" s="45"/>
      <c r="E8" s="45"/>
      <c r="F8" s="64"/>
    </row>
    <row r="9" spans="1:14" s="24" customFormat="1" ht="12.75" thickBot="1">
      <c r="A9" s="25" t="s">
        <v>295</v>
      </c>
      <c r="B9" s="121">
        <v>3</v>
      </c>
      <c r="C9" s="149" t="s">
        <v>294</v>
      </c>
      <c r="D9" s="45"/>
      <c r="E9" s="45"/>
      <c r="F9" s="52"/>
    </row>
    <row r="10" spans="1:14" s="24" customFormat="1" ht="12.75" thickTop="1">
      <c r="A10" s="25" t="s">
        <v>172</v>
      </c>
      <c r="B10" s="381" t="s">
        <v>394</v>
      </c>
      <c r="C10" s="149" t="s">
        <v>143</v>
      </c>
      <c r="D10" s="45"/>
      <c r="E10" s="45"/>
      <c r="F10" s="52"/>
    </row>
    <row r="11" spans="1:14" s="24" customFormat="1" ht="12.75" thickBot="1">
      <c r="A11" s="25" t="s">
        <v>173</v>
      </c>
      <c r="B11" s="356">
        <v>30050</v>
      </c>
      <c r="C11" s="143" t="s">
        <v>143</v>
      </c>
      <c r="D11" s="45"/>
      <c r="E11" s="45"/>
      <c r="F11" s="52"/>
    </row>
    <row r="12" spans="1:14" s="24" customFormat="1" ht="12.75" thickTop="1">
      <c r="A12" s="25" t="s">
        <v>174</v>
      </c>
      <c r="B12" s="29">
        <v>0.02</v>
      </c>
      <c r="C12" s="29"/>
      <c r="D12" s="45"/>
      <c r="E12" s="45"/>
      <c r="F12" s="52"/>
    </row>
    <row r="13" spans="1:14" s="24" customFormat="1" ht="12">
      <c r="A13" s="32" t="s">
        <v>183</v>
      </c>
      <c r="B13" s="38">
        <v>1000</v>
      </c>
      <c r="C13" s="143" t="s">
        <v>145</v>
      </c>
      <c r="D13" s="45"/>
      <c r="E13" s="45"/>
      <c r="F13" s="52"/>
    </row>
    <row r="14" spans="1:14" s="24" customFormat="1" ht="12.75" thickBot="1">
      <c r="A14" s="32" t="s">
        <v>175</v>
      </c>
      <c r="B14" s="29">
        <v>0.25</v>
      </c>
      <c r="C14" s="29"/>
      <c r="D14" s="45"/>
      <c r="E14" s="45"/>
      <c r="F14" s="52"/>
    </row>
    <row r="15" spans="1:14" s="24" customFormat="1" ht="13.5" thickTop="1" thickBot="1">
      <c r="A15" s="32" t="s">
        <v>179</v>
      </c>
      <c r="B15" s="382" t="s">
        <v>394</v>
      </c>
      <c r="C15" s="144" t="s">
        <v>117</v>
      </c>
      <c r="D15" s="45"/>
      <c r="E15" s="45"/>
      <c r="F15" s="52"/>
    </row>
    <row r="16" spans="1:14" s="24" customFormat="1" ht="12.75" thickTop="1">
      <c r="A16" s="32" t="s">
        <v>178</v>
      </c>
      <c r="B16" s="38">
        <v>4500</v>
      </c>
      <c r="C16" s="143" t="s">
        <v>145</v>
      </c>
      <c r="D16" s="45"/>
      <c r="E16" s="45"/>
      <c r="F16" s="52"/>
    </row>
    <row r="17" spans="1:13" s="24" customFormat="1" ht="12">
      <c r="A17" s="32" t="s">
        <v>180</v>
      </c>
      <c r="B17" s="38">
        <v>3000</v>
      </c>
      <c r="C17" s="143" t="s">
        <v>145</v>
      </c>
      <c r="D17" s="45"/>
      <c r="E17" s="45"/>
      <c r="F17" s="52"/>
    </row>
    <row r="18" spans="1:13" s="24" customFormat="1" ht="12">
      <c r="A18" s="32" t="s">
        <v>181</v>
      </c>
      <c r="B18" s="29">
        <v>0.05</v>
      </c>
      <c r="C18" s="29"/>
      <c r="D18" s="45"/>
      <c r="E18" s="45"/>
      <c r="F18" s="52"/>
    </row>
    <row r="19" spans="1:13" s="24" customFormat="1" ht="12">
      <c r="A19" s="32" t="s">
        <v>184</v>
      </c>
      <c r="B19" s="38">
        <v>200</v>
      </c>
      <c r="C19" s="143" t="s">
        <v>145</v>
      </c>
      <c r="D19" s="45"/>
      <c r="E19" s="45"/>
      <c r="F19" s="52"/>
    </row>
    <row r="20" spans="1:13" s="41" customFormat="1" ht="12">
      <c r="A20" s="45"/>
      <c r="B20" s="53"/>
      <c r="C20" s="63"/>
      <c r="D20" s="45"/>
      <c r="E20" s="45"/>
      <c r="F20" s="52"/>
    </row>
    <row r="21" spans="1:13">
      <c r="D21" s="107"/>
      <c r="E21" s="107" t="s">
        <v>77</v>
      </c>
      <c r="F21" s="80" t="s">
        <v>78</v>
      </c>
      <c r="G21" s="80" t="s">
        <v>79</v>
      </c>
      <c r="H21" s="80" t="s">
        <v>80</v>
      </c>
      <c r="I21" s="80" t="s">
        <v>81</v>
      </c>
      <c r="J21" s="80" t="s">
        <v>150</v>
      </c>
      <c r="K21" s="80" t="s">
        <v>151</v>
      </c>
    </row>
    <row r="22" spans="1:13" s="43" customFormat="1" ht="14.45" customHeight="1">
      <c r="A22" s="54" t="s">
        <v>0</v>
      </c>
      <c r="B22" s="54"/>
      <c r="C22" s="54" t="s">
        <v>291</v>
      </c>
      <c r="D22" s="54">
        <v>2018</v>
      </c>
      <c r="E22" s="54">
        <v>2019</v>
      </c>
      <c r="F22" s="54">
        <v>2020</v>
      </c>
      <c r="G22" s="54">
        <v>2021</v>
      </c>
      <c r="H22" s="54">
        <v>2022</v>
      </c>
      <c r="I22" s="54">
        <v>2023</v>
      </c>
      <c r="J22" s="54">
        <v>2024</v>
      </c>
      <c r="K22" s="54">
        <v>2025</v>
      </c>
    </row>
    <row r="23" spans="1:13" s="43" customFormat="1">
      <c r="C23" s="107"/>
    </row>
    <row r="24" spans="1:13">
      <c r="A24" s="14" t="s">
        <v>146</v>
      </c>
      <c r="C24" s="55"/>
      <c r="D24" s="21"/>
      <c r="E24" s="21"/>
      <c r="M24" s="21"/>
    </row>
    <row r="25" spans="1:13">
      <c r="A25" s="124" t="s">
        <v>91</v>
      </c>
      <c r="B25" s="3" t="s">
        <v>3</v>
      </c>
      <c r="C25" s="76"/>
      <c r="E25" s="119">
        <v>62.5</v>
      </c>
      <c r="F25" s="119">
        <v>0</v>
      </c>
      <c r="G25" s="119">
        <v>0</v>
      </c>
      <c r="M25" s="21"/>
    </row>
    <row r="26" spans="1:13">
      <c r="A26" s="124" t="s">
        <v>92</v>
      </c>
      <c r="B26" s="3"/>
      <c r="C26" s="76"/>
      <c r="E26" s="119">
        <v>50</v>
      </c>
      <c r="F26" s="119">
        <v>0</v>
      </c>
      <c r="G26" s="119">
        <v>0</v>
      </c>
      <c r="M26" s="21"/>
    </row>
    <row r="27" spans="1:13">
      <c r="A27" s="103" t="s">
        <v>71</v>
      </c>
      <c r="B27" s="3"/>
      <c r="C27" s="76"/>
      <c r="E27" s="119">
        <v>25</v>
      </c>
      <c r="F27" s="119">
        <v>25</v>
      </c>
      <c r="G27" s="119">
        <v>0</v>
      </c>
      <c r="M27" s="21"/>
    </row>
    <row r="28" spans="1:13">
      <c r="A28" s="103" t="s">
        <v>90</v>
      </c>
      <c r="B28" s="3"/>
      <c r="C28" s="76"/>
      <c r="E28" s="119">
        <v>25</v>
      </c>
      <c r="F28" s="119">
        <v>50</v>
      </c>
      <c r="G28" s="119">
        <v>50</v>
      </c>
      <c r="M28" s="21"/>
    </row>
    <row r="29" spans="1:13">
      <c r="A29" s="103" t="s">
        <v>185</v>
      </c>
      <c r="B29" s="3"/>
      <c r="C29" s="76"/>
      <c r="E29" s="119">
        <v>75</v>
      </c>
      <c r="F29" s="119">
        <v>75</v>
      </c>
      <c r="G29" s="119">
        <v>0</v>
      </c>
      <c r="M29" s="21"/>
    </row>
    <row r="30" spans="1:13">
      <c r="A30" s="103" t="s">
        <v>157</v>
      </c>
      <c r="B30" s="3"/>
      <c r="C30" s="76"/>
      <c r="E30" s="119">
        <v>75</v>
      </c>
      <c r="F30" s="119">
        <v>150</v>
      </c>
      <c r="G30" s="119">
        <v>150</v>
      </c>
      <c r="M30" s="21"/>
    </row>
    <row r="31" spans="1:13">
      <c r="B31" s="3" t="s">
        <v>3</v>
      </c>
      <c r="C31" s="76"/>
      <c r="D31" s="21"/>
      <c r="E31" s="21"/>
      <c r="M31" s="21"/>
    </row>
    <row r="32" spans="1:13">
      <c r="A32" s="6" t="s">
        <v>297</v>
      </c>
      <c r="B32" s="21"/>
      <c r="C32" s="55"/>
      <c r="D32" s="21"/>
      <c r="E32" s="21"/>
      <c r="M32" s="21"/>
    </row>
    <row r="33" spans="1:14">
      <c r="A33" s="3" t="s">
        <v>38</v>
      </c>
      <c r="B33" s="56"/>
      <c r="C33" s="56"/>
      <c r="D33" s="115"/>
      <c r="E33" s="115"/>
      <c r="F33" s="81"/>
      <c r="G33" s="81"/>
      <c r="H33" s="81"/>
      <c r="I33" s="81"/>
      <c r="J33" s="81"/>
      <c r="K33" s="81"/>
      <c r="L33" s="81"/>
      <c r="M33" s="21"/>
    </row>
    <row r="34" spans="1:14" ht="15.75" thickBot="1">
      <c r="A34" s="3" t="s">
        <v>93</v>
      </c>
      <c r="B34" s="56" t="s">
        <v>58</v>
      </c>
      <c r="C34" s="56" t="s">
        <v>2</v>
      </c>
      <c r="E34" s="46">
        <v>62500</v>
      </c>
      <c r="F34" s="46">
        <v>0</v>
      </c>
      <c r="G34" s="46">
        <v>0</v>
      </c>
      <c r="H34" s="46">
        <v>0</v>
      </c>
      <c r="I34" s="46">
        <v>0</v>
      </c>
      <c r="J34" s="346"/>
      <c r="K34" s="346"/>
      <c r="L34" s="46"/>
      <c r="M34" s="21"/>
    </row>
    <row r="35" spans="1:14" ht="15.75" thickTop="1">
      <c r="A35" s="3" t="s">
        <v>9</v>
      </c>
      <c r="B35" s="56" t="s">
        <v>58</v>
      </c>
      <c r="C35" s="56" t="s">
        <v>4</v>
      </c>
      <c r="E35" s="370"/>
      <c r="F35" s="371"/>
      <c r="G35" s="373" t="s">
        <v>394</v>
      </c>
      <c r="H35" s="371"/>
      <c r="I35" s="372"/>
      <c r="L35" s="46"/>
      <c r="M35" s="21"/>
    </row>
    <row r="36" spans="1:14" ht="15.75" thickBot="1">
      <c r="A36" s="3" t="s">
        <v>10</v>
      </c>
      <c r="B36" s="56" t="s">
        <v>57</v>
      </c>
      <c r="C36" s="55" t="s">
        <v>4</v>
      </c>
      <c r="E36" s="363"/>
      <c r="F36" s="364"/>
      <c r="G36" s="364"/>
      <c r="H36" s="364"/>
      <c r="I36" s="365"/>
      <c r="L36" s="46"/>
      <c r="M36" s="21"/>
      <c r="N36" s="21"/>
    </row>
    <row r="37" spans="1:14" ht="16.5" thickTop="1" thickBot="1">
      <c r="A37" s="3" t="s">
        <v>187</v>
      </c>
      <c r="B37" s="56"/>
      <c r="C37" s="55" t="s">
        <v>4</v>
      </c>
      <c r="D37" s="46"/>
      <c r="E37" s="46"/>
      <c r="F37" s="46"/>
      <c r="G37" s="46"/>
      <c r="H37" s="46"/>
      <c r="I37" s="46"/>
      <c r="J37" s="383" t="s">
        <v>394</v>
      </c>
      <c r="K37" s="368"/>
      <c r="L37" s="46"/>
      <c r="M37" s="21"/>
      <c r="N37" s="21"/>
    </row>
    <row r="38" spans="1:14" ht="15.75" thickTop="1">
      <c r="A38" s="21" t="s">
        <v>56</v>
      </c>
      <c r="B38" s="56" t="s">
        <v>57</v>
      </c>
      <c r="C38" s="56" t="s">
        <v>2</v>
      </c>
      <c r="E38" s="46">
        <v>5125</v>
      </c>
      <c r="F38" s="46">
        <v>5125</v>
      </c>
      <c r="G38" s="46">
        <v>0</v>
      </c>
      <c r="H38" s="46">
        <v>0</v>
      </c>
      <c r="I38" s="34"/>
      <c r="J38" s="34"/>
      <c r="K38" s="34"/>
      <c r="L38" s="34"/>
      <c r="M38" s="123"/>
    </row>
    <row r="39" spans="1:14">
      <c r="A39" s="21"/>
      <c r="B39" s="56"/>
      <c r="C39" s="56"/>
      <c r="E39" s="46"/>
      <c r="F39" s="46"/>
      <c r="G39" s="46"/>
      <c r="H39" s="46"/>
      <c r="I39" s="34"/>
      <c r="J39" s="34"/>
      <c r="K39" s="34"/>
      <c r="L39" s="34"/>
      <c r="M39" s="123"/>
    </row>
    <row r="40" spans="1:14" ht="15.75" thickBot="1">
      <c r="A40" s="14" t="s">
        <v>300</v>
      </c>
      <c r="B40" s="56"/>
      <c r="C40" s="55"/>
      <c r="D40" s="46"/>
      <c r="E40" s="46"/>
      <c r="F40" s="34"/>
      <c r="G40" s="34"/>
      <c r="H40" s="34"/>
      <c r="I40" s="46"/>
      <c r="J40" s="46"/>
      <c r="K40" s="46"/>
      <c r="L40" s="46"/>
      <c r="M40" s="21"/>
      <c r="N40" s="21"/>
    </row>
    <row r="41" spans="1:14" ht="16.5" thickTop="1" thickBot="1">
      <c r="A41" s="3" t="s">
        <v>188</v>
      </c>
      <c r="B41" s="56" t="s">
        <v>58</v>
      </c>
      <c r="C41" s="56" t="s">
        <v>4</v>
      </c>
      <c r="E41" s="366"/>
      <c r="F41" s="367"/>
      <c r="G41" s="377" t="s">
        <v>394</v>
      </c>
      <c r="H41" s="367"/>
      <c r="I41" s="367"/>
      <c r="J41" s="367"/>
      <c r="K41" s="368"/>
      <c r="L41" s="46"/>
      <c r="M41" s="21"/>
    </row>
    <row r="42" spans="1:14" ht="15.75" thickTop="1">
      <c r="A42" s="97" t="s">
        <v>94</v>
      </c>
      <c r="B42" s="56" t="s">
        <v>57</v>
      </c>
      <c r="C42" s="56" t="s">
        <v>2</v>
      </c>
      <c r="D42" s="46"/>
      <c r="E42" s="46">
        <v>2562.4999999999995</v>
      </c>
      <c r="F42" s="46">
        <v>5189.0625</v>
      </c>
      <c r="G42" s="46">
        <v>5189.0625</v>
      </c>
      <c r="H42" s="46">
        <v>5189.0625</v>
      </c>
      <c r="I42" s="46">
        <v>5189.0625</v>
      </c>
      <c r="J42" s="46"/>
      <c r="K42" s="46"/>
      <c r="L42" s="34"/>
      <c r="M42" s="123"/>
    </row>
    <row r="43" spans="1:14">
      <c r="A43" s="3"/>
      <c r="B43" s="56"/>
      <c r="C43" s="55"/>
      <c r="D43" s="46"/>
      <c r="E43" s="46"/>
      <c r="F43" s="34"/>
      <c r="G43" s="34"/>
      <c r="H43" s="34"/>
      <c r="I43" s="46"/>
      <c r="J43" s="46"/>
      <c r="K43" s="46"/>
      <c r="L43" s="46"/>
      <c r="M43" s="21"/>
      <c r="N43" s="21"/>
    </row>
    <row r="44" spans="1:14">
      <c r="A44" s="3"/>
      <c r="B44" s="56"/>
      <c r="C44" s="55"/>
      <c r="D44" s="46"/>
      <c r="E44" s="46"/>
      <c r="F44" s="34"/>
      <c r="G44" s="34"/>
      <c r="H44" s="34"/>
      <c r="I44" s="46"/>
      <c r="J44" s="46"/>
      <c r="K44" s="46"/>
      <c r="L44" s="46"/>
      <c r="M44" s="21"/>
      <c r="N44" s="21"/>
    </row>
    <row r="45" spans="1:14">
      <c r="A45" s="14"/>
      <c r="B45" s="56"/>
      <c r="C45" s="55"/>
      <c r="D45" s="46"/>
      <c r="E45" s="46"/>
      <c r="F45" s="46"/>
      <c r="G45" s="46"/>
      <c r="H45" s="34"/>
      <c r="I45" s="46"/>
      <c r="J45" s="46"/>
      <c r="L45" s="46"/>
      <c r="M45" s="21"/>
      <c r="N45" s="21"/>
    </row>
    <row r="46" spans="1:14" ht="15.75">
      <c r="A46" s="14"/>
      <c r="B46" s="56"/>
      <c r="C46" s="55"/>
      <c r="D46" s="46"/>
      <c r="E46" s="46"/>
      <c r="F46" s="46"/>
      <c r="G46" s="46"/>
      <c r="H46" s="34"/>
      <c r="I46" s="46"/>
      <c r="J46" s="46"/>
      <c r="K46" s="353" t="s">
        <v>393</v>
      </c>
      <c r="L46" s="46"/>
      <c r="M46" s="21"/>
      <c r="N46" s="21"/>
    </row>
    <row r="47" spans="1:14">
      <c r="A47" s="14" t="s">
        <v>137</v>
      </c>
      <c r="B47" s="56"/>
      <c r="C47" s="55"/>
      <c r="D47" s="46"/>
      <c r="E47" s="46"/>
      <c r="F47" s="46"/>
      <c r="G47" s="46"/>
      <c r="H47" s="34"/>
      <c r="I47" s="46"/>
      <c r="J47" s="46"/>
      <c r="L47" s="46"/>
      <c r="M47" s="21"/>
      <c r="N47" s="21"/>
    </row>
    <row r="48" spans="1:14">
      <c r="A48" s="111" t="s">
        <v>259</v>
      </c>
      <c r="B48" s="56" t="s">
        <v>58</v>
      </c>
      <c r="C48" s="56" t="s">
        <v>4</v>
      </c>
      <c r="D48" s="21"/>
      <c r="E48" s="46">
        <v>261320</v>
      </c>
      <c r="F48" s="46"/>
      <c r="G48" s="46"/>
      <c r="I48" s="46"/>
      <c r="J48" s="46"/>
      <c r="K48" s="46"/>
      <c r="L48" s="34"/>
      <c r="M48" s="152"/>
      <c r="N48" s="21"/>
    </row>
    <row r="49" spans="1:14">
      <c r="A49" s="111" t="s">
        <v>261</v>
      </c>
      <c r="B49" s="56" t="s">
        <v>58</v>
      </c>
      <c r="C49" s="56" t="s">
        <v>2</v>
      </c>
      <c r="D49" s="21"/>
      <c r="E49" s="46">
        <v>12229</v>
      </c>
      <c r="G49" s="46"/>
      <c r="H49" s="34"/>
      <c r="I49" s="46"/>
      <c r="J49" s="46"/>
      <c r="K49" s="46"/>
      <c r="L49" s="34"/>
      <c r="M49" s="21"/>
    </row>
    <row r="50" spans="1:14" ht="15.75" thickBot="1">
      <c r="A50" s="97" t="s">
        <v>52</v>
      </c>
      <c r="B50" s="56" t="s">
        <v>57</v>
      </c>
      <c r="C50" s="55" t="s">
        <v>2</v>
      </c>
      <c r="D50" s="46"/>
      <c r="E50" s="46">
        <v>51249.999999999993</v>
      </c>
      <c r="F50" s="46">
        <v>52531.249999999993</v>
      </c>
      <c r="G50" s="46">
        <v>26922.265624999996</v>
      </c>
      <c r="H50" s="46">
        <v>27595.322265624993</v>
      </c>
      <c r="I50" s="46">
        <v>28285.205322265618</v>
      </c>
      <c r="J50" s="46"/>
      <c r="K50" s="46"/>
      <c r="L50" s="34"/>
      <c r="M50" s="49"/>
      <c r="N50" s="21"/>
    </row>
    <row r="51" spans="1:14" ht="16.5" thickTop="1" thickBot="1">
      <c r="A51" s="49" t="s">
        <v>189</v>
      </c>
      <c r="B51" s="56" t="s">
        <v>57</v>
      </c>
      <c r="C51" s="90" t="s">
        <v>2</v>
      </c>
      <c r="D51" s="46"/>
      <c r="E51" s="366"/>
      <c r="F51" s="367"/>
      <c r="G51" s="377" t="s">
        <v>394</v>
      </c>
      <c r="H51" s="367"/>
      <c r="I51" s="368"/>
      <c r="J51" s="46"/>
      <c r="K51" s="46"/>
      <c r="L51" s="34"/>
      <c r="M51" s="21"/>
    </row>
    <row r="52" spans="1:14" ht="15.75" thickTop="1">
      <c r="A52" s="3"/>
      <c r="B52" s="56"/>
      <c r="C52" s="55"/>
      <c r="D52" s="46"/>
      <c r="E52" s="46"/>
      <c r="F52" s="34"/>
      <c r="G52" s="34"/>
      <c r="H52" s="34"/>
      <c r="I52" s="46"/>
      <c r="J52" s="46"/>
      <c r="K52" s="46"/>
      <c r="L52" s="46"/>
      <c r="M52" s="21"/>
      <c r="N52" s="21"/>
    </row>
    <row r="53" spans="1:14">
      <c r="A53" s="14" t="s">
        <v>190</v>
      </c>
      <c r="B53" s="56"/>
      <c r="C53" s="55"/>
      <c r="D53" s="46"/>
      <c r="E53" s="46"/>
      <c r="F53" s="34"/>
      <c r="G53" s="34"/>
      <c r="H53" s="34"/>
      <c r="I53" s="46"/>
      <c r="J53" s="46"/>
      <c r="K53" s="46"/>
      <c r="L53" s="46"/>
      <c r="M53" s="21"/>
      <c r="N53" s="21"/>
    </row>
    <row r="54" spans="1:14">
      <c r="A54" s="10" t="s">
        <v>86</v>
      </c>
      <c r="B54" s="56" t="s">
        <v>58</v>
      </c>
      <c r="C54" s="56" t="s">
        <v>2</v>
      </c>
      <c r="E54" s="46">
        <v>51249.999999999993</v>
      </c>
      <c r="F54" s="46">
        <v>52531.249999999993</v>
      </c>
      <c r="G54" s="46">
        <v>10768.906249999998</v>
      </c>
      <c r="H54" s="46">
        <v>0</v>
      </c>
      <c r="I54" s="46">
        <v>0</v>
      </c>
      <c r="J54" s="46"/>
      <c r="K54" s="46"/>
      <c r="L54" s="34"/>
      <c r="M54" s="21"/>
    </row>
    <row r="55" spans="1:14">
      <c r="A55" s="14"/>
      <c r="B55" s="56"/>
      <c r="C55" s="55"/>
      <c r="D55" s="46"/>
      <c r="E55" s="46"/>
      <c r="F55" s="34"/>
      <c r="G55" s="34"/>
      <c r="H55" s="34"/>
      <c r="I55" s="46"/>
      <c r="J55" s="46"/>
      <c r="K55" s="46"/>
      <c r="L55" s="46"/>
      <c r="M55" s="21"/>
      <c r="N55" s="21"/>
    </row>
    <row r="56" spans="1:14" ht="15.75" thickBot="1">
      <c r="A56" s="14" t="s">
        <v>134</v>
      </c>
      <c r="B56" s="56"/>
      <c r="C56" s="55"/>
      <c r="D56" s="46"/>
      <c r="E56" s="46"/>
      <c r="F56" s="34"/>
      <c r="G56" s="34"/>
      <c r="H56" s="34"/>
      <c r="I56" s="46"/>
      <c r="J56" s="46"/>
      <c r="K56" s="46"/>
      <c r="L56" s="46"/>
      <c r="M56" s="21"/>
      <c r="N56" s="21"/>
    </row>
    <row r="57" spans="1:14" ht="16.5" thickTop="1" thickBot="1">
      <c r="A57" s="97" t="s">
        <v>172</v>
      </c>
      <c r="B57" s="56" t="s">
        <v>58</v>
      </c>
      <c r="C57" s="56" t="s">
        <v>2</v>
      </c>
      <c r="E57" s="366"/>
      <c r="F57" s="367"/>
      <c r="G57" s="377" t="s">
        <v>394</v>
      </c>
      <c r="H57" s="367"/>
      <c r="I57" s="368"/>
      <c r="J57" s="46"/>
      <c r="K57" s="46"/>
      <c r="L57" s="34"/>
      <c r="M57" s="21"/>
    </row>
    <row r="58" spans="1:14" ht="15.75" thickTop="1">
      <c r="A58" s="3"/>
      <c r="B58" s="56"/>
      <c r="C58" s="56"/>
      <c r="D58" s="46"/>
      <c r="E58" s="46"/>
      <c r="F58" s="34"/>
      <c r="G58" s="34"/>
      <c r="H58" s="34"/>
      <c r="I58" s="34"/>
      <c r="J58" s="34"/>
      <c r="K58" s="34"/>
      <c r="L58" s="34"/>
      <c r="M58" s="21"/>
    </row>
    <row r="59" spans="1:14">
      <c r="A59" s="104" t="s">
        <v>55</v>
      </c>
      <c r="B59" s="56"/>
      <c r="C59" s="55"/>
      <c r="D59" s="56"/>
      <c r="E59" s="56"/>
      <c r="F59" s="55"/>
      <c r="G59" s="55"/>
      <c r="H59" s="55"/>
      <c r="I59" s="55"/>
      <c r="J59" s="55"/>
      <c r="K59" s="55"/>
      <c r="L59" s="56"/>
      <c r="M59" s="21"/>
    </row>
    <row r="60" spans="1:14">
      <c r="A60" s="10" t="s">
        <v>274</v>
      </c>
      <c r="B60" s="56"/>
      <c r="C60" s="55" t="s">
        <v>4</v>
      </c>
      <c r="D60" s="46"/>
      <c r="E60" s="46">
        <v>73282.374999999985</v>
      </c>
      <c r="F60" s="46">
        <v>0</v>
      </c>
      <c r="G60" s="46">
        <v>0</v>
      </c>
      <c r="H60" s="46">
        <v>0</v>
      </c>
      <c r="I60" s="46">
        <v>0</v>
      </c>
      <c r="J60" s="46">
        <v>0</v>
      </c>
      <c r="K60" s="46">
        <v>0</v>
      </c>
      <c r="L60" s="56"/>
      <c r="M60" s="21"/>
    </row>
    <row r="61" spans="1:14">
      <c r="A61" s="10" t="s">
        <v>275</v>
      </c>
      <c r="B61" s="56"/>
      <c r="C61" s="55" t="s">
        <v>2</v>
      </c>
      <c r="D61" s="46"/>
      <c r="E61" s="46">
        <v>373234.35187499999</v>
      </c>
      <c r="F61" s="46">
        <v>304692.88567187497</v>
      </c>
      <c r="G61" s="46">
        <v>133137.76483828123</v>
      </c>
      <c r="H61" s="46">
        <v>74310.560278789053</v>
      </c>
      <c r="I61" s="46">
        <v>76168.324285758761</v>
      </c>
      <c r="J61" s="46">
        <v>55664.704227509617</v>
      </c>
      <c r="K61" s="46">
        <v>57056.321833197362</v>
      </c>
      <c r="L61" s="56"/>
      <c r="M61" s="21"/>
    </row>
    <row r="62" spans="1:14">
      <c r="A62" s="3"/>
      <c r="B62" s="21"/>
      <c r="C62" s="56"/>
      <c r="D62" s="46"/>
      <c r="E62" s="46"/>
      <c r="F62" s="34"/>
      <c r="G62" s="34"/>
      <c r="H62" s="34"/>
      <c r="I62" s="34"/>
      <c r="J62" s="34"/>
      <c r="K62" s="34"/>
      <c r="L62" s="46"/>
      <c r="M62" s="21"/>
    </row>
    <row r="63" spans="1:14" s="14" customFormat="1">
      <c r="A63" s="67" t="s">
        <v>13</v>
      </c>
      <c r="B63" s="67"/>
      <c r="C63" s="78" t="s">
        <v>4</v>
      </c>
      <c r="D63" s="73">
        <v>0</v>
      </c>
      <c r="E63" s="73">
        <v>654914.875</v>
      </c>
      <c r="F63" s="73">
        <v>328320.3125</v>
      </c>
      <c r="G63" s="73">
        <v>0</v>
      </c>
      <c r="H63" s="73">
        <v>0</v>
      </c>
      <c r="I63" s="73">
        <v>0</v>
      </c>
      <c r="J63" s="73">
        <v>210194.43205108633</v>
      </c>
      <c r="K63" s="73">
        <v>215449.29285236352</v>
      </c>
      <c r="L63" s="43"/>
      <c r="M63" s="109"/>
    </row>
    <row r="64" spans="1:14" s="14" customFormat="1">
      <c r="A64" s="69" t="s">
        <v>14</v>
      </c>
      <c r="B64" s="69"/>
      <c r="C64" s="79" t="s">
        <v>2</v>
      </c>
      <c r="D64" s="74">
        <v>0</v>
      </c>
      <c r="E64" s="74">
        <v>605044.60187499993</v>
      </c>
      <c r="F64" s="74">
        <v>516201.63567187497</v>
      </c>
      <c r="G64" s="74">
        <v>274553.4914007812</v>
      </c>
      <c r="H64" s="74">
        <v>208093.82453660152</v>
      </c>
      <c r="I64" s="74">
        <v>213166.44358751655</v>
      </c>
      <c r="J64" s="74">
        <v>55664.704227509617</v>
      </c>
      <c r="K64" s="74">
        <v>57056.321833197362</v>
      </c>
      <c r="L64" s="43"/>
      <c r="M64" s="109"/>
    </row>
    <row r="65" spans="1:15">
      <c r="D65" s="34"/>
      <c r="E65" s="34"/>
      <c r="F65" s="34"/>
      <c r="G65" s="34"/>
      <c r="H65" s="34"/>
      <c r="I65" s="55"/>
      <c r="J65" s="55"/>
      <c r="K65" s="55"/>
      <c r="L65" s="56"/>
      <c r="M65" s="21"/>
    </row>
    <row r="66" spans="1:15">
      <c r="C66" s="9"/>
      <c r="D66" s="173"/>
      <c r="E66" s="171"/>
      <c r="F66" s="171"/>
      <c r="G66" s="171"/>
      <c r="H66" s="171"/>
      <c r="I66" s="91"/>
      <c r="J66" s="91"/>
      <c r="K66" s="91"/>
      <c r="L66" s="164"/>
      <c r="M66" s="178"/>
      <c r="N66" s="174"/>
      <c r="O66" s="9"/>
    </row>
    <row r="67" spans="1:15">
      <c r="A67" s="1" t="s">
        <v>6</v>
      </c>
      <c r="C67" s="9"/>
      <c r="D67" s="175"/>
      <c r="E67" s="171"/>
      <c r="F67" s="171"/>
      <c r="G67" s="171"/>
      <c r="H67" s="171"/>
      <c r="I67" s="91"/>
      <c r="J67" s="91"/>
      <c r="K67" s="91"/>
      <c r="L67" s="164"/>
      <c r="M67" s="178"/>
      <c r="N67" s="176"/>
      <c r="O67" s="9"/>
    </row>
    <row r="68" spans="1:15">
      <c r="A68" s="11" t="s">
        <v>169</v>
      </c>
      <c r="C68" s="9"/>
      <c r="D68" s="177"/>
      <c r="E68" s="177"/>
      <c r="F68" s="177"/>
      <c r="G68" s="177"/>
      <c r="H68" s="177"/>
      <c r="I68" s="92"/>
      <c r="J68" s="92"/>
      <c r="K68" s="92"/>
      <c r="L68" s="92"/>
      <c r="M68" s="9"/>
      <c r="N68" s="9"/>
      <c r="O68" s="9"/>
    </row>
    <row r="69" spans="1:15">
      <c r="A69" s="11" t="s">
        <v>176</v>
      </c>
    </row>
    <row r="70" spans="1:15">
      <c r="A70" s="11" t="s">
        <v>177</v>
      </c>
    </row>
    <row r="71" spans="1:15">
      <c r="A71" s="11" t="s">
        <v>182</v>
      </c>
    </row>
    <row r="72" spans="1:15">
      <c r="A72" s="82" t="s">
        <v>269</v>
      </c>
    </row>
    <row r="73" spans="1:15">
      <c r="A73" s="82" t="s">
        <v>165</v>
      </c>
    </row>
    <row r="74" spans="1:15">
      <c r="A74" s="82" t="s">
        <v>186</v>
      </c>
    </row>
    <row r="75" spans="1:15">
      <c r="A75" s="82" t="s">
        <v>232</v>
      </c>
    </row>
    <row r="76" spans="1:15">
      <c r="A76" s="11" t="s">
        <v>191</v>
      </c>
    </row>
    <row r="77" spans="1:15">
      <c r="A77" s="11" t="s">
        <v>192</v>
      </c>
    </row>
    <row r="78" spans="1:15">
      <c r="A78" s="11" t="s">
        <v>299</v>
      </c>
    </row>
  </sheetData>
  <mergeCells count="4">
    <mergeCell ref="A2:K2"/>
    <mergeCell ref="A3:K3"/>
    <mergeCell ref="A4:K4"/>
    <mergeCell ref="A5:K5"/>
  </mergeCells>
  <pageMargins left="0.5" right="0.5" top="0.5" bottom="0.5" header="0.3" footer="0.3"/>
  <pageSetup scale="85" orientation="landscape"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N76"/>
  <sheetViews>
    <sheetView zoomScaleNormal="100" workbookViewId="0">
      <selection activeCell="C52" sqref="C52"/>
    </sheetView>
  </sheetViews>
  <sheetFormatPr defaultColWidth="8.85546875" defaultRowHeight="15"/>
  <cols>
    <col min="1" max="1" width="43.28515625" style="97" customWidth="1"/>
    <col min="2" max="2" width="8.7109375" style="97" customWidth="1"/>
    <col min="3" max="3" width="19.7109375" style="97" bestFit="1" customWidth="1"/>
    <col min="4" max="4" width="8.85546875" style="97" customWidth="1"/>
    <col min="5" max="9" width="10.28515625" style="97" bestFit="1" customWidth="1"/>
    <col min="10" max="10" width="10.28515625" style="97" customWidth="1"/>
    <col min="11" max="11" width="12.28515625" style="97" customWidth="1"/>
    <col min="12" max="12" width="8.85546875" style="97"/>
    <col min="13" max="13" width="33.42578125" style="97" bestFit="1" customWidth="1"/>
    <col min="14" max="16384" width="8.85546875" style="97"/>
  </cols>
  <sheetData>
    <row r="1" spans="1:14" ht="15.75">
      <c r="K1" s="353" t="s">
        <v>393</v>
      </c>
    </row>
    <row r="2" spans="1:14" s="182" customFormat="1">
      <c r="A2" s="384" t="s">
        <v>278</v>
      </c>
      <c r="B2" s="384"/>
      <c r="C2" s="384"/>
      <c r="D2" s="384"/>
      <c r="E2" s="384"/>
      <c r="F2" s="384"/>
      <c r="G2" s="384"/>
      <c r="H2" s="384"/>
      <c r="I2" s="384"/>
      <c r="J2" s="384"/>
      <c r="K2" s="384"/>
      <c r="L2" s="183"/>
      <c r="M2" s="183"/>
      <c r="N2" s="183"/>
    </row>
    <row r="3" spans="1:14" s="182" customFormat="1">
      <c r="A3" s="384" t="s">
        <v>281</v>
      </c>
      <c r="B3" s="384"/>
      <c r="C3" s="384"/>
      <c r="D3" s="384"/>
      <c r="E3" s="384"/>
      <c r="F3" s="384"/>
      <c r="G3" s="384"/>
      <c r="H3" s="384"/>
      <c r="I3" s="384"/>
      <c r="J3" s="384"/>
      <c r="K3" s="384"/>
      <c r="L3" s="183"/>
      <c r="M3" s="183"/>
      <c r="N3" s="183"/>
    </row>
    <row r="4" spans="1:14" s="182" customFormat="1">
      <c r="A4" s="384" t="s">
        <v>279</v>
      </c>
      <c r="B4" s="384"/>
      <c r="C4" s="384"/>
      <c r="D4" s="384"/>
      <c r="E4" s="384"/>
      <c r="F4" s="384"/>
      <c r="G4" s="384"/>
      <c r="H4" s="384"/>
      <c r="I4" s="384"/>
      <c r="J4" s="384"/>
      <c r="K4" s="384"/>
      <c r="L4" s="183"/>
      <c r="M4" s="183"/>
      <c r="N4" s="183"/>
    </row>
    <row r="5" spans="1:14" s="182" customFormat="1">
      <c r="A5" s="384" t="s">
        <v>287</v>
      </c>
      <c r="B5" s="384"/>
      <c r="C5" s="384"/>
      <c r="D5" s="384"/>
      <c r="E5" s="384"/>
      <c r="F5" s="384"/>
      <c r="G5" s="384"/>
      <c r="H5" s="384"/>
      <c r="I5" s="384"/>
      <c r="J5" s="384"/>
      <c r="K5" s="384"/>
      <c r="L5" s="183"/>
      <c r="M5" s="183"/>
      <c r="N5" s="183"/>
    </row>
    <row r="6" spans="1:14" s="182" customFormat="1">
      <c r="A6" s="184"/>
      <c r="B6" s="184"/>
      <c r="C6" s="184"/>
      <c r="D6" s="184"/>
      <c r="E6" s="184"/>
      <c r="F6" s="184"/>
      <c r="G6" s="184"/>
      <c r="H6" s="184"/>
      <c r="I6" s="184"/>
      <c r="J6" s="184"/>
      <c r="K6" s="183"/>
      <c r="L6" s="183"/>
      <c r="M6" s="183"/>
      <c r="N6" s="183"/>
    </row>
    <row r="7" spans="1:14" s="24" customFormat="1">
      <c r="A7" s="126" t="s">
        <v>24</v>
      </c>
      <c r="B7" s="127" t="s">
        <v>95</v>
      </c>
      <c r="C7" s="127" t="s">
        <v>116</v>
      </c>
      <c r="D7" s="122"/>
      <c r="E7" s="57"/>
      <c r="F7" s="57"/>
    </row>
    <row r="8" spans="1:14" s="24" customFormat="1" ht="12">
      <c r="A8" s="25" t="s">
        <v>37</v>
      </c>
      <c r="B8" s="26">
        <v>2.5000000000000001E-2</v>
      </c>
      <c r="C8" s="26"/>
      <c r="D8" s="45"/>
      <c r="E8" s="45"/>
      <c r="F8" s="64"/>
    </row>
    <row r="9" spans="1:14" s="24" customFormat="1" ht="12.75" thickBot="1">
      <c r="A9" s="25" t="s">
        <v>295</v>
      </c>
      <c r="B9" s="121">
        <v>3</v>
      </c>
      <c r="C9" s="149" t="s">
        <v>296</v>
      </c>
      <c r="D9" s="45"/>
      <c r="E9" s="45"/>
      <c r="F9" s="52"/>
    </row>
    <row r="10" spans="1:14" s="24" customFormat="1" ht="12.75" thickTop="1">
      <c r="A10" s="25" t="s">
        <v>172</v>
      </c>
      <c r="B10" s="381" t="s">
        <v>394</v>
      </c>
      <c r="C10" s="149" t="s">
        <v>143</v>
      </c>
      <c r="D10" s="45"/>
      <c r="E10" s="45"/>
      <c r="F10" s="52"/>
    </row>
    <row r="11" spans="1:14" s="24" customFormat="1" ht="12.75" thickBot="1">
      <c r="A11" s="32" t="s">
        <v>173</v>
      </c>
      <c r="B11" s="356"/>
      <c r="C11" s="143" t="s">
        <v>143</v>
      </c>
      <c r="D11" s="45"/>
      <c r="E11" s="45"/>
      <c r="F11" s="52"/>
    </row>
    <row r="12" spans="1:14" s="24" customFormat="1" ht="12.75" thickTop="1">
      <c r="A12" s="32" t="s">
        <v>174</v>
      </c>
      <c r="B12" s="29">
        <v>0.02</v>
      </c>
      <c r="C12" s="29"/>
      <c r="D12" s="45"/>
      <c r="E12" s="45"/>
      <c r="F12" s="52"/>
    </row>
    <row r="13" spans="1:14" s="24" customFormat="1" ht="12">
      <c r="A13" s="32" t="s">
        <v>183</v>
      </c>
      <c r="B13" s="38">
        <v>1000</v>
      </c>
      <c r="C13" s="143" t="s">
        <v>145</v>
      </c>
      <c r="D13" s="45"/>
      <c r="E13" s="45"/>
      <c r="F13" s="52"/>
    </row>
    <row r="14" spans="1:14" s="24" customFormat="1" ht="12.75" thickBot="1">
      <c r="A14" s="32" t="s">
        <v>175</v>
      </c>
      <c r="B14" s="29">
        <v>0.25</v>
      </c>
      <c r="C14" s="29"/>
      <c r="D14" s="45"/>
      <c r="E14" s="45"/>
      <c r="F14" s="52"/>
    </row>
    <row r="15" spans="1:14" s="24" customFormat="1" ht="13.5" thickTop="1" thickBot="1">
      <c r="A15" s="32" t="s">
        <v>179</v>
      </c>
      <c r="B15" s="382" t="s">
        <v>394</v>
      </c>
      <c r="C15" s="144" t="s">
        <v>117</v>
      </c>
      <c r="D15" s="45"/>
      <c r="E15" s="45"/>
      <c r="F15" s="52"/>
    </row>
    <row r="16" spans="1:14" s="24" customFormat="1" ht="12.75" thickTop="1">
      <c r="A16" s="32" t="s">
        <v>178</v>
      </c>
      <c r="B16" s="38">
        <v>4500</v>
      </c>
      <c r="C16" s="143" t="s">
        <v>145</v>
      </c>
      <c r="D16" s="45"/>
      <c r="E16" s="45"/>
      <c r="F16" s="52"/>
    </row>
    <row r="17" spans="1:13" s="24" customFormat="1" ht="12">
      <c r="A17" s="32" t="s">
        <v>180</v>
      </c>
      <c r="B17" s="38">
        <v>3000</v>
      </c>
      <c r="C17" s="143" t="s">
        <v>145</v>
      </c>
      <c r="D17" s="45"/>
      <c r="E17" s="45"/>
      <c r="F17" s="52"/>
    </row>
    <row r="18" spans="1:13" s="24" customFormat="1" ht="12">
      <c r="A18" s="32" t="s">
        <v>181</v>
      </c>
      <c r="B18" s="29">
        <v>0.05</v>
      </c>
      <c r="C18" s="29"/>
      <c r="D18" s="45"/>
      <c r="E18" s="45"/>
      <c r="F18" s="52"/>
    </row>
    <row r="19" spans="1:13" s="24" customFormat="1" ht="12">
      <c r="A19" s="32" t="s">
        <v>184</v>
      </c>
      <c r="B19" s="38">
        <v>200</v>
      </c>
      <c r="C19" s="143" t="s">
        <v>145</v>
      </c>
      <c r="D19" s="45"/>
      <c r="E19" s="45"/>
      <c r="F19" s="52"/>
    </row>
    <row r="20" spans="1:13" s="41" customFormat="1" ht="12">
      <c r="A20" s="45"/>
      <c r="B20" s="53"/>
      <c r="C20" s="63"/>
      <c r="D20" s="45"/>
      <c r="E20" s="45"/>
      <c r="F20" s="52"/>
    </row>
    <row r="21" spans="1:13">
      <c r="D21" s="107"/>
      <c r="E21" s="107" t="s">
        <v>77</v>
      </c>
      <c r="F21" s="80" t="s">
        <v>78</v>
      </c>
      <c r="G21" s="80" t="s">
        <v>79</v>
      </c>
      <c r="H21" s="80" t="s">
        <v>80</v>
      </c>
      <c r="I21" s="80" t="s">
        <v>81</v>
      </c>
      <c r="J21" s="80" t="s">
        <v>150</v>
      </c>
      <c r="K21" s="80" t="s">
        <v>151</v>
      </c>
    </row>
    <row r="22" spans="1:13" s="43" customFormat="1">
      <c r="A22" s="54" t="s">
        <v>0</v>
      </c>
      <c r="B22" s="54"/>
      <c r="C22" s="54" t="s">
        <v>291</v>
      </c>
      <c r="D22" s="54">
        <v>2018</v>
      </c>
      <c r="E22" s="54">
        <v>2019</v>
      </c>
      <c r="F22" s="54">
        <v>2020</v>
      </c>
      <c r="G22" s="54">
        <v>2021</v>
      </c>
      <c r="H22" s="54">
        <v>2022</v>
      </c>
      <c r="I22" s="54">
        <v>2023</v>
      </c>
      <c r="J22" s="54">
        <v>2024</v>
      </c>
      <c r="K22" s="54">
        <v>2025</v>
      </c>
    </row>
    <row r="23" spans="1:13" s="43" customFormat="1"/>
    <row r="24" spans="1:13">
      <c r="A24" s="14" t="s">
        <v>146</v>
      </c>
      <c r="D24" s="21"/>
      <c r="E24" s="21"/>
      <c r="M24" s="43"/>
    </row>
    <row r="25" spans="1:13">
      <c r="A25" s="124" t="s">
        <v>193</v>
      </c>
      <c r="B25" s="3" t="s">
        <v>3</v>
      </c>
      <c r="C25" s="3"/>
      <c r="E25" s="119">
        <v>31.25</v>
      </c>
      <c r="F25" s="119">
        <v>0</v>
      </c>
      <c r="G25" s="119">
        <v>0</v>
      </c>
      <c r="M25" s="43"/>
    </row>
    <row r="26" spans="1:13">
      <c r="A26" s="124" t="s">
        <v>194</v>
      </c>
      <c r="B26" s="3"/>
      <c r="C26" s="3"/>
      <c r="E26" s="119">
        <v>25</v>
      </c>
      <c r="F26" s="119">
        <v>0</v>
      </c>
      <c r="G26" s="119">
        <v>0</v>
      </c>
      <c r="M26" s="43"/>
    </row>
    <row r="27" spans="1:13">
      <c r="A27" s="103" t="s">
        <v>195</v>
      </c>
      <c r="B27" s="3"/>
      <c r="C27" s="3"/>
      <c r="E27" s="119">
        <v>15</v>
      </c>
      <c r="F27" s="119">
        <v>10</v>
      </c>
      <c r="G27" s="119">
        <v>0</v>
      </c>
      <c r="M27" s="43"/>
    </row>
    <row r="28" spans="1:13">
      <c r="A28" s="103" t="s">
        <v>90</v>
      </c>
      <c r="B28" s="3"/>
      <c r="C28" s="3"/>
      <c r="E28" s="119">
        <v>15</v>
      </c>
      <c r="F28" s="119">
        <v>25</v>
      </c>
      <c r="G28" s="119">
        <v>25</v>
      </c>
      <c r="M28" s="43"/>
    </row>
    <row r="29" spans="1:13">
      <c r="A29" s="103" t="s">
        <v>185</v>
      </c>
      <c r="B29" s="3"/>
      <c r="C29" s="3"/>
      <c r="E29" s="119">
        <v>45</v>
      </c>
      <c r="F29" s="119">
        <v>30</v>
      </c>
      <c r="G29" s="119">
        <v>0</v>
      </c>
      <c r="M29" s="43"/>
    </row>
    <row r="30" spans="1:13">
      <c r="A30" s="103" t="s">
        <v>157</v>
      </c>
      <c r="B30" s="3"/>
      <c r="C30" s="3"/>
      <c r="E30" s="119">
        <v>45</v>
      </c>
      <c r="F30" s="119">
        <v>75</v>
      </c>
      <c r="G30" s="119">
        <v>75</v>
      </c>
    </row>
    <row r="31" spans="1:13">
      <c r="B31" s="3" t="s">
        <v>3</v>
      </c>
      <c r="C31" s="3"/>
      <c r="D31" s="21"/>
      <c r="E31" s="21"/>
    </row>
    <row r="32" spans="1:13">
      <c r="A32" s="6" t="s">
        <v>297</v>
      </c>
      <c r="B32" s="21"/>
      <c r="D32" s="21"/>
      <c r="E32" s="21"/>
    </row>
    <row r="33" spans="1:14">
      <c r="A33" s="3" t="s">
        <v>196</v>
      </c>
      <c r="B33" s="56"/>
      <c r="C33" s="56"/>
      <c r="D33" s="115"/>
      <c r="E33" s="115"/>
      <c r="F33" s="81"/>
      <c r="G33" s="81"/>
      <c r="H33" s="81"/>
      <c r="I33" s="81"/>
      <c r="J33" s="81"/>
      <c r="K33" s="81"/>
      <c r="L33" s="81"/>
    </row>
    <row r="34" spans="1:14">
      <c r="A34" s="3" t="s">
        <v>93</v>
      </c>
      <c r="B34" s="56" t="s">
        <v>58</v>
      </c>
      <c r="C34" s="56" t="s">
        <v>2</v>
      </c>
      <c r="E34" s="46">
        <v>31250</v>
      </c>
      <c r="F34" s="46">
        <v>0</v>
      </c>
      <c r="G34" s="46">
        <v>0</v>
      </c>
      <c r="H34" s="46">
        <v>0</v>
      </c>
      <c r="I34" s="46">
        <v>0</v>
      </c>
      <c r="J34" s="46"/>
      <c r="K34" s="46"/>
      <c r="L34" s="46"/>
    </row>
    <row r="35" spans="1:14" ht="15.75" thickBot="1">
      <c r="A35" s="3" t="s">
        <v>9</v>
      </c>
      <c r="B35" s="56" t="s">
        <v>58</v>
      </c>
      <c r="C35" s="56" t="s">
        <v>4</v>
      </c>
      <c r="E35" s="46">
        <v>46124.999999999993</v>
      </c>
      <c r="F35" s="46">
        <v>31518.749999999996</v>
      </c>
      <c r="G35" s="46">
        <v>0</v>
      </c>
      <c r="H35" s="46">
        <v>0</v>
      </c>
      <c r="I35" s="46">
        <v>0</v>
      </c>
      <c r="J35" s="46"/>
      <c r="K35" s="46"/>
      <c r="L35" s="46"/>
    </row>
    <row r="36" spans="1:14" ht="16.5" thickTop="1" thickBot="1">
      <c r="A36" s="3" t="s">
        <v>10</v>
      </c>
      <c r="B36" s="56" t="s">
        <v>57</v>
      </c>
      <c r="C36" s="55" t="s">
        <v>4</v>
      </c>
      <c r="E36" s="366"/>
      <c r="F36" s="367"/>
      <c r="G36" s="377" t="s">
        <v>394</v>
      </c>
      <c r="H36" s="367"/>
      <c r="I36" s="368"/>
      <c r="J36" s="46"/>
      <c r="K36" s="46"/>
      <c r="L36" s="46"/>
      <c r="M36" s="21"/>
      <c r="N36" s="21"/>
    </row>
    <row r="37" spans="1:14" ht="16.5" thickTop="1" thickBot="1">
      <c r="A37" s="3" t="s">
        <v>187</v>
      </c>
      <c r="B37" s="56"/>
      <c r="C37" s="55" t="s">
        <v>4</v>
      </c>
      <c r="D37" s="46"/>
      <c r="E37" s="46"/>
      <c r="F37" s="34"/>
      <c r="G37" s="34"/>
      <c r="H37" s="34"/>
      <c r="I37" s="46"/>
      <c r="J37" s="383" t="s">
        <v>394</v>
      </c>
      <c r="K37" s="368"/>
      <c r="L37" s="46"/>
      <c r="M37" s="21"/>
      <c r="N37" s="21"/>
    </row>
    <row r="38" spans="1:14" ht="15.75" thickTop="1">
      <c r="A38" s="21" t="s">
        <v>56</v>
      </c>
      <c r="B38" s="56" t="s">
        <v>57</v>
      </c>
      <c r="C38" s="56" t="s">
        <v>2</v>
      </c>
      <c r="E38" s="46">
        <v>3000</v>
      </c>
      <c r="F38" s="46">
        <v>2000</v>
      </c>
      <c r="G38" s="46">
        <v>0</v>
      </c>
      <c r="H38" s="46">
        <v>0</v>
      </c>
      <c r="I38" s="34"/>
      <c r="J38" s="34"/>
      <c r="K38" s="34"/>
      <c r="L38" s="34"/>
      <c r="M38" s="50"/>
    </row>
    <row r="39" spans="1:14">
      <c r="A39" s="21"/>
      <c r="B39" s="56"/>
      <c r="C39" s="56"/>
      <c r="E39" s="46"/>
      <c r="F39" s="46"/>
      <c r="G39" s="46"/>
      <c r="H39" s="46"/>
      <c r="I39" s="34"/>
      <c r="J39" s="34"/>
      <c r="K39" s="34"/>
      <c r="L39" s="34"/>
      <c r="M39" s="50"/>
    </row>
    <row r="40" spans="1:14">
      <c r="A40" s="14" t="s">
        <v>300</v>
      </c>
      <c r="B40" s="56"/>
      <c r="C40" s="55"/>
      <c r="D40" s="46"/>
      <c r="E40" s="46"/>
      <c r="F40" s="34"/>
      <c r="G40" s="34"/>
      <c r="H40" s="34"/>
      <c r="I40" s="46"/>
      <c r="J40" s="46"/>
      <c r="K40" s="46"/>
      <c r="L40" s="46"/>
      <c r="M40" s="21"/>
      <c r="N40" s="21"/>
    </row>
    <row r="41" spans="1:14">
      <c r="A41" s="3" t="s">
        <v>188</v>
      </c>
      <c r="B41" s="56" t="s">
        <v>58</v>
      </c>
      <c r="C41" s="56" t="s">
        <v>4</v>
      </c>
      <c r="E41" s="46">
        <v>69187.5</v>
      </c>
      <c r="F41" s="46">
        <v>47278.125</v>
      </c>
      <c r="G41" s="46">
        <v>0</v>
      </c>
      <c r="H41" s="46">
        <v>0</v>
      </c>
      <c r="I41" s="46">
        <v>0</v>
      </c>
      <c r="J41" s="46">
        <v>39139.652864685042</v>
      </c>
      <c r="K41" s="46">
        <v>26745.429457534781</v>
      </c>
      <c r="L41" s="46"/>
    </row>
    <row r="42" spans="1:14">
      <c r="A42" s="97" t="s">
        <v>94</v>
      </c>
      <c r="B42" s="56" t="s">
        <v>57</v>
      </c>
      <c r="C42" s="56" t="s">
        <v>2</v>
      </c>
      <c r="D42" s="46"/>
      <c r="E42" s="46">
        <v>1537.5</v>
      </c>
      <c r="F42" s="46">
        <v>2588.125</v>
      </c>
      <c r="G42" s="46">
        <v>2588.125</v>
      </c>
      <c r="H42" s="46">
        <v>2588.125</v>
      </c>
      <c r="I42" s="46">
        <v>2588.125</v>
      </c>
      <c r="J42" s="46"/>
      <c r="K42" s="46"/>
      <c r="L42" s="34"/>
      <c r="M42" s="50"/>
    </row>
    <row r="43" spans="1:14">
      <c r="A43" s="3"/>
      <c r="B43" s="56"/>
      <c r="C43" s="55"/>
      <c r="D43" s="46"/>
      <c r="E43" s="46"/>
      <c r="F43" s="34"/>
      <c r="G43" s="34"/>
      <c r="H43" s="34"/>
      <c r="I43" s="46"/>
      <c r="J43" s="46"/>
      <c r="K43" s="46"/>
      <c r="L43" s="46"/>
      <c r="M43" s="21"/>
      <c r="N43" s="21"/>
    </row>
    <row r="44" spans="1:14">
      <c r="A44" s="14" t="s">
        <v>137</v>
      </c>
      <c r="B44" s="56"/>
      <c r="C44" s="55"/>
      <c r="D44" s="46"/>
      <c r="E44" s="46"/>
      <c r="F44" s="34"/>
      <c r="G44" s="34"/>
      <c r="H44" s="34"/>
      <c r="I44" s="46"/>
      <c r="J44" s="46"/>
      <c r="K44" s="46"/>
      <c r="L44" s="46"/>
      <c r="M44" s="21"/>
      <c r="N44" s="21"/>
    </row>
    <row r="45" spans="1:14">
      <c r="A45" s="111" t="s">
        <v>259</v>
      </c>
      <c r="B45" s="56" t="s">
        <v>58</v>
      </c>
      <c r="C45" s="56" t="s">
        <v>4</v>
      </c>
      <c r="E45" s="46">
        <v>261320</v>
      </c>
      <c r="F45" s="46"/>
      <c r="G45" s="34"/>
      <c r="I45" s="46"/>
      <c r="J45" s="46"/>
      <c r="K45" s="46"/>
      <c r="L45" s="34"/>
      <c r="M45" s="88"/>
      <c r="N45" s="21"/>
    </row>
    <row r="46" spans="1:14">
      <c r="A46" s="111" t="s">
        <v>261</v>
      </c>
      <c r="B46" s="56" t="s">
        <v>58</v>
      </c>
      <c r="C46" s="56" t="s">
        <v>2</v>
      </c>
      <c r="E46" s="46">
        <v>12229</v>
      </c>
      <c r="G46" s="34"/>
      <c r="H46" s="34"/>
      <c r="I46" s="46"/>
      <c r="J46" s="46"/>
      <c r="K46" s="46"/>
      <c r="L46" s="34"/>
      <c r="M46" s="21"/>
    </row>
    <row r="47" spans="1:14" ht="15.75" thickBot="1">
      <c r="A47" s="21" t="s">
        <v>52</v>
      </c>
      <c r="B47" s="56" t="s">
        <v>57</v>
      </c>
      <c r="C47" s="55" t="s">
        <v>2</v>
      </c>
      <c r="D47" s="46"/>
      <c r="E47" s="46">
        <v>51249.999999999993</v>
      </c>
      <c r="F47" s="46">
        <v>52531.249999999993</v>
      </c>
      <c r="G47" s="46">
        <v>26922.265624999996</v>
      </c>
      <c r="H47" s="46">
        <v>27595.322265624993</v>
      </c>
      <c r="I47" s="46">
        <v>28285.205322265618</v>
      </c>
      <c r="J47" s="46"/>
      <c r="K47" s="46"/>
      <c r="L47" s="34"/>
      <c r="M47" s="49"/>
      <c r="N47" s="21"/>
    </row>
    <row r="48" spans="1:14" ht="16.5" thickTop="1" thickBot="1">
      <c r="A48" s="49" t="s">
        <v>189</v>
      </c>
      <c r="B48" s="56" t="s">
        <v>57</v>
      </c>
      <c r="C48" s="90" t="s">
        <v>2</v>
      </c>
      <c r="D48" s="46"/>
      <c r="E48" s="366"/>
      <c r="F48" s="367"/>
      <c r="G48" s="377" t="s">
        <v>394</v>
      </c>
      <c r="H48" s="367"/>
      <c r="I48" s="368"/>
      <c r="J48" s="46"/>
      <c r="K48" s="46"/>
      <c r="L48" s="34"/>
      <c r="M48" s="21"/>
    </row>
    <row r="49" spans="1:14" ht="15.75" thickTop="1">
      <c r="A49" s="3"/>
      <c r="B49" s="56"/>
      <c r="C49" s="55"/>
      <c r="D49" s="46"/>
      <c r="E49" s="46"/>
      <c r="F49" s="34"/>
      <c r="G49" s="34"/>
      <c r="H49" s="34"/>
      <c r="I49" s="46"/>
      <c r="J49" s="46"/>
      <c r="K49" s="46"/>
      <c r="L49" s="46"/>
      <c r="M49" s="21"/>
      <c r="N49" s="21"/>
    </row>
    <row r="50" spans="1:14" ht="15.75">
      <c r="A50" s="3"/>
      <c r="B50" s="56"/>
      <c r="C50" s="55"/>
      <c r="D50" s="46"/>
      <c r="E50" s="46"/>
      <c r="F50" s="34"/>
      <c r="G50" s="34"/>
      <c r="H50" s="34"/>
      <c r="I50" s="46"/>
      <c r="J50" s="46"/>
      <c r="K50" s="353" t="s">
        <v>393</v>
      </c>
      <c r="L50" s="46"/>
      <c r="M50" s="21"/>
      <c r="N50" s="21"/>
    </row>
    <row r="51" spans="1:14">
      <c r="A51" s="14" t="s">
        <v>190</v>
      </c>
      <c r="B51" s="56"/>
      <c r="C51" s="55"/>
      <c r="D51" s="46"/>
      <c r="E51" s="46"/>
      <c r="F51" s="34"/>
      <c r="G51" s="34"/>
      <c r="H51" s="34"/>
      <c r="I51" s="46"/>
      <c r="J51" s="46"/>
      <c r="K51" s="46"/>
      <c r="L51" s="46"/>
      <c r="M51" s="21"/>
      <c r="N51" s="21"/>
    </row>
    <row r="52" spans="1:14">
      <c r="A52" s="10" t="s">
        <v>86</v>
      </c>
      <c r="B52" s="56" t="s">
        <v>58</v>
      </c>
      <c r="C52" s="56" t="s">
        <v>2</v>
      </c>
      <c r="E52" s="46">
        <v>50000</v>
      </c>
      <c r="F52" s="46">
        <v>51249.999999999993</v>
      </c>
      <c r="G52" s="46">
        <v>10506.25</v>
      </c>
      <c r="H52" s="46">
        <v>0</v>
      </c>
      <c r="I52" s="46">
        <v>0</v>
      </c>
      <c r="J52" s="46"/>
      <c r="K52" s="46"/>
      <c r="L52" s="34"/>
      <c r="M52" s="21"/>
    </row>
    <row r="53" spans="1:14">
      <c r="A53" s="14"/>
      <c r="B53" s="56"/>
      <c r="C53" s="55"/>
      <c r="D53" s="46"/>
      <c r="E53" s="46"/>
      <c r="F53" s="34"/>
      <c r="G53" s="34"/>
      <c r="H53" s="34"/>
      <c r="I53" s="46"/>
      <c r="J53" s="46"/>
      <c r="K53" s="46"/>
      <c r="L53" s="46"/>
      <c r="M53" s="21"/>
      <c r="N53" s="21"/>
    </row>
    <row r="54" spans="1:14" ht="15.75" thickBot="1">
      <c r="A54" s="14" t="s">
        <v>134</v>
      </c>
      <c r="B54" s="56"/>
      <c r="C54" s="55"/>
      <c r="D54" s="46"/>
      <c r="E54" s="46"/>
      <c r="F54" s="34"/>
      <c r="G54" s="34"/>
      <c r="H54" s="34"/>
      <c r="I54" s="46"/>
      <c r="J54" s="46"/>
      <c r="K54" s="46"/>
      <c r="L54" s="46"/>
      <c r="M54" s="21"/>
      <c r="N54" s="21"/>
    </row>
    <row r="55" spans="1:14" ht="16.5" thickTop="1" thickBot="1">
      <c r="A55" s="97" t="s">
        <v>23</v>
      </c>
      <c r="B55" s="56" t="s">
        <v>58</v>
      </c>
      <c r="C55" s="56" t="s">
        <v>2</v>
      </c>
      <c r="E55" s="366"/>
      <c r="F55" s="367"/>
      <c r="G55" s="377" t="s">
        <v>394</v>
      </c>
      <c r="H55" s="367"/>
      <c r="I55" s="368"/>
      <c r="J55" s="46"/>
      <c r="K55" s="46"/>
      <c r="L55" s="34"/>
      <c r="M55" s="21"/>
    </row>
    <row r="56" spans="1:14" ht="15.75" thickTop="1">
      <c r="A56" s="3"/>
      <c r="B56" s="56"/>
      <c r="C56" s="56"/>
      <c r="D56" s="46"/>
      <c r="E56" s="46"/>
      <c r="F56" s="34"/>
      <c r="G56" s="34"/>
      <c r="H56" s="34"/>
      <c r="I56" s="34"/>
      <c r="J56" s="34"/>
      <c r="K56" s="34"/>
      <c r="L56" s="34"/>
    </row>
    <row r="57" spans="1:14">
      <c r="A57" s="104" t="s">
        <v>55</v>
      </c>
      <c r="B57" s="56"/>
      <c r="C57" s="55"/>
      <c r="D57" s="56"/>
      <c r="E57" s="56"/>
      <c r="F57" s="55"/>
      <c r="G57" s="55"/>
      <c r="H57" s="55"/>
      <c r="I57" s="55"/>
      <c r="J57" s="55"/>
      <c r="K57" s="55"/>
      <c r="L57" s="55"/>
    </row>
    <row r="58" spans="1:14">
      <c r="A58" s="102" t="s">
        <v>274</v>
      </c>
      <c r="B58" s="56"/>
      <c r="C58" s="55" t="s">
        <v>4</v>
      </c>
      <c r="D58" s="46"/>
      <c r="E58" s="46">
        <v>73282.374999999985</v>
      </c>
      <c r="F58" s="46">
        <v>0</v>
      </c>
      <c r="G58" s="46">
        <v>0</v>
      </c>
      <c r="H58" s="46">
        <v>0</v>
      </c>
      <c r="I58" s="46">
        <v>0</v>
      </c>
      <c r="J58" s="46">
        <v>0</v>
      </c>
      <c r="K58" s="46">
        <v>0</v>
      </c>
    </row>
    <row r="59" spans="1:14">
      <c r="A59" s="102" t="s">
        <v>275</v>
      </c>
      <c r="B59" s="56"/>
      <c r="C59" s="55" t="s">
        <v>2</v>
      </c>
      <c r="D59" s="46"/>
      <c r="E59" s="46">
        <v>401989.958125</v>
      </c>
      <c r="F59" s="46">
        <v>334167.38207812497</v>
      </c>
      <c r="G59" s="46">
        <v>151264.58012812497</v>
      </c>
      <c r="H59" s="46">
        <v>113212.84508017576</v>
      </c>
      <c r="I59" s="46">
        <v>116043.16620718014</v>
      </c>
      <c r="J59" s="46">
        <v>55664.704227509617</v>
      </c>
      <c r="K59" s="46">
        <v>57056.321833197362</v>
      </c>
    </row>
    <row r="60" spans="1:14">
      <c r="A60" s="3"/>
      <c r="B60" s="21"/>
      <c r="C60" s="21"/>
      <c r="D60" s="46"/>
      <c r="E60" s="46"/>
      <c r="F60" s="34"/>
      <c r="G60" s="34"/>
      <c r="H60" s="34"/>
      <c r="I60" s="34"/>
      <c r="J60" s="34"/>
      <c r="K60" s="34"/>
      <c r="L60" s="34"/>
    </row>
    <row r="61" spans="1:14" s="14" customFormat="1">
      <c r="A61" s="67" t="s">
        <v>13</v>
      </c>
      <c r="B61" s="67"/>
      <c r="C61" s="78" t="s">
        <v>4</v>
      </c>
      <c r="D61" s="73">
        <v>0</v>
      </c>
      <c r="E61" s="73">
        <v>526789.875</v>
      </c>
      <c r="F61" s="73">
        <v>131328.125</v>
      </c>
      <c r="G61" s="73">
        <v>0</v>
      </c>
      <c r="H61" s="73">
        <v>0</v>
      </c>
      <c r="I61" s="73">
        <v>0</v>
      </c>
      <c r="J61" s="73">
        <v>126116.6592306518</v>
      </c>
      <c r="K61" s="73">
        <v>86179.717140945402</v>
      </c>
      <c r="M61" s="150"/>
    </row>
    <row r="62" spans="1:14" s="14" customFormat="1">
      <c r="A62" s="69" t="s">
        <v>14</v>
      </c>
      <c r="B62" s="69"/>
      <c r="C62" s="79" t="s">
        <v>2</v>
      </c>
      <c r="D62" s="74">
        <v>0</v>
      </c>
      <c r="E62" s="74">
        <v>579392.708125</v>
      </c>
      <c r="F62" s="74">
        <v>490602.85082812491</v>
      </c>
      <c r="G62" s="74">
        <v>240548.96684687497</v>
      </c>
      <c r="H62" s="74">
        <v>193895.73209189449</v>
      </c>
      <c r="I62" s="74">
        <v>198678.42226919183</v>
      </c>
      <c r="J62" s="74">
        <v>55664.704227509617</v>
      </c>
      <c r="K62" s="74">
        <v>57056.321833197362</v>
      </c>
      <c r="M62" s="150"/>
    </row>
    <row r="63" spans="1:14">
      <c r="D63" s="34"/>
      <c r="E63" s="34"/>
      <c r="F63" s="34"/>
      <c r="G63" s="34"/>
      <c r="H63" s="34"/>
      <c r="I63" s="55"/>
      <c r="J63" s="55"/>
      <c r="K63" s="55"/>
      <c r="L63" s="55"/>
      <c r="M63" s="49"/>
    </row>
    <row r="64" spans="1:14">
      <c r="C64" s="9"/>
      <c r="D64" s="173"/>
      <c r="E64" s="163"/>
      <c r="F64" s="163"/>
      <c r="G64" s="163"/>
      <c r="H64" s="166"/>
      <c r="I64" s="91"/>
      <c r="J64" s="91"/>
      <c r="K64" s="91"/>
      <c r="M64" s="151"/>
      <c r="N64" s="140"/>
    </row>
    <row r="65" spans="1:14">
      <c r="A65" s="1" t="s">
        <v>6</v>
      </c>
      <c r="C65" s="9"/>
      <c r="D65" s="175"/>
      <c r="E65" s="163"/>
      <c r="F65" s="163"/>
      <c r="G65" s="163"/>
      <c r="H65" s="163"/>
      <c r="I65" s="91"/>
      <c r="J65" s="91"/>
      <c r="K65" s="91"/>
      <c r="M65" s="151"/>
      <c r="N65" s="140"/>
    </row>
    <row r="66" spans="1:14">
      <c r="A66" s="11" t="s">
        <v>169</v>
      </c>
      <c r="C66" s="9"/>
      <c r="D66" s="177"/>
      <c r="E66" s="177"/>
      <c r="F66" s="177"/>
      <c r="G66" s="177"/>
      <c r="H66" s="177"/>
      <c r="I66" s="92"/>
      <c r="J66" s="92"/>
      <c r="K66" s="92"/>
      <c r="L66" s="55"/>
    </row>
    <row r="67" spans="1:14">
      <c r="A67" s="11" t="s">
        <v>176</v>
      </c>
    </row>
    <row r="68" spans="1:14">
      <c r="A68" s="11" t="s">
        <v>177</v>
      </c>
    </row>
    <row r="69" spans="1:14">
      <c r="A69" s="11" t="s">
        <v>182</v>
      </c>
    </row>
    <row r="70" spans="1:14">
      <c r="A70" s="82" t="s">
        <v>269</v>
      </c>
    </row>
    <row r="71" spans="1:14">
      <c r="A71" s="82" t="s">
        <v>165</v>
      </c>
    </row>
    <row r="72" spans="1:14">
      <c r="A72" s="82" t="s">
        <v>210</v>
      </c>
    </row>
    <row r="73" spans="1:14">
      <c r="A73" s="82" t="s">
        <v>232</v>
      </c>
    </row>
    <row r="74" spans="1:14">
      <c r="A74" s="11" t="s">
        <v>191</v>
      </c>
    </row>
    <row r="75" spans="1:14">
      <c r="A75" s="11" t="s">
        <v>192</v>
      </c>
    </row>
    <row r="76" spans="1:14">
      <c r="A76" s="11" t="s">
        <v>299</v>
      </c>
    </row>
  </sheetData>
  <mergeCells count="4">
    <mergeCell ref="A2:K2"/>
    <mergeCell ref="A3:K3"/>
    <mergeCell ref="A4:K4"/>
    <mergeCell ref="A5:K5"/>
  </mergeCells>
  <pageMargins left="0.5" right="0.5" top="0.5" bottom="0.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N38"/>
  <sheetViews>
    <sheetView workbookViewId="0">
      <pane ySplit="10" topLeftCell="A11" activePane="bottomLeft" state="frozen"/>
      <selection pane="bottomLeft" activeCell="M22" sqref="M22"/>
    </sheetView>
  </sheetViews>
  <sheetFormatPr defaultRowHeight="15"/>
  <cols>
    <col min="1" max="1" width="36.5703125" customWidth="1"/>
    <col min="2" max="2" width="9.85546875" customWidth="1"/>
    <col min="3" max="3" width="13" customWidth="1"/>
    <col min="4" max="4" width="13" style="97" hidden="1" customWidth="1"/>
    <col min="5" max="8" width="9.85546875" bestFit="1" customWidth="1"/>
  </cols>
  <sheetData>
    <row r="1" spans="1:14" s="182" customFormat="1">
      <c r="A1" s="384" t="s">
        <v>278</v>
      </c>
      <c r="B1" s="384"/>
      <c r="C1" s="384"/>
      <c r="D1" s="384"/>
      <c r="E1" s="384"/>
      <c r="F1" s="384"/>
      <c r="G1" s="384"/>
      <c r="H1" s="384"/>
      <c r="I1" s="384"/>
      <c r="J1" s="384"/>
      <c r="K1" s="183"/>
      <c r="L1" s="183"/>
      <c r="M1" s="183"/>
      <c r="N1" s="183"/>
    </row>
    <row r="2" spans="1:14" s="182" customFormat="1">
      <c r="A2" s="384" t="s">
        <v>281</v>
      </c>
      <c r="B2" s="384"/>
      <c r="C2" s="384"/>
      <c r="D2" s="384"/>
      <c r="E2" s="384"/>
      <c r="F2" s="384"/>
      <c r="G2" s="384"/>
      <c r="H2" s="384"/>
      <c r="I2" s="384"/>
      <c r="J2" s="384"/>
      <c r="K2" s="183"/>
      <c r="L2" s="183"/>
      <c r="M2" s="183"/>
      <c r="N2" s="183"/>
    </row>
    <row r="3" spans="1:14" s="182" customFormat="1">
      <c r="A3" s="384" t="s">
        <v>279</v>
      </c>
      <c r="B3" s="384"/>
      <c r="C3" s="384"/>
      <c r="D3" s="384"/>
      <c r="E3" s="384"/>
      <c r="F3" s="384"/>
      <c r="G3" s="384"/>
      <c r="H3" s="384"/>
      <c r="I3" s="384"/>
      <c r="J3" s="384"/>
      <c r="K3" s="183"/>
      <c r="L3" s="183"/>
      <c r="M3" s="183"/>
      <c r="N3" s="183"/>
    </row>
    <row r="4" spans="1:14" s="182" customFormat="1">
      <c r="A4" s="384" t="s">
        <v>288</v>
      </c>
      <c r="B4" s="384"/>
      <c r="C4" s="384"/>
      <c r="D4" s="384"/>
      <c r="E4" s="384"/>
      <c r="F4" s="384"/>
      <c r="G4" s="384"/>
      <c r="H4" s="384"/>
      <c r="I4" s="384"/>
      <c r="J4" s="384"/>
      <c r="K4" s="183"/>
      <c r="L4" s="183"/>
      <c r="M4" s="183"/>
      <c r="N4" s="183"/>
    </row>
    <row r="5" spans="1:14" s="182" customFormat="1">
      <c r="A5" s="184"/>
      <c r="B5" s="184"/>
      <c r="C5" s="184"/>
      <c r="D5" s="184"/>
      <c r="E5" s="184"/>
      <c r="F5" s="184"/>
      <c r="G5" s="184"/>
      <c r="H5" s="184"/>
      <c r="I5" s="184"/>
      <c r="J5" s="184"/>
      <c r="K5" s="183"/>
      <c r="L5" s="183"/>
      <c r="M5" s="183"/>
      <c r="N5" s="183"/>
    </row>
    <row r="6" spans="1:14" s="97" customFormat="1">
      <c r="A6" s="126" t="s">
        <v>24</v>
      </c>
      <c r="B6" s="127" t="s">
        <v>95</v>
      </c>
      <c r="C6" s="127" t="s">
        <v>116</v>
      </c>
    </row>
    <row r="7" spans="1:14" s="97" customFormat="1">
      <c r="A7" s="25" t="s">
        <v>37</v>
      </c>
      <c r="B7" s="26">
        <v>2.5000000000000001E-2</v>
      </c>
      <c r="C7" s="26"/>
      <c r="D7" s="51"/>
    </row>
    <row r="8" spans="1:14" s="97" customFormat="1"/>
    <row r="9" spans="1:14" s="11" customFormat="1" ht="12.75">
      <c r="D9" s="66"/>
      <c r="E9" s="66" t="s">
        <v>77</v>
      </c>
      <c r="F9" s="66" t="s">
        <v>78</v>
      </c>
      <c r="G9" s="100" t="s">
        <v>79</v>
      </c>
      <c r="H9" s="100" t="s">
        <v>80</v>
      </c>
      <c r="I9" s="100" t="s">
        <v>81</v>
      </c>
      <c r="J9" s="66"/>
      <c r="K9" s="82"/>
    </row>
    <row r="10" spans="1:14" s="43" customFormat="1">
      <c r="A10" s="54" t="s">
        <v>0</v>
      </c>
      <c r="B10" s="54"/>
      <c r="C10" s="54"/>
      <c r="D10" s="54">
        <v>2018</v>
      </c>
      <c r="E10" s="54">
        <v>2019</v>
      </c>
      <c r="F10" s="54">
        <v>2020</v>
      </c>
      <c r="G10" s="54">
        <v>2021</v>
      </c>
      <c r="H10" s="54">
        <f>G10+1</f>
        <v>2022</v>
      </c>
      <c r="I10" s="54">
        <f>H10+1</f>
        <v>2023</v>
      </c>
      <c r="J10" s="54">
        <f>I10+1</f>
        <v>2024</v>
      </c>
    </row>
    <row r="12" spans="1:14">
      <c r="A12" s="158" t="s">
        <v>242</v>
      </c>
      <c r="B12" s="159"/>
      <c r="C12" s="159"/>
      <c r="D12" s="159"/>
      <c r="E12" s="159"/>
      <c r="F12" s="159"/>
      <c r="G12" s="159"/>
      <c r="H12" s="159"/>
      <c r="I12" s="159"/>
      <c r="J12" s="159"/>
    </row>
    <row r="13" spans="1:14">
      <c r="A13" s="97" t="s">
        <v>248</v>
      </c>
      <c r="E13" s="5">
        <f>50320/3*((1+$B$7)^(E$10-$D$10))</f>
        <v>17192.666666666664</v>
      </c>
      <c r="F13" s="5">
        <f>50320/3*((1+$B$7)^(F$10-$D$10))</f>
        <v>17622.48333333333</v>
      </c>
      <c r="G13" s="5">
        <f>50320/3*((1+$B$7)^(G$10-$D$10))</f>
        <v>18063.045416666664</v>
      </c>
      <c r="H13" s="5"/>
    </row>
    <row r="14" spans="1:14">
      <c r="A14" s="97" t="s">
        <v>249</v>
      </c>
      <c r="E14" s="5">
        <f>47520/3*((1+$B$7)^(E$10-$D$10))</f>
        <v>16235.999999999998</v>
      </c>
      <c r="F14" s="5">
        <f>47520/3*((1+$B$7)^(F$10-$D$10))</f>
        <v>16641.899999999998</v>
      </c>
      <c r="G14" s="5">
        <f>47520/3*((1+$B$7)^(G$10-$D$10))</f>
        <v>17057.947499999998</v>
      </c>
      <c r="H14" s="5"/>
    </row>
    <row r="15" spans="1:14">
      <c r="A15" s="97" t="s">
        <v>250</v>
      </c>
      <c r="E15" s="5">
        <f>35200/3*((1+$B$7)^(E$10-$D$10))</f>
        <v>12026.666666666666</v>
      </c>
      <c r="F15" s="5">
        <f>35200/3*((1+$B$7)^(F$10-$D$10))</f>
        <v>12327.333333333334</v>
      </c>
      <c r="G15" s="5">
        <f>35200/3*((1+$B$7)^(G$10-$D$10))</f>
        <v>12635.516666666666</v>
      </c>
      <c r="H15" s="5"/>
    </row>
    <row r="16" spans="1:14">
      <c r="A16" s="97" t="s">
        <v>251</v>
      </c>
      <c r="E16" s="5">
        <f>500*12*((1+$B$7)^(E$10-$D$10))</f>
        <v>6149.9999999999991</v>
      </c>
      <c r="F16" s="5">
        <f>500*12*((1+$B$7)^(F$10-$D$10))</f>
        <v>6303.7499999999991</v>
      </c>
      <c r="G16" s="5">
        <f>500*12*((1+$B$7)^(G$10-$D$10))</f>
        <v>6461.3437499999991</v>
      </c>
      <c r="H16" s="5"/>
    </row>
    <row r="17" spans="1:13">
      <c r="A17" s="97" t="s">
        <v>252</v>
      </c>
      <c r="E17" s="5"/>
      <c r="F17" s="5"/>
      <c r="G17" s="5">
        <f>39600*((1+$B$7)^(H$10-$D$10))</f>
        <v>43710.990468749987</v>
      </c>
      <c r="M17" s="97"/>
    </row>
    <row r="18" spans="1:13">
      <c r="A18" s="49" t="s">
        <v>253</v>
      </c>
      <c r="E18" s="5">
        <v>43693.69999999999</v>
      </c>
      <c r="F18" s="5">
        <v>67179.063750000001</v>
      </c>
      <c r="G18" s="5"/>
      <c r="H18" s="5"/>
      <c r="I18" s="5"/>
    </row>
    <row r="19" spans="1:13" s="97" customFormat="1">
      <c r="A19" s="49"/>
      <c r="E19" s="5"/>
      <c r="F19" s="5"/>
      <c r="G19" s="5"/>
      <c r="H19" s="5"/>
      <c r="I19" s="5"/>
    </row>
    <row r="20" spans="1:13" s="97" customFormat="1">
      <c r="A20" s="156" t="s">
        <v>256</v>
      </c>
      <c r="E20" s="5">
        <f>SUM(E13:E18)</f>
        <v>95299.033333333326</v>
      </c>
      <c r="F20" s="5">
        <f>SUM(F13:F18)</f>
        <v>120074.53041666668</v>
      </c>
      <c r="G20" s="5">
        <f>SUM(G13:G18)</f>
        <v>97928.843802083313</v>
      </c>
      <c r="H20" s="5"/>
      <c r="I20" s="5"/>
    </row>
    <row r="21" spans="1:13">
      <c r="A21" s="49"/>
    </row>
    <row r="22" spans="1:13">
      <c r="A22" s="158" t="s">
        <v>243</v>
      </c>
      <c r="B22" s="159"/>
      <c r="C22" s="159"/>
      <c r="D22" s="159"/>
      <c r="E22" s="159"/>
      <c r="F22" s="159"/>
      <c r="G22" s="159"/>
      <c r="H22" s="159"/>
      <c r="I22" s="159"/>
      <c r="J22" s="159"/>
      <c r="M22" s="97"/>
    </row>
    <row r="23" spans="1:13" s="97" customFormat="1">
      <c r="A23" s="49" t="s">
        <v>254</v>
      </c>
      <c r="E23" s="5">
        <f>50000*0.25*((1+$B$7)^(E$10-$D$10))</f>
        <v>12812.499999999998</v>
      </c>
      <c r="F23" s="5">
        <f>50000*0.5*((1+$B$7)^(F$10-$D$10))</f>
        <v>26265.624999999996</v>
      </c>
      <c r="G23" s="5">
        <f>50000*0.25*((1+$B$7)^(G$10-$D$10))</f>
        <v>13461.132812499998</v>
      </c>
    </row>
    <row r="24" spans="1:13" s="97" customFormat="1">
      <c r="A24" s="49"/>
    </row>
    <row r="25" spans="1:13" s="97" customFormat="1">
      <c r="A25" s="156" t="s">
        <v>255</v>
      </c>
      <c r="E25" s="5">
        <f>E23</f>
        <v>12812.499999999998</v>
      </c>
      <c r="F25" s="5">
        <f>F23</f>
        <v>26265.624999999996</v>
      </c>
      <c r="G25" s="5">
        <f>G23</f>
        <v>13461.132812499998</v>
      </c>
    </row>
    <row r="26" spans="1:13" s="97" customFormat="1">
      <c r="A26" s="49"/>
    </row>
    <row r="27" spans="1:13">
      <c r="A27" s="158" t="s">
        <v>244</v>
      </c>
      <c r="B27" s="159"/>
      <c r="C27" s="159"/>
      <c r="D27" s="159"/>
      <c r="E27" s="159"/>
      <c r="F27" s="159"/>
      <c r="G27" s="159"/>
      <c r="H27" s="159"/>
      <c r="I27" s="159"/>
      <c r="J27" s="159"/>
    </row>
    <row r="28" spans="1:13" s="97" customFormat="1">
      <c r="A28" s="49" t="s">
        <v>240</v>
      </c>
      <c r="E28" s="5">
        <f>(50320/4)*((1+$B$7)^(E$10-$D$10))</f>
        <v>12894.499999999998</v>
      </c>
      <c r="F28" s="5">
        <f>(50320/4)*((1+$B$7)^(F$10-$D$10))</f>
        <v>13216.862499999999</v>
      </c>
      <c r="G28" s="5">
        <f>(50320/4)*((1+$B$7)^(G$10-$D$10))</f>
        <v>13547.284062499999</v>
      </c>
      <c r="H28" s="5">
        <f>(50320/4)*((1+$B$7)^(H$10-$D$10))</f>
        <v>13885.966164062496</v>
      </c>
      <c r="I28" s="5"/>
    </row>
    <row r="29" spans="1:13" s="97" customFormat="1">
      <c r="A29" s="49" t="s">
        <v>245</v>
      </c>
      <c r="E29" s="5">
        <f>8000/4*((1+$B$7)^(E$10-$D$10))</f>
        <v>2050</v>
      </c>
      <c r="F29" s="5">
        <f>8000/4*((1+$B$7)^(F$10-$D$10))</f>
        <v>2101.25</v>
      </c>
      <c r="G29" s="5">
        <f>8000/4*((1+$B$7)^(G$10-$D$10))</f>
        <v>2153.7812499999995</v>
      </c>
      <c r="H29" s="5">
        <f>8000/4*((1+$B$7)^(H$10-$D$10))</f>
        <v>2207.6257812499994</v>
      </c>
    </row>
    <row r="30" spans="1:13" s="97" customFormat="1">
      <c r="A30" s="49" t="s">
        <v>246</v>
      </c>
      <c r="E30" s="5">
        <f>(8204+68000+52150)/4*((1+$B$7)^(E$10-$D$10))</f>
        <v>32890.712499999994</v>
      </c>
      <c r="F30" s="5">
        <f t="shared" ref="F30:H30" si="0">(8204+68000+52150)/4*((1+$B$7)^(F$10-$D$10))</f>
        <v>33712.980312499996</v>
      </c>
      <c r="G30" s="5">
        <f t="shared" si="0"/>
        <v>34555.804820312493</v>
      </c>
      <c r="H30" s="5">
        <f t="shared" si="0"/>
        <v>35419.699940820305</v>
      </c>
      <c r="I30" s="5"/>
    </row>
    <row r="31" spans="1:13">
      <c r="A31" s="49" t="s">
        <v>253</v>
      </c>
      <c r="E31" s="5">
        <v>43693.69999999999</v>
      </c>
      <c r="F31" s="5">
        <v>67179.063750000001</v>
      </c>
      <c r="G31" s="5">
        <v>68858.540343749992</v>
      </c>
      <c r="H31" s="5">
        <v>47053.335901562488</v>
      </c>
      <c r="I31" s="5">
        <v>0</v>
      </c>
    </row>
    <row r="32" spans="1:13" s="97" customFormat="1">
      <c r="A32" s="49"/>
      <c r="E32" s="5"/>
      <c r="F32" s="5"/>
      <c r="G32" s="5"/>
      <c r="H32" s="5"/>
      <c r="I32" s="5"/>
    </row>
    <row r="33" spans="1:10" s="97" customFormat="1">
      <c r="A33" s="156" t="s">
        <v>247</v>
      </c>
      <c r="E33" s="5">
        <f>SUM(E28:E31)</f>
        <v>91528.912499999977</v>
      </c>
      <c r="F33" s="5">
        <f>SUM(F28:F31)</f>
        <v>116210.15656249999</v>
      </c>
      <c r="G33" s="5">
        <f>SUM(G28:G31)</f>
        <v>119115.41047656248</v>
      </c>
      <c r="H33" s="5">
        <f>SUM(H28:H31)</f>
        <v>98566.627787695295</v>
      </c>
      <c r="I33" s="5"/>
    </row>
    <row r="34" spans="1:10" s="97" customFormat="1"/>
    <row r="35" spans="1:10">
      <c r="A35" s="158" t="s">
        <v>241</v>
      </c>
      <c r="B35" s="159"/>
      <c r="C35" s="159"/>
      <c r="D35" s="159"/>
      <c r="E35" s="159"/>
      <c r="F35" s="159"/>
      <c r="G35" s="159"/>
      <c r="H35" s="159"/>
      <c r="I35" s="159"/>
      <c r="J35" s="159"/>
    </row>
    <row r="36" spans="1:10">
      <c r="A36" s="10" t="s">
        <v>55</v>
      </c>
      <c r="E36" s="5">
        <v>41515.0625</v>
      </c>
      <c r="F36" s="5">
        <v>42552.939062499994</v>
      </c>
      <c r="G36" s="5">
        <v>43616.762539062496</v>
      </c>
      <c r="H36" s="5">
        <v>44707.181602539051</v>
      </c>
    </row>
    <row r="38" spans="1:10">
      <c r="A38" s="14" t="s">
        <v>257</v>
      </c>
      <c r="B38" s="14"/>
      <c r="C38" s="14"/>
      <c r="D38" s="14"/>
      <c r="E38" s="157">
        <f>E20+E25+E33+E36</f>
        <v>241155.5083333333</v>
      </c>
      <c r="F38" s="157">
        <f>F20+F25+F33+F36</f>
        <v>305103.25104166672</v>
      </c>
      <c r="G38" s="157">
        <f>G20+G25+G33+G36</f>
        <v>274122.14963020827</v>
      </c>
      <c r="H38" s="157">
        <f>H20+H25+H33+H36</f>
        <v>143273.80939023435</v>
      </c>
    </row>
  </sheetData>
  <mergeCells count="4">
    <mergeCell ref="A4:J4"/>
    <mergeCell ref="A3:J3"/>
    <mergeCell ref="A2:J2"/>
    <mergeCell ref="A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19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2025</v>
      </c>
      <c r="C4" s="222">
        <f>+B4+1</f>
        <v>2026</v>
      </c>
      <c r="D4" s="222">
        <f t="shared" ref="D4:E4" si="0">+C4+1</f>
        <v>2027</v>
      </c>
      <c r="E4" s="222">
        <f t="shared" si="0"/>
        <v>2028</v>
      </c>
      <c r="F4" s="222">
        <f>+E4+1</f>
        <v>2029</v>
      </c>
      <c r="G4" s="222">
        <f t="shared" ref="G4:P4" si="1">+F4+1</f>
        <v>2030</v>
      </c>
      <c r="H4" s="222">
        <f t="shared" si="1"/>
        <v>2031</v>
      </c>
      <c r="I4" s="222">
        <f t="shared" si="1"/>
        <v>2032</v>
      </c>
      <c r="J4" s="222">
        <f t="shared" si="1"/>
        <v>2033</v>
      </c>
      <c r="K4" s="222">
        <f t="shared" si="1"/>
        <v>2034</v>
      </c>
      <c r="L4" s="222">
        <f t="shared" si="1"/>
        <v>2035</v>
      </c>
      <c r="M4" s="222">
        <f t="shared" si="1"/>
        <v>2036</v>
      </c>
      <c r="N4" s="222">
        <f t="shared" si="1"/>
        <v>2037</v>
      </c>
      <c r="O4" s="222">
        <f t="shared" si="1"/>
        <v>2038</v>
      </c>
      <c r="P4" s="222">
        <f t="shared" si="1"/>
        <v>2039</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2040</v>
      </c>
      <c r="C7" s="222">
        <f>+B7+1</f>
        <v>2041</v>
      </c>
      <c r="D7" s="222">
        <f>+C7+1</f>
        <v>2042</v>
      </c>
      <c r="E7" s="222">
        <f>+D7+1</f>
        <v>2043</v>
      </c>
      <c r="F7" s="222">
        <f>+E7+1</f>
        <v>2044</v>
      </c>
      <c r="G7" s="222">
        <f>+F7+1</f>
        <v>2045</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5" t="s">
        <v>340</v>
      </c>
      <c r="M14" s="251" t="s">
        <v>317</v>
      </c>
    </row>
    <row r="15" spans="1:23">
      <c r="A15" s="252"/>
      <c r="B15" s="253"/>
      <c r="C15" s="254"/>
      <c r="D15" s="253"/>
      <c r="E15" s="254"/>
      <c r="F15" s="249"/>
      <c r="G15" s="250"/>
      <c r="H15" s="249"/>
      <c r="I15" s="250"/>
      <c r="J15" s="245"/>
      <c r="K15" s="255">
        <v>0.21</v>
      </c>
      <c r="L15" s="255"/>
      <c r="M15" s="251"/>
    </row>
    <row r="16" spans="1:23">
      <c r="A16" s="252"/>
      <c r="B16" s="253"/>
      <c r="C16" s="254"/>
      <c r="D16" s="253" t="s">
        <v>341</v>
      </c>
      <c r="E16" s="250" t="s">
        <v>342</v>
      </c>
      <c r="F16" s="249" t="s">
        <v>343</v>
      </c>
      <c r="G16" s="250" t="s">
        <v>344</v>
      </c>
      <c r="H16" s="249"/>
      <c r="I16" s="250"/>
      <c r="J16" s="245"/>
      <c r="K16" s="255" t="s">
        <v>345</v>
      </c>
      <c r="L16" s="255"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2" t="s">
        <v>356</v>
      </c>
      <c r="M17" s="263" t="s">
        <v>357</v>
      </c>
    </row>
    <row r="18" spans="1:20" ht="7.5" customHeight="1">
      <c r="A18" s="264"/>
      <c r="B18" s="265"/>
      <c r="C18" s="265"/>
      <c r="D18" s="265"/>
      <c r="E18" s="265"/>
      <c r="F18" s="265"/>
      <c r="G18" s="265"/>
      <c r="H18" s="265"/>
      <c r="I18" s="265"/>
      <c r="J18" s="265"/>
      <c r="K18" s="265"/>
      <c r="L18" s="265"/>
      <c r="M18" s="266"/>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f>'EV Dep Sch Y1'!A20</f>
        <v>43616</v>
      </c>
      <c r="B20" s="269">
        <f>'EV Dep Sch Y1'!B20</f>
        <v>554626.60312499991</v>
      </c>
      <c r="C20" s="269">
        <f>'EV Dep Sch Y1'!C20</f>
        <v>554626.60312499991</v>
      </c>
      <c r="D20" s="269">
        <f>'EV Dep Sch Y1'!D20</f>
        <v>79256.141586562488</v>
      </c>
      <c r="E20" s="269">
        <f>'EV Dep Sch Y1'!E20</f>
        <v>9243.7767187499994</v>
      </c>
      <c r="F20" s="269">
        <f>'EV Dep Sch Y1'!F20</f>
        <v>-79256.141586562488</v>
      </c>
      <c r="G20" s="269">
        <f>'EV Dep Sch Y1'!G20</f>
        <v>-9243.7767187499994</v>
      </c>
      <c r="H20" s="269">
        <f>'EV Dep Sch Y1'!H20</f>
        <v>475370.4615384374</v>
      </c>
      <c r="I20" s="269">
        <f>'EV Dep Sch Y1'!I20</f>
        <v>545382.82640624989</v>
      </c>
      <c r="J20" s="269">
        <f>'EV Dep Sch Y1'!J20</f>
        <v>70012.364867812488</v>
      </c>
      <c r="K20" s="269">
        <f>'EV Dep Sch Y1'!K20</f>
        <v>-14702.596622240622</v>
      </c>
      <c r="L20" s="269">
        <f>'EV Dep Sch Y1'!L20</f>
        <v>14702.596622240622</v>
      </c>
      <c r="M20" s="270">
        <f>I20+K20</f>
        <v>530680.22978400928</v>
      </c>
      <c r="N20" s="271"/>
      <c r="O20" s="271"/>
      <c r="P20" s="271"/>
      <c r="Q20" s="271"/>
      <c r="R20" s="271"/>
      <c r="S20" s="271"/>
      <c r="T20" s="271"/>
    </row>
    <row r="21" spans="1:20" s="230" customFormat="1">
      <c r="A21" s="267">
        <f>EOMONTH(A20,1)</f>
        <v>43646</v>
      </c>
      <c r="B21" s="269">
        <f>'EV Dep Sch Y1'!B21</f>
        <v>1109253.2062499998</v>
      </c>
      <c r="C21" s="269">
        <f>'EV Dep Sch Y1'!C21</f>
        <v>1109253.2062499998</v>
      </c>
      <c r="D21" s="269">
        <f>'EV Dep Sch Y1'!D21</f>
        <v>79256.141586562488</v>
      </c>
      <c r="E21" s="269">
        <f>'EV Dep Sch Y1'!E21</f>
        <v>18487.553437499999</v>
      </c>
      <c r="F21" s="269">
        <f>'EV Dep Sch Y1'!F21</f>
        <v>-158512.28317312498</v>
      </c>
      <c r="G21" s="269">
        <f>'EV Dep Sch Y1'!G21</f>
        <v>-27731.330156249998</v>
      </c>
      <c r="H21" s="269">
        <f>'EV Dep Sch Y1'!H21</f>
        <v>950740.92307687481</v>
      </c>
      <c r="I21" s="269">
        <f>'EV Dep Sch Y1'!I21</f>
        <v>1081521.8760937499</v>
      </c>
      <c r="J21" s="269">
        <f>'EV Dep Sch Y1'!J21</f>
        <v>130780.95301687508</v>
      </c>
      <c r="K21" s="269">
        <f>'EV Dep Sch Y1'!K21</f>
        <v>-27464.000133543766</v>
      </c>
      <c r="L21" s="269">
        <f>'EV Dep Sch Y1'!L21</f>
        <v>12761.403511303144</v>
      </c>
      <c r="M21" s="270">
        <f t="shared" ref="M21:M84" si="2">I21+K21</f>
        <v>1054057.8759602061</v>
      </c>
      <c r="N21" s="271"/>
      <c r="O21" s="271"/>
      <c r="P21" s="271"/>
      <c r="Q21" s="271"/>
      <c r="R21" s="271"/>
      <c r="S21" s="271"/>
      <c r="T21" s="271"/>
    </row>
    <row r="22" spans="1:20" s="230" customFormat="1">
      <c r="A22" s="267">
        <f t="shared" ref="A22:A85" si="3">EOMONTH(A21,1)</f>
        <v>43677</v>
      </c>
      <c r="B22" s="269">
        <f>'EV Dep Sch Y1'!B22</f>
        <v>1663879.8093749997</v>
      </c>
      <c r="C22" s="269">
        <f>'EV Dep Sch Y1'!C22</f>
        <v>1663879.8093749997</v>
      </c>
      <c r="D22" s="269">
        <f>'EV Dep Sch Y1'!D22</f>
        <v>79256.141586562488</v>
      </c>
      <c r="E22" s="269">
        <f>'EV Dep Sch Y1'!E22</f>
        <v>27731.330156249998</v>
      </c>
      <c r="F22" s="269">
        <f>'EV Dep Sch Y1'!F22</f>
        <v>-237768.42475968745</v>
      </c>
      <c r="G22" s="269">
        <f>'EV Dep Sch Y1'!G22</f>
        <v>-55462.660312499997</v>
      </c>
      <c r="H22" s="269">
        <f>'EV Dep Sch Y1'!H22</f>
        <v>1426111.3846153123</v>
      </c>
      <c r="I22" s="269">
        <f>'EV Dep Sch Y1'!I22</f>
        <v>1608417.1490624996</v>
      </c>
      <c r="J22" s="269">
        <f>'EV Dep Sch Y1'!J22</f>
        <v>182305.76444718731</v>
      </c>
      <c r="K22" s="269">
        <f>'EV Dep Sch Y1'!K22</f>
        <v>-38284.210533909332</v>
      </c>
      <c r="L22" s="269">
        <f>'EV Dep Sch Y1'!L22</f>
        <v>10820.210400365566</v>
      </c>
      <c r="M22" s="270">
        <f t="shared" si="2"/>
        <v>1570132.9385285904</v>
      </c>
      <c r="N22" s="271"/>
      <c r="O22" s="271"/>
      <c r="P22" s="271"/>
      <c r="Q22" s="271"/>
      <c r="R22" s="271"/>
      <c r="S22" s="271"/>
      <c r="T22" s="271"/>
    </row>
    <row r="23" spans="1:20" s="230" customFormat="1">
      <c r="A23" s="267">
        <f t="shared" si="3"/>
        <v>43708</v>
      </c>
      <c r="B23" s="269">
        <f>'EV Dep Sch Y1'!B23</f>
        <v>2218506.4124999996</v>
      </c>
      <c r="C23" s="269">
        <f>'EV Dep Sch Y1'!C23</f>
        <v>2218506.4124999996</v>
      </c>
      <c r="D23" s="269">
        <f>'EV Dep Sch Y1'!D23</f>
        <v>79256.141586562488</v>
      </c>
      <c r="E23" s="269">
        <f>'EV Dep Sch Y1'!E23</f>
        <v>36975.106874999998</v>
      </c>
      <c r="F23" s="269">
        <f>'EV Dep Sch Y1'!F23</f>
        <v>-317024.56634624995</v>
      </c>
      <c r="G23" s="269">
        <f>'EV Dep Sch Y1'!G23</f>
        <v>-92437.767187499994</v>
      </c>
      <c r="H23" s="269">
        <f>'EV Dep Sch Y1'!H23</f>
        <v>1901481.8461537496</v>
      </c>
      <c r="I23" s="269">
        <f>'EV Dep Sch Y1'!I23</f>
        <v>2126068.6453124997</v>
      </c>
      <c r="J23" s="269">
        <f>'EV Dep Sch Y1'!J23</f>
        <v>224586.7991587501</v>
      </c>
      <c r="K23" s="269">
        <f>'EV Dep Sch Y1'!K23</f>
        <v>-47163.227823337518</v>
      </c>
      <c r="L23" s="269">
        <f>'EV Dep Sch Y1'!L23</f>
        <v>8879.0172894281859</v>
      </c>
      <c r="M23" s="270">
        <f t="shared" si="2"/>
        <v>2078905.4174891622</v>
      </c>
      <c r="N23" s="272"/>
      <c r="O23" s="273"/>
      <c r="P23" s="271"/>
      <c r="Q23" s="271"/>
      <c r="R23" s="271"/>
      <c r="S23" s="271"/>
      <c r="T23" s="271"/>
    </row>
    <row r="24" spans="1:20" s="230" customFormat="1">
      <c r="A24" s="267">
        <f t="shared" si="3"/>
        <v>43738</v>
      </c>
      <c r="B24" s="269">
        <f>'EV Dep Sch Y1'!B24</f>
        <v>2773133.0156249995</v>
      </c>
      <c r="C24" s="269">
        <f>'EV Dep Sch Y1'!C24</f>
        <v>2773133.0156249995</v>
      </c>
      <c r="D24" s="269">
        <f>'EV Dep Sch Y1'!D24</f>
        <v>79256.141586562488</v>
      </c>
      <c r="E24" s="269">
        <f>'EV Dep Sch Y1'!E24</f>
        <v>46218.88359374999</v>
      </c>
      <c r="F24" s="269">
        <f>'EV Dep Sch Y1'!F24</f>
        <v>-396280.70793281245</v>
      </c>
      <c r="G24" s="269">
        <f>'EV Dep Sch Y1'!G24</f>
        <v>-138656.65078124998</v>
      </c>
      <c r="H24" s="269">
        <f>'EV Dep Sch Y1'!H24</f>
        <v>2376852.3076921869</v>
      </c>
      <c r="I24" s="269">
        <f>'EV Dep Sch Y1'!I24</f>
        <v>2634476.3648437494</v>
      </c>
      <c r="J24" s="269">
        <f>'EV Dep Sch Y1'!J24</f>
        <v>257624.05715156253</v>
      </c>
      <c r="K24" s="269">
        <f>'EV Dep Sch Y1'!K24</f>
        <v>-54101.052001828131</v>
      </c>
      <c r="L24" s="269">
        <f>'EV Dep Sch Y1'!L24</f>
        <v>6937.8241784906131</v>
      </c>
      <c r="M24" s="270">
        <f t="shared" si="2"/>
        <v>2580375.3128419211</v>
      </c>
      <c r="N24" s="271"/>
      <c r="O24" s="271"/>
      <c r="P24" s="271"/>
      <c r="Q24" s="271"/>
      <c r="R24" s="271"/>
      <c r="S24" s="271"/>
      <c r="T24" s="271"/>
    </row>
    <row r="25" spans="1:20" s="230" customFormat="1">
      <c r="A25" s="267">
        <f t="shared" si="3"/>
        <v>43769</v>
      </c>
      <c r="B25" s="269">
        <f>'EV Dep Sch Y1'!B25</f>
        <v>3327759.6187499994</v>
      </c>
      <c r="C25" s="269">
        <f>'EV Dep Sch Y1'!C25</f>
        <v>3327759.6187499994</v>
      </c>
      <c r="D25" s="269">
        <f>'EV Dep Sch Y1'!D25</f>
        <v>79256.141586562488</v>
      </c>
      <c r="E25" s="269">
        <f>'EV Dep Sch Y1'!E25</f>
        <v>55462.660312499997</v>
      </c>
      <c r="F25" s="269">
        <f>'EV Dep Sch Y1'!F25</f>
        <v>-475536.84951937495</v>
      </c>
      <c r="G25" s="269">
        <f>'EV Dep Sch Y1'!G25</f>
        <v>-194119.31109374997</v>
      </c>
      <c r="H25" s="269">
        <f>'EV Dep Sch Y1'!H25</f>
        <v>2852222.7692306247</v>
      </c>
      <c r="I25" s="269">
        <f>'EV Dep Sch Y1'!I25</f>
        <v>3133640.3076562495</v>
      </c>
      <c r="J25" s="269">
        <f>'EV Dep Sch Y1'!J25</f>
        <v>281417.53842562484</v>
      </c>
      <c r="K25" s="269">
        <f>'EV Dep Sch Y1'!K25</f>
        <v>-59097.683069381215</v>
      </c>
      <c r="L25" s="269">
        <f>'EV Dep Sch Y1'!L25</f>
        <v>4996.631067553084</v>
      </c>
      <c r="M25" s="270">
        <f t="shared" si="2"/>
        <v>3074542.6245868681</v>
      </c>
      <c r="N25" s="271"/>
      <c r="O25" s="271"/>
      <c r="P25" s="271"/>
      <c r="Q25" s="271"/>
      <c r="R25" s="271"/>
      <c r="S25" s="271"/>
      <c r="T25" s="271"/>
    </row>
    <row r="26" spans="1:20" s="230" customFormat="1">
      <c r="A26" s="267">
        <f t="shared" si="3"/>
        <v>43799</v>
      </c>
      <c r="B26" s="269">
        <f>'EV Dep Sch Y1'!B26</f>
        <v>3882386.2218749993</v>
      </c>
      <c r="C26" s="269">
        <f>'EV Dep Sch Y1'!C26</f>
        <v>3882386.2218749993</v>
      </c>
      <c r="D26" s="269">
        <f>'EV Dep Sch Y1'!D26</f>
        <v>79256.141586562488</v>
      </c>
      <c r="E26" s="269">
        <f>'EV Dep Sch Y1'!E26</f>
        <v>64706.437031249989</v>
      </c>
      <c r="F26" s="269">
        <f>'EV Dep Sch Y1'!F26</f>
        <v>-554792.9911059374</v>
      </c>
      <c r="G26" s="269">
        <f>'EV Dep Sch Y1'!G26</f>
        <v>-258825.74812499995</v>
      </c>
      <c r="H26" s="269">
        <f>'EV Dep Sch Y1'!H26</f>
        <v>3327593.2307690619</v>
      </c>
      <c r="I26" s="269">
        <f>'EV Dep Sch Y1'!I26</f>
        <v>3623560.4737499994</v>
      </c>
      <c r="J26" s="269">
        <f>'EV Dep Sch Y1'!J26</f>
        <v>295967.24298093747</v>
      </c>
      <c r="K26" s="269">
        <f>'EV Dep Sch Y1'!K26</f>
        <v>-62153.121025996865</v>
      </c>
      <c r="L26" s="269">
        <f>'EV Dep Sch Y1'!L26</f>
        <v>3055.4379566156495</v>
      </c>
      <c r="M26" s="270">
        <f t="shared" si="2"/>
        <v>3561407.3527240027</v>
      </c>
      <c r="N26" s="271"/>
      <c r="O26" s="271"/>
      <c r="P26" s="271"/>
      <c r="Q26" s="271"/>
      <c r="R26" s="271"/>
      <c r="S26" s="271"/>
      <c r="T26" s="271"/>
    </row>
    <row r="27" spans="1:20" s="230" customFormat="1">
      <c r="A27" s="267">
        <f t="shared" si="3"/>
        <v>43830</v>
      </c>
      <c r="B27" s="269">
        <f>'EV Dep Sch Y1'!B27</f>
        <v>4437012.8249999993</v>
      </c>
      <c r="C27" s="269">
        <f>'EV Dep Sch Y1'!C27</f>
        <v>4437012.8249999993</v>
      </c>
      <c r="D27" s="269">
        <f>'EV Dep Sch Y1'!D27</f>
        <v>79256.141586562488</v>
      </c>
      <c r="E27" s="269">
        <f>'EV Dep Sch Y1'!E27</f>
        <v>73950.213749999995</v>
      </c>
      <c r="F27" s="269">
        <f>'EV Dep Sch Y1'!F27</f>
        <v>-634049.1326924999</v>
      </c>
      <c r="G27" s="269">
        <f>'EV Dep Sch Y1'!G27</f>
        <v>-332775.96187499992</v>
      </c>
      <c r="H27" s="269">
        <f>'EV Dep Sch Y1'!H27</f>
        <v>3802963.6923074992</v>
      </c>
      <c r="I27" s="269">
        <f>'EV Dep Sch Y1'!I27</f>
        <v>4104236.8631249992</v>
      </c>
      <c r="J27" s="269">
        <f>'EV Dep Sch Y1'!J27</f>
        <v>301273.17081749998</v>
      </c>
      <c r="K27" s="269">
        <f>'EV Dep Sch Y1'!K27</f>
        <v>-63267.365871674992</v>
      </c>
      <c r="L27" s="269">
        <f>'EV Dep Sch Y1'!L27</f>
        <v>1114.2448456781276</v>
      </c>
      <c r="M27" s="270">
        <f t="shared" si="2"/>
        <v>4040969.4972533244</v>
      </c>
      <c r="N27" s="271"/>
      <c r="O27" s="271"/>
      <c r="P27" s="271"/>
      <c r="Q27" s="271"/>
      <c r="R27" s="271"/>
      <c r="S27" s="271"/>
      <c r="T27" s="271"/>
    </row>
    <row r="28" spans="1:20" s="230" customFormat="1">
      <c r="A28" s="267">
        <f t="shared" si="3"/>
        <v>43861</v>
      </c>
      <c r="B28" s="269">
        <f>'EV Dep Sch Y1'!B28+'EV Dep Sch Y2'!B20</f>
        <v>4581211.3251302075</v>
      </c>
      <c r="C28" s="269">
        <f>'EV Dep Sch Y1'!C28+'EV Dep Sch Y2'!C20</f>
        <v>4581211.3251302075</v>
      </c>
      <c r="D28" s="269">
        <f>'EV Dep Sch Y1'!D28+'EV Dep Sch Y2'!D20</f>
        <v>111158.00240548176</v>
      </c>
      <c r="E28" s="269">
        <f>'EV Dep Sch Y1'!E28+'EV Dep Sch Y2'!E20</f>
        <v>76353.522085503471</v>
      </c>
      <c r="F28" s="269">
        <f>'EV Dep Sch Y1'!F28+'EV Dep Sch Y2'!F20</f>
        <v>-745207.13509798166</v>
      </c>
      <c r="G28" s="269">
        <f>'EV Dep Sch Y1'!G28+'EV Dep Sch Y2'!G20</f>
        <v>-409129.48396050336</v>
      </c>
      <c r="H28" s="269">
        <f>'EV Dep Sch Y1'!H28+'EV Dep Sch Y2'!H20</f>
        <v>3836004.190032226</v>
      </c>
      <c r="I28" s="269">
        <f>'EV Dep Sch Y1'!I28+'EV Dep Sch Y2'!I20</f>
        <v>4172081.8411697038</v>
      </c>
      <c r="J28" s="269">
        <f>'EV Dep Sch Y1'!J28+'EV Dep Sch Y2'!J20</f>
        <v>336077.65113747801</v>
      </c>
      <c r="K28" s="269">
        <f>'EV Dep Sch Y1'!K28+'EV Dep Sch Y2'!K20</f>
        <v>-70576.306738870378</v>
      </c>
      <c r="L28" s="269">
        <f>'EV Dep Sch Y1'!L28+'EV Dep Sch Y2'!L20</f>
        <v>7308.9408671953879</v>
      </c>
      <c r="M28" s="270">
        <f t="shared" si="2"/>
        <v>4101505.5344308335</v>
      </c>
      <c r="N28" s="271"/>
      <c r="O28" s="271"/>
      <c r="P28" s="271"/>
      <c r="Q28" s="271"/>
      <c r="R28" s="271"/>
      <c r="S28" s="271"/>
      <c r="T28" s="271"/>
    </row>
    <row r="29" spans="1:20" s="230" customFormat="1">
      <c r="A29" s="267">
        <f t="shared" si="3"/>
        <v>43890</v>
      </c>
      <c r="B29" s="269">
        <f>'EV Dep Sch Y1'!B29+'EV Dep Sch Y2'!B21</f>
        <v>4725409.8252604157</v>
      </c>
      <c r="C29" s="269">
        <f>'EV Dep Sch Y1'!C29+'EV Dep Sch Y2'!C21</f>
        <v>4725409.8252604157</v>
      </c>
      <c r="D29" s="269">
        <f>'EV Dep Sch Y1'!D29+'EV Dep Sch Y2'!D21</f>
        <v>113733.74811405761</v>
      </c>
      <c r="E29" s="269">
        <f>'EV Dep Sch Y1'!E29+'EV Dep Sch Y2'!E21</f>
        <v>78756.830421006947</v>
      </c>
      <c r="F29" s="269">
        <f>'EV Dep Sch Y1'!F29+'EV Dep Sch Y2'!F21</f>
        <v>-858940.88321203925</v>
      </c>
      <c r="G29" s="269">
        <f>'EV Dep Sch Y1'!G29+'EV Dep Sch Y2'!G21</f>
        <v>-487886.31438151031</v>
      </c>
      <c r="H29" s="269">
        <f>'EV Dep Sch Y1'!H29+'EV Dep Sch Y2'!H21</f>
        <v>3866468.9420483769</v>
      </c>
      <c r="I29" s="269">
        <f>'EV Dep Sch Y1'!I29+'EV Dep Sch Y2'!I21</f>
        <v>4237523.5108789057</v>
      </c>
      <c r="J29" s="269">
        <f>'EV Dep Sch Y1'!J29+'EV Dep Sch Y2'!J21</f>
        <v>371054.56883052888</v>
      </c>
      <c r="K29" s="269">
        <f>'EV Dep Sch Y1'!K29+'EV Dep Sch Y2'!K21</f>
        <v>-77921.459454411073</v>
      </c>
      <c r="L29" s="269">
        <f>'EV Dep Sch Y1'!L29+'EV Dep Sch Y2'!L21</f>
        <v>7345.1527155406884</v>
      </c>
      <c r="M29" s="270">
        <f t="shared" si="2"/>
        <v>4159602.0514244945</v>
      </c>
      <c r="N29" s="271"/>
      <c r="O29" s="271"/>
      <c r="P29" s="271"/>
      <c r="Q29" s="271"/>
      <c r="R29" s="271"/>
      <c r="S29" s="271"/>
      <c r="T29" s="271"/>
    </row>
    <row r="30" spans="1:20" s="230" customFormat="1">
      <c r="A30" s="267">
        <f t="shared" si="3"/>
        <v>43921</v>
      </c>
      <c r="B30" s="269">
        <f>'EV Dep Sch Y1'!B30+'EV Dep Sch Y2'!B22</f>
        <v>4869608.3253906239</v>
      </c>
      <c r="C30" s="269">
        <f>'EV Dep Sch Y1'!C30+'EV Dep Sch Y2'!C22</f>
        <v>4869608.3253906239</v>
      </c>
      <c r="D30" s="269">
        <f>'EV Dep Sch Y1'!D30+'EV Dep Sch Y2'!D22</f>
        <v>116309.49382263346</v>
      </c>
      <c r="E30" s="269">
        <f>'EV Dep Sch Y1'!E30+'EV Dep Sch Y2'!E22</f>
        <v>81160.138756510409</v>
      </c>
      <c r="F30" s="269">
        <f>'EV Dep Sch Y1'!F30+'EV Dep Sch Y2'!F22</f>
        <v>-975250.37703467265</v>
      </c>
      <c r="G30" s="269">
        <f>'EV Dep Sch Y1'!G30+'EV Dep Sch Y2'!G22</f>
        <v>-569046.4531380207</v>
      </c>
      <c r="H30" s="269">
        <f>'EV Dep Sch Y1'!H30+'EV Dep Sch Y2'!H22</f>
        <v>3894357.9483559518</v>
      </c>
      <c r="I30" s="269">
        <f>'EV Dep Sch Y1'!I30+'EV Dep Sch Y2'!I22</f>
        <v>4300561.8722526031</v>
      </c>
      <c r="J30" s="269">
        <f>'EV Dep Sch Y1'!J30+'EV Dep Sch Y2'!J22</f>
        <v>406203.92389665166</v>
      </c>
      <c r="K30" s="269">
        <f>'EV Dep Sch Y1'!K30+'EV Dep Sch Y2'!K22</f>
        <v>-85302.824018296844</v>
      </c>
      <c r="L30" s="269">
        <f>'EV Dep Sch Y1'!L30+'EV Dep Sch Y2'!L22</f>
        <v>7381.3645638857697</v>
      </c>
      <c r="M30" s="270">
        <f t="shared" si="2"/>
        <v>4215259.0482343063</v>
      </c>
      <c r="N30" s="271"/>
      <c r="O30" s="271"/>
      <c r="P30" s="271"/>
      <c r="Q30" s="271"/>
      <c r="R30" s="271"/>
      <c r="S30" s="271"/>
      <c r="T30" s="271"/>
    </row>
    <row r="31" spans="1:20" s="230" customFormat="1">
      <c r="A31" s="267">
        <f t="shared" si="3"/>
        <v>43951</v>
      </c>
      <c r="B31" s="269">
        <f>'EV Dep Sch Y1'!B31+'EV Dep Sch Y2'!B23</f>
        <v>5013806.8255208321</v>
      </c>
      <c r="C31" s="269">
        <f>'EV Dep Sch Y1'!C31+'EV Dep Sch Y2'!C23</f>
        <v>5013806.8255208321</v>
      </c>
      <c r="D31" s="269">
        <f>'EV Dep Sch Y1'!D31+'EV Dep Sch Y2'!D23</f>
        <v>118885.2395312093</v>
      </c>
      <c r="E31" s="269">
        <f>'EV Dep Sch Y1'!E31+'EV Dep Sch Y2'!E23</f>
        <v>83563.447092013885</v>
      </c>
      <c r="F31" s="269">
        <f>'EV Dep Sch Y1'!F31+'EV Dep Sch Y2'!F23</f>
        <v>-1094135.6165658818</v>
      </c>
      <c r="G31" s="269">
        <f>'EV Dep Sch Y1'!G31+'EV Dep Sch Y2'!G23</f>
        <v>-652609.9002300346</v>
      </c>
      <c r="H31" s="269">
        <f>'EV Dep Sch Y1'!H31+'EV Dep Sch Y2'!H23</f>
        <v>3919671.2089549508</v>
      </c>
      <c r="I31" s="269">
        <f>'EV Dep Sch Y1'!I31+'EV Dep Sch Y2'!I23</f>
        <v>4361196.9252907978</v>
      </c>
      <c r="J31" s="269">
        <f>'EV Dep Sch Y1'!J31+'EV Dep Sch Y2'!J23</f>
        <v>441525.71633584728</v>
      </c>
      <c r="K31" s="269">
        <f>'EV Dep Sch Y1'!K31+'EV Dep Sch Y2'!K23</f>
        <v>-92720.400430527923</v>
      </c>
      <c r="L31" s="269">
        <f>'EV Dep Sch Y1'!L31+'EV Dep Sch Y2'!L23</f>
        <v>7417.5764122310866</v>
      </c>
      <c r="M31" s="270">
        <f t="shared" si="2"/>
        <v>4268476.5248602703</v>
      </c>
      <c r="N31" s="271"/>
      <c r="O31" s="271"/>
      <c r="P31" s="271"/>
      <c r="Q31" s="271"/>
      <c r="R31" s="271"/>
      <c r="S31" s="271"/>
      <c r="T31" s="271"/>
    </row>
    <row r="32" spans="1:20" s="230" customFormat="1">
      <c r="A32" s="267">
        <f t="shared" si="3"/>
        <v>43982</v>
      </c>
      <c r="B32" s="269">
        <f>'EV Dep Sch Y1'!B32+'EV Dep Sch Y2'!B24</f>
        <v>5158005.3256510412</v>
      </c>
      <c r="C32" s="269">
        <f>'EV Dep Sch Y1'!C32+'EV Dep Sch Y2'!C24</f>
        <v>5158005.3256510412</v>
      </c>
      <c r="D32" s="269">
        <f>'EV Dep Sch Y1'!D32+'EV Dep Sch Y2'!D24</f>
        <v>121460.98523978515</v>
      </c>
      <c r="E32" s="269">
        <f>'EV Dep Sch Y1'!E32+'EV Dep Sch Y2'!E24</f>
        <v>85966.755427517361</v>
      </c>
      <c r="F32" s="269">
        <f>'EV Dep Sch Y1'!F32+'EV Dep Sch Y2'!F24</f>
        <v>-1215596.6018056669</v>
      </c>
      <c r="G32" s="269">
        <f>'EV Dep Sch Y1'!G32+'EV Dep Sch Y2'!G24</f>
        <v>-738576.65565755195</v>
      </c>
      <c r="H32" s="269">
        <f>'EV Dep Sch Y1'!H32+'EV Dep Sch Y2'!H24</f>
        <v>3942408.7238453738</v>
      </c>
      <c r="I32" s="269">
        <f>'EV Dep Sch Y1'!I32+'EV Dep Sch Y2'!I24</f>
        <v>4419428.669993489</v>
      </c>
      <c r="J32" s="269">
        <f>'EV Dep Sch Y1'!J32+'EV Dep Sch Y2'!J24</f>
        <v>477019.94614811533</v>
      </c>
      <c r="K32" s="269">
        <f>'EV Dep Sch Y1'!K32+'EV Dep Sch Y2'!K24</f>
        <v>-100174.18869110422</v>
      </c>
      <c r="L32" s="269">
        <f>'EV Dep Sch Y1'!L32+'EV Dep Sch Y2'!L24</f>
        <v>7453.7882605762952</v>
      </c>
      <c r="M32" s="270">
        <f t="shared" si="2"/>
        <v>4319254.4813023852</v>
      </c>
      <c r="N32" s="271"/>
      <c r="O32" s="271"/>
      <c r="P32" s="271"/>
      <c r="Q32" s="271"/>
      <c r="R32" s="271"/>
      <c r="S32" s="271"/>
      <c r="T32" s="271"/>
    </row>
    <row r="33" spans="1:20" s="230" customFormat="1">
      <c r="A33" s="267">
        <f t="shared" si="3"/>
        <v>44012</v>
      </c>
      <c r="B33" s="269">
        <f>'EV Dep Sch Y1'!B33+'EV Dep Sch Y2'!B25</f>
        <v>5302203.8257812494</v>
      </c>
      <c r="C33" s="269">
        <f>'EV Dep Sch Y1'!C33+'EV Dep Sch Y2'!C25</f>
        <v>5302203.8257812494</v>
      </c>
      <c r="D33" s="269">
        <f>'EV Dep Sch Y1'!D33+'EV Dep Sch Y2'!D25</f>
        <v>121460.98523978515</v>
      </c>
      <c r="E33" s="269">
        <f>'EV Dep Sch Y1'!E33+'EV Dep Sch Y2'!E25</f>
        <v>88370.063763020822</v>
      </c>
      <c r="F33" s="269">
        <f>'EV Dep Sch Y1'!F33+'EV Dep Sch Y2'!F25</f>
        <v>-1337057.5870454521</v>
      </c>
      <c r="G33" s="269">
        <f>'EV Dep Sch Y1'!G33+'EV Dep Sch Y2'!G25</f>
        <v>-826946.71942057286</v>
      </c>
      <c r="H33" s="269">
        <f>'EV Dep Sch Y1'!H33+'EV Dep Sch Y2'!H25</f>
        <v>3965146.2387357969</v>
      </c>
      <c r="I33" s="269">
        <f>'EV Dep Sch Y1'!I33+'EV Dep Sch Y2'!I25</f>
        <v>4475257.1063606767</v>
      </c>
      <c r="J33" s="269">
        <f>'EV Dep Sch Y1'!J33+'EV Dep Sch Y2'!J25</f>
        <v>510110.8676248797</v>
      </c>
      <c r="K33" s="269">
        <f>'EV Dep Sch Y1'!K33+'EV Dep Sch Y2'!K25</f>
        <v>-107123.28220122473</v>
      </c>
      <c r="L33" s="269">
        <f>'EV Dep Sch Y1'!L33+'EV Dep Sch Y2'!L25</f>
        <v>6949.0935101205105</v>
      </c>
      <c r="M33" s="270">
        <f t="shared" si="2"/>
        <v>4368133.8241594518</v>
      </c>
      <c r="N33" s="274"/>
      <c r="O33" s="271"/>
      <c r="P33" s="271"/>
      <c r="Q33" s="271"/>
      <c r="R33" s="271"/>
      <c r="S33" s="271"/>
      <c r="T33" s="271"/>
    </row>
    <row r="34" spans="1:20" s="230" customFormat="1">
      <c r="A34" s="267">
        <f t="shared" si="3"/>
        <v>44043</v>
      </c>
      <c r="B34" s="269">
        <f>'EV Dep Sch Y1'!B34+'EV Dep Sch Y2'!B26</f>
        <v>5446402.3259114577</v>
      </c>
      <c r="C34" s="269">
        <f>'EV Dep Sch Y1'!C34+'EV Dep Sch Y2'!C26</f>
        <v>5446402.3259114577</v>
      </c>
      <c r="D34" s="269">
        <f>'EV Dep Sch Y1'!D34+'EV Dep Sch Y2'!D26</f>
        <v>121460.98523978515</v>
      </c>
      <c r="E34" s="269">
        <f>'EV Dep Sch Y1'!E34+'EV Dep Sch Y2'!E26</f>
        <v>90773.372098524298</v>
      </c>
      <c r="F34" s="269">
        <f>'EV Dep Sch Y1'!F34+'EV Dep Sch Y2'!F26</f>
        <v>-1458518.5722852375</v>
      </c>
      <c r="G34" s="269">
        <f>'EV Dep Sch Y1'!G34+'EV Dep Sch Y2'!G26</f>
        <v>-917720.0915190971</v>
      </c>
      <c r="H34" s="269">
        <f>'EV Dep Sch Y1'!H34+'EV Dep Sch Y2'!H26</f>
        <v>3987883.7536262199</v>
      </c>
      <c r="I34" s="269">
        <f>'EV Dep Sch Y1'!I34+'EV Dep Sch Y2'!I26</f>
        <v>4528682.2343923608</v>
      </c>
      <c r="J34" s="269">
        <f>'EV Dep Sch Y1'!J34+'EV Dep Sch Y2'!J26</f>
        <v>540798.48076614027</v>
      </c>
      <c r="K34" s="269">
        <f>'EV Dep Sch Y1'!K34+'EV Dep Sch Y2'!K26</f>
        <v>-113567.68096088945</v>
      </c>
      <c r="L34" s="269">
        <f>'EV Dep Sch Y1'!L34+'EV Dep Sch Y2'!L26</f>
        <v>6444.3987596647203</v>
      </c>
      <c r="M34" s="270">
        <f t="shared" si="2"/>
        <v>4415114.5534314709</v>
      </c>
      <c r="N34" s="274"/>
      <c r="O34" s="271"/>
      <c r="P34" s="271"/>
      <c r="Q34" s="271"/>
      <c r="R34" s="271"/>
      <c r="S34" s="271"/>
      <c r="T34" s="271"/>
    </row>
    <row r="35" spans="1:20" s="230" customFormat="1">
      <c r="A35" s="267">
        <f t="shared" si="3"/>
        <v>44074</v>
      </c>
      <c r="B35" s="269">
        <f>'EV Dep Sch Y1'!B35+'EV Dep Sch Y2'!B27</f>
        <v>5590600.8260416659</v>
      </c>
      <c r="C35" s="269">
        <f>'EV Dep Sch Y1'!C35+'EV Dep Sch Y2'!C27</f>
        <v>5590600.8260416659</v>
      </c>
      <c r="D35" s="269">
        <f>'EV Dep Sch Y1'!D35+'EV Dep Sch Y2'!D27</f>
        <v>121460.98523978515</v>
      </c>
      <c r="E35" s="269">
        <f>'EV Dep Sch Y1'!E35+'EV Dep Sch Y2'!E27</f>
        <v>93176.680434027774</v>
      </c>
      <c r="F35" s="269">
        <f>'EV Dep Sch Y1'!F35+'EV Dep Sch Y2'!F27</f>
        <v>-1579979.5575250227</v>
      </c>
      <c r="G35" s="269">
        <f>'EV Dep Sch Y1'!G35+'EV Dep Sch Y2'!G27</f>
        <v>-1010896.7719531249</v>
      </c>
      <c r="H35" s="269">
        <f>'EV Dep Sch Y1'!H35+'EV Dep Sch Y2'!H27</f>
        <v>4010621.2685166434</v>
      </c>
      <c r="I35" s="269">
        <f>'EV Dep Sch Y1'!I35+'EV Dep Sch Y2'!I27</f>
        <v>4579704.0540885404</v>
      </c>
      <c r="J35" s="269">
        <f>'EV Dep Sch Y1'!J35+'EV Dep Sch Y2'!J27</f>
        <v>569082.7855718974</v>
      </c>
      <c r="K35" s="269">
        <f>'EV Dep Sch Y1'!K35+'EV Dep Sch Y2'!K27</f>
        <v>-119507.38497009844</v>
      </c>
      <c r="L35" s="269">
        <f>'EV Dep Sch Y1'!L35+'EV Dep Sch Y2'!L27</f>
        <v>5939.7040092089992</v>
      </c>
      <c r="M35" s="270">
        <f t="shared" si="2"/>
        <v>4460196.6691184416</v>
      </c>
      <c r="N35" s="274"/>
      <c r="O35" s="271"/>
      <c r="P35" s="271"/>
      <c r="Q35" s="271"/>
      <c r="R35" s="271"/>
      <c r="S35" s="271"/>
      <c r="T35" s="271"/>
    </row>
    <row r="36" spans="1:20" s="230" customFormat="1">
      <c r="A36" s="267">
        <f t="shared" si="3"/>
        <v>44104</v>
      </c>
      <c r="B36" s="269">
        <f>'EV Dep Sch Y1'!B36+'EV Dep Sch Y2'!B28</f>
        <v>5734799.3261718741</v>
      </c>
      <c r="C36" s="269">
        <f>'EV Dep Sch Y1'!C36+'EV Dep Sch Y2'!C28</f>
        <v>5734799.3261718741</v>
      </c>
      <c r="D36" s="269">
        <f>'EV Dep Sch Y1'!D36+'EV Dep Sch Y2'!D28</f>
        <v>117037.69624829102</v>
      </c>
      <c r="E36" s="269">
        <f>'EV Dep Sch Y1'!E36+'EV Dep Sch Y2'!E28</f>
        <v>95579.98876953125</v>
      </c>
      <c r="F36" s="269">
        <f>'EV Dep Sch Y1'!F36+'EV Dep Sch Y2'!F28</f>
        <v>-1697017.2537733137</v>
      </c>
      <c r="G36" s="269">
        <f>'EV Dep Sch Y1'!G36+'EV Dep Sch Y2'!G28</f>
        <v>-1106476.760722656</v>
      </c>
      <c r="H36" s="269">
        <f>'EV Dep Sch Y1'!H36+'EV Dep Sch Y2'!H28</f>
        <v>4037782.0723985601</v>
      </c>
      <c r="I36" s="269">
        <f>'EV Dep Sch Y1'!I36+'EV Dep Sch Y2'!I28</f>
        <v>4628322.5654492173</v>
      </c>
      <c r="J36" s="269">
        <f>'EV Dep Sch Y1'!J36+'EV Dep Sch Y2'!J28</f>
        <v>590540.49305065745</v>
      </c>
      <c r="K36" s="269">
        <f>'EV Dep Sch Y1'!K36+'EV Dep Sch Y2'!K28</f>
        <v>-124013.50354063806</v>
      </c>
      <c r="L36" s="269">
        <f>'EV Dep Sch Y1'!L36+'EV Dep Sch Y2'!L28</f>
        <v>4506.1185705396165</v>
      </c>
      <c r="M36" s="270">
        <f t="shared" si="2"/>
        <v>4504309.0619085794</v>
      </c>
      <c r="N36" s="271"/>
      <c r="O36" s="275"/>
      <c r="P36" s="271"/>
      <c r="Q36" s="271"/>
      <c r="R36" s="271"/>
      <c r="S36" s="271"/>
      <c r="T36" s="271"/>
    </row>
    <row r="37" spans="1:20" s="230" customFormat="1">
      <c r="A37" s="267">
        <f t="shared" si="3"/>
        <v>44135</v>
      </c>
      <c r="B37" s="269">
        <f>'EV Dep Sch Y1'!B37+'EV Dep Sch Y2'!B29</f>
        <v>5878997.8263020823</v>
      </c>
      <c r="C37" s="269">
        <f>'EV Dep Sch Y1'!C37+'EV Dep Sch Y2'!C29</f>
        <v>5878997.8263020823</v>
      </c>
      <c r="D37" s="269">
        <f>'EV Dep Sch Y1'!D37+'EV Dep Sch Y2'!D29</f>
        <v>119980.54730511502</v>
      </c>
      <c r="E37" s="269">
        <f>'EV Dep Sch Y1'!E37+'EV Dep Sch Y2'!E29</f>
        <v>97983.297105034711</v>
      </c>
      <c r="F37" s="269">
        <f>'EV Dep Sch Y1'!F37+'EV Dep Sch Y2'!F29</f>
        <v>-1816997.8010784287</v>
      </c>
      <c r="G37" s="269">
        <f>'EV Dep Sch Y1'!G37+'EV Dep Sch Y2'!G29</f>
        <v>-1204460.0578276906</v>
      </c>
      <c r="H37" s="269">
        <f>'EV Dep Sch Y1'!H37+'EV Dep Sch Y2'!H29</f>
        <v>4062000.0252236533</v>
      </c>
      <c r="I37" s="269">
        <f>'EV Dep Sch Y1'!I37+'EV Dep Sch Y2'!I29</f>
        <v>4674537.7684743917</v>
      </c>
      <c r="J37" s="269">
        <f>'EV Dep Sch Y1'!J37+'EV Dep Sch Y2'!J29</f>
        <v>612537.74325073836</v>
      </c>
      <c r="K37" s="269">
        <f>'EV Dep Sch Y1'!K37+'EV Dep Sch Y2'!K29</f>
        <v>-128632.92608265506</v>
      </c>
      <c r="L37" s="269">
        <f>'EV Dep Sch Y1'!L37+'EV Dep Sch Y2'!L29</f>
        <v>4619.422542016986</v>
      </c>
      <c r="M37" s="270">
        <f t="shared" si="2"/>
        <v>4545904.8423917368</v>
      </c>
      <c r="N37" s="271"/>
      <c r="O37" s="275"/>
      <c r="P37" s="271"/>
      <c r="Q37" s="271"/>
      <c r="R37" s="271"/>
      <c r="S37" s="271"/>
      <c r="T37" s="271"/>
    </row>
    <row r="38" spans="1:20" s="230" customFormat="1">
      <c r="A38" s="267">
        <f t="shared" si="3"/>
        <v>44165</v>
      </c>
      <c r="B38" s="269">
        <f>'EV Dep Sch Y1'!B38+'EV Dep Sch Y2'!B30</f>
        <v>6023196.3264322905</v>
      </c>
      <c r="C38" s="269">
        <f>'EV Dep Sch Y1'!C38+'EV Dep Sch Y2'!C30</f>
        <v>6023196.3264322905</v>
      </c>
      <c r="D38" s="269">
        <f>'EV Dep Sch Y1'!D38+'EV Dep Sch Y2'!D30</f>
        <v>122923.39836193901</v>
      </c>
      <c r="E38" s="269">
        <f>'EV Dep Sch Y1'!E38+'EV Dep Sch Y2'!E30</f>
        <v>100386.60544053819</v>
      </c>
      <c r="F38" s="269">
        <f>'EV Dep Sch Y1'!F38+'EV Dep Sch Y2'!F30</f>
        <v>-1939921.199440368</v>
      </c>
      <c r="G38" s="269">
        <f>'EV Dep Sch Y1'!G38+'EV Dep Sch Y2'!G30</f>
        <v>-1304846.663268229</v>
      </c>
      <c r="H38" s="269">
        <f>'EV Dep Sch Y1'!H38+'EV Dep Sch Y2'!H30</f>
        <v>4083275.1269919225</v>
      </c>
      <c r="I38" s="269">
        <f>'EV Dep Sch Y1'!I38+'EV Dep Sch Y2'!I30</f>
        <v>4718349.6631640615</v>
      </c>
      <c r="J38" s="269">
        <f>'EV Dep Sch Y1'!J38+'EV Dep Sch Y2'!J30</f>
        <v>635074.53617213899</v>
      </c>
      <c r="K38" s="269">
        <f>'EV Dep Sch Y1'!K38+'EV Dep Sch Y2'!K30</f>
        <v>-133365.65259614919</v>
      </c>
      <c r="L38" s="269">
        <f>'EV Dep Sch Y1'!L38+'EV Dep Sch Y2'!L30</f>
        <v>4732.7265134941335</v>
      </c>
      <c r="M38" s="270">
        <f t="shared" si="2"/>
        <v>4584984.0105679119</v>
      </c>
      <c r="N38" s="271"/>
      <c r="O38" s="275"/>
      <c r="P38" s="271"/>
      <c r="Q38" s="271"/>
      <c r="R38" s="271"/>
      <c r="S38" s="271"/>
      <c r="T38" s="271"/>
    </row>
    <row r="39" spans="1:20" s="230" customFormat="1">
      <c r="A39" s="267">
        <f t="shared" si="3"/>
        <v>44196</v>
      </c>
      <c r="B39" s="269">
        <f>'EV Dep Sch Y1'!B39+'EV Dep Sch Y2'!B31</f>
        <v>6167394.8265624987</v>
      </c>
      <c r="C39" s="269">
        <f>'EV Dep Sch Y1'!C39+'EV Dep Sch Y2'!C31</f>
        <v>6167394.8265624987</v>
      </c>
      <c r="D39" s="269">
        <f>'EV Dep Sch Y1'!D39+'EV Dep Sch Y2'!D31</f>
        <v>125866.24941876301</v>
      </c>
      <c r="E39" s="269">
        <f>'EV Dep Sch Y1'!E39+'EV Dep Sch Y2'!E31</f>
        <v>102789.91377604165</v>
      </c>
      <c r="F39" s="269">
        <f>'EV Dep Sch Y1'!F39+'EV Dep Sch Y2'!F31</f>
        <v>-2065787.448859131</v>
      </c>
      <c r="G39" s="269">
        <f>'EV Dep Sch Y1'!G39+'EV Dep Sch Y2'!G31</f>
        <v>-1407636.5770442707</v>
      </c>
      <c r="H39" s="269">
        <f>'EV Dep Sch Y1'!H39+'EV Dep Sch Y2'!H31</f>
        <v>4101607.3777033677</v>
      </c>
      <c r="I39" s="269">
        <f>'EV Dep Sch Y1'!I39+'EV Dep Sch Y2'!I31</f>
        <v>4759758.2495182278</v>
      </c>
      <c r="J39" s="269">
        <f>'EV Dep Sch Y1'!J39+'EV Dep Sch Y2'!J31</f>
        <v>658150.87181486003</v>
      </c>
      <c r="K39" s="269">
        <f>'EV Dep Sch Y1'!K39+'EV Dep Sch Y2'!K31</f>
        <v>-138211.6830811206</v>
      </c>
      <c r="L39" s="269">
        <f>'EV Dep Sch Y1'!L39+'EV Dep Sch Y2'!L31</f>
        <v>4846.030484971423</v>
      </c>
      <c r="M39" s="270">
        <f t="shared" si="2"/>
        <v>4621546.5664371075</v>
      </c>
      <c r="N39" s="271"/>
      <c r="O39" s="275"/>
      <c r="P39" s="271"/>
      <c r="Q39" s="271"/>
      <c r="R39" s="271"/>
      <c r="S39" s="271"/>
      <c r="T39" s="271"/>
    </row>
    <row r="40" spans="1:20" s="230" customFormat="1">
      <c r="A40" s="267">
        <f t="shared" si="3"/>
        <v>44227</v>
      </c>
      <c r="B40" s="269">
        <f>'EV Dep Sch Y1'!B40+'EV Dep Sch Y2'!B32+'EV Dep Sch Y3'!B20</f>
        <v>6170760.1097656237</v>
      </c>
      <c r="C40" s="269">
        <f>'EV Dep Sch Y1'!C40+'EV Dep Sch Y2'!C32+'EV Dep Sch Y3'!C20</f>
        <v>6170760.1097656237</v>
      </c>
      <c r="D40" s="269">
        <f>'EV Dep Sch Y1'!D40+'EV Dep Sch Y2'!D32+'EV Dep Sch Y3'!D20</f>
        <v>100464.57357598956</v>
      </c>
      <c r="E40" s="269">
        <f>'EV Dep Sch Y1'!E40+'EV Dep Sch Y2'!E32+'EV Dep Sch Y3'!E20</f>
        <v>102846.00182942707</v>
      </c>
      <c r="F40" s="269">
        <f>'EV Dep Sch Y1'!F40+'EV Dep Sch Y2'!F32+'EV Dep Sch Y3'!F20</f>
        <v>-2166252.0224351208</v>
      </c>
      <c r="G40" s="269">
        <f>'EV Dep Sch Y1'!G40+'EV Dep Sch Y2'!G32+'EV Dep Sch Y3'!G20</f>
        <v>-1510482.5788736981</v>
      </c>
      <c r="H40" s="269">
        <f>'EV Dep Sch Y1'!H40+'EV Dep Sch Y2'!H32+'EV Dep Sch Y3'!H20</f>
        <v>4004508.0873305034</v>
      </c>
      <c r="I40" s="269">
        <f>'EV Dep Sch Y1'!I40+'EV Dep Sch Y2'!I32+'EV Dep Sch Y3'!I20</f>
        <v>4660277.5308919251</v>
      </c>
      <c r="J40" s="269">
        <f>'EV Dep Sch Y1'!J40+'EV Dep Sch Y2'!J32+'EV Dep Sch Y3'!J20</f>
        <v>655769.44356142217</v>
      </c>
      <c r="K40" s="269">
        <f>'EV Dep Sch Y1'!K40+'EV Dep Sch Y2'!K32+'EV Dep Sch Y3'!K20</f>
        <v>-137711.58314789867</v>
      </c>
      <c r="L40" s="269">
        <f>'EV Dep Sch Y1'!L40+'EV Dep Sch Y2'!L32+'EV Dep Sch Y3'!L20</f>
        <v>-500.09993322195243</v>
      </c>
      <c r="M40" s="270">
        <f t="shared" si="2"/>
        <v>4522565.9477440268</v>
      </c>
      <c r="N40" s="271"/>
      <c r="O40" s="275"/>
      <c r="P40" s="271"/>
      <c r="Q40" s="271"/>
      <c r="R40" s="271"/>
      <c r="S40" s="271"/>
      <c r="T40" s="271"/>
    </row>
    <row r="41" spans="1:20" s="230" customFormat="1">
      <c r="A41" s="267">
        <f t="shared" si="3"/>
        <v>44255</v>
      </c>
      <c r="B41" s="269">
        <f>'EV Dep Sch Y1'!B41+'EV Dep Sch Y2'!B33+'EV Dep Sch Y3'!B21</f>
        <v>6174125.3929687487</v>
      </c>
      <c r="C41" s="269">
        <f>'EV Dep Sch Y1'!C41+'EV Dep Sch Y2'!C33+'EV Dep Sch Y3'!C21</f>
        <v>6174125.3929687487</v>
      </c>
      <c r="D41" s="269">
        <f>'EV Dep Sch Y1'!D41+'EV Dep Sch Y2'!D33+'EV Dep Sch Y3'!D21</f>
        <v>100524.68594720538</v>
      </c>
      <c r="E41" s="269">
        <f>'EV Dep Sch Y1'!E41+'EV Dep Sch Y2'!E33+'EV Dep Sch Y3'!E21</f>
        <v>102902.08988281248</v>
      </c>
      <c r="F41" s="269">
        <f>'EV Dep Sch Y1'!F41+'EV Dep Sch Y2'!F33+'EV Dep Sch Y3'!F21</f>
        <v>-2266776.7083823262</v>
      </c>
      <c r="G41" s="269">
        <f>'EV Dep Sch Y1'!G41+'EV Dep Sch Y2'!G33+'EV Dep Sch Y3'!G21</f>
        <v>-1613384.6687565106</v>
      </c>
      <c r="H41" s="269">
        <f>'EV Dep Sch Y1'!H41+'EV Dep Sch Y2'!H33+'EV Dep Sch Y3'!H21</f>
        <v>3907348.684586423</v>
      </c>
      <c r="I41" s="269">
        <f>'EV Dep Sch Y1'!I41+'EV Dep Sch Y2'!I33+'EV Dep Sch Y3'!I21</f>
        <v>4560740.7242122386</v>
      </c>
      <c r="J41" s="269">
        <f>'EV Dep Sch Y1'!J41+'EV Dep Sch Y2'!J33+'EV Dep Sch Y3'!J21</f>
        <v>653392.03962581523</v>
      </c>
      <c r="K41" s="269">
        <f>'EV Dep Sch Y1'!K41+'EV Dep Sch Y2'!K33+'EV Dep Sch Y3'!K21</f>
        <v>-137212.32832142117</v>
      </c>
      <c r="L41" s="269">
        <f>'EV Dep Sch Y1'!L41+'EV Dep Sch Y2'!L33+'EV Dep Sch Y3'!L21</f>
        <v>-499.2548264774731</v>
      </c>
      <c r="M41" s="270">
        <f t="shared" si="2"/>
        <v>4423528.395890817</v>
      </c>
      <c r="N41" s="271"/>
      <c r="O41" s="275"/>
      <c r="P41" s="271"/>
      <c r="Q41" s="271"/>
      <c r="R41" s="271"/>
      <c r="S41" s="271"/>
      <c r="T41" s="271"/>
    </row>
    <row r="42" spans="1:20" s="230" customFormat="1">
      <c r="A42" s="267">
        <f t="shared" si="3"/>
        <v>44286</v>
      </c>
      <c r="B42" s="269">
        <f>'EV Dep Sch Y1'!B42+'EV Dep Sch Y2'!B34+'EV Dep Sch Y3'!B22</f>
        <v>6177490.6761718737</v>
      </c>
      <c r="C42" s="269">
        <f>'EV Dep Sch Y1'!C42+'EV Dep Sch Y2'!C34+'EV Dep Sch Y3'!C22</f>
        <v>6177490.6761718737</v>
      </c>
      <c r="D42" s="269">
        <f>'EV Dep Sch Y1'!D42+'EV Dep Sch Y2'!D34+'EV Dep Sch Y3'!D22</f>
        <v>100584.79831842121</v>
      </c>
      <c r="E42" s="269">
        <f>'EV Dep Sch Y1'!E42+'EV Dep Sch Y2'!E34+'EV Dep Sch Y3'!E22</f>
        <v>102958.1779361979</v>
      </c>
      <c r="F42" s="269">
        <f>'EV Dep Sch Y1'!F42+'EV Dep Sch Y2'!F34+'EV Dep Sch Y3'!F22</f>
        <v>-2367361.5067007472</v>
      </c>
      <c r="G42" s="269">
        <f>'EV Dep Sch Y1'!G42+'EV Dep Sch Y2'!G34+'EV Dep Sch Y3'!G22</f>
        <v>-1716342.8466927086</v>
      </c>
      <c r="H42" s="269">
        <f>'EV Dep Sch Y1'!H42+'EV Dep Sch Y2'!H34+'EV Dep Sch Y3'!H22</f>
        <v>3810129.1694711265</v>
      </c>
      <c r="I42" s="269">
        <f>'EV Dep Sch Y1'!I42+'EV Dep Sch Y2'!I34+'EV Dep Sch Y3'!I22</f>
        <v>4461147.8294791654</v>
      </c>
      <c r="J42" s="269">
        <f>'EV Dep Sch Y1'!J42+'EV Dep Sch Y2'!J34+'EV Dep Sch Y3'!J22</f>
        <v>651018.66000803863</v>
      </c>
      <c r="K42" s="269">
        <f>'EV Dep Sch Y1'!K42+'EV Dep Sch Y2'!K34+'EV Dep Sch Y3'!K22</f>
        <v>-136713.91860168808</v>
      </c>
      <c r="L42" s="269">
        <f>'EV Dep Sch Y1'!L42+'EV Dep Sch Y2'!L34+'EV Dep Sch Y3'!L22</f>
        <v>-498.4097197330882</v>
      </c>
      <c r="M42" s="270">
        <f t="shared" si="2"/>
        <v>4324433.9108774774</v>
      </c>
      <c r="N42" s="271"/>
      <c r="O42" s="275"/>
      <c r="P42" s="271"/>
      <c r="Q42" s="271"/>
      <c r="R42" s="271"/>
      <c r="S42" s="271"/>
      <c r="T42" s="271"/>
    </row>
    <row r="43" spans="1:20" s="230" customFormat="1">
      <c r="A43" s="267">
        <f t="shared" si="3"/>
        <v>44316</v>
      </c>
      <c r="B43" s="269">
        <f>'EV Dep Sch Y1'!B43+'EV Dep Sch Y2'!B35+'EV Dep Sch Y3'!B23</f>
        <v>6180855.9593749987</v>
      </c>
      <c r="C43" s="269">
        <f>'EV Dep Sch Y1'!C43+'EV Dep Sch Y2'!C35+'EV Dep Sch Y3'!C23</f>
        <v>6180855.9593749987</v>
      </c>
      <c r="D43" s="269">
        <f>'EV Dep Sch Y1'!D43+'EV Dep Sch Y2'!D35+'EV Dep Sch Y3'!D23</f>
        <v>100644.91068963702</v>
      </c>
      <c r="E43" s="269">
        <f>'EV Dep Sch Y1'!E43+'EV Dep Sch Y2'!E35+'EV Dep Sch Y3'!E23</f>
        <v>103014.26598958332</v>
      </c>
      <c r="F43" s="269">
        <f>'EV Dep Sch Y1'!F43+'EV Dep Sch Y2'!F35+'EV Dep Sch Y3'!F23</f>
        <v>-2468006.4173903842</v>
      </c>
      <c r="G43" s="269">
        <f>'EV Dep Sch Y1'!G43+'EV Dep Sch Y2'!G35+'EV Dep Sch Y3'!G23</f>
        <v>-1819357.112682292</v>
      </c>
      <c r="H43" s="269">
        <f>'EV Dep Sch Y1'!H43+'EV Dep Sch Y2'!H35+'EV Dep Sch Y3'!H23</f>
        <v>3712849.5419846149</v>
      </c>
      <c r="I43" s="269">
        <f>'EV Dep Sch Y1'!I43+'EV Dep Sch Y2'!I35+'EV Dep Sch Y3'!I23</f>
        <v>4361498.8466927065</v>
      </c>
      <c r="J43" s="269">
        <f>'EV Dep Sch Y1'!J43+'EV Dep Sch Y2'!J35+'EV Dep Sch Y3'!J23</f>
        <v>648649.30470809224</v>
      </c>
      <c r="K43" s="269">
        <f>'EV Dep Sch Y1'!K43+'EV Dep Sch Y2'!K35+'EV Dep Sch Y3'!K23</f>
        <v>-136216.35398869935</v>
      </c>
      <c r="L43" s="269">
        <f>'EV Dep Sch Y1'!L43+'EV Dep Sch Y2'!L35+'EV Dep Sch Y3'!L23</f>
        <v>-497.56461298873285</v>
      </c>
      <c r="M43" s="270">
        <f t="shared" si="2"/>
        <v>4225282.4927040068</v>
      </c>
      <c r="N43" s="271"/>
      <c r="O43" s="275"/>
      <c r="P43" s="271"/>
      <c r="Q43" s="271"/>
      <c r="R43" s="271"/>
      <c r="S43" s="271"/>
      <c r="T43" s="271"/>
    </row>
    <row r="44" spans="1:20" s="230" customFormat="1">
      <c r="A44" s="267">
        <f t="shared" si="3"/>
        <v>44347</v>
      </c>
      <c r="B44" s="269">
        <f>'EV Dep Sch Y1'!B44+'EV Dep Sch Y2'!B36+'EV Dep Sch Y3'!B24</f>
        <v>6184221.2425781237</v>
      </c>
      <c r="C44" s="269">
        <f>'EV Dep Sch Y1'!C44+'EV Dep Sch Y2'!C36+'EV Dep Sch Y3'!C24</f>
        <v>6184221.2425781237</v>
      </c>
      <c r="D44" s="269">
        <f>'EV Dep Sch Y1'!D44+'EV Dep Sch Y2'!D36+'EV Dep Sch Y3'!D24</f>
        <v>100705.02306085284</v>
      </c>
      <c r="E44" s="269">
        <f>'EV Dep Sch Y1'!E44+'EV Dep Sch Y2'!E36+'EV Dep Sch Y3'!E24</f>
        <v>103070.35404296873</v>
      </c>
      <c r="F44" s="269">
        <f>'EV Dep Sch Y1'!F44+'EV Dep Sch Y2'!F36+'EV Dep Sch Y3'!F24</f>
        <v>-2568711.4404512374</v>
      </c>
      <c r="G44" s="269">
        <f>'EV Dep Sch Y1'!G44+'EV Dep Sch Y2'!G36+'EV Dep Sch Y3'!G24</f>
        <v>-1922427.466725261</v>
      </c>
      <c r="H44" s="269">
        <f>'EV Dep Sch Y1'!H44+'EV Dep Sch Y2'!H36+'EV Dep Sch Y3'!H24</f>
        <v>3615509.8021268868</v>
      </c>
      <c r="I44" s="269">
        <f>'EV Dep Sch Y1'!I44+'EV Dep Sch Y2'!I36+'EV Dep Sch Y3'!I24</f>
        <v>4261793.7758528627</v>
      </c>
      <c r="J44" s="269">
        <f>'EV Dep Sch Y1'!J44+'EV Dep Sch Y2'!J36+'EV Dep Sch Y3'!J24</f>
        <v>646283.97372597596</v>
      </c>
      <c r="K44" s="269">
        <f>'EV Dep Sch Y1'!K44+'EV Dep Sch Y2'!K36+'EV Dep Sch Y3'!K24</f>
        <v>-135719.63448245495</v>
      </c>
      <c r="L44" s="269">
        <f>'EV Dep Sch Y1'!L44+'EV Dep Sch Y2'!L36+'EV Dep Sch Y3'!L24</f>
        <v>-496.71950624441337</v>
      </c>
      <c r="M44" s="270">
        <f t="shared" si="2"/>
        <v>4126074.1413704078</v>
      </c>
      <c r="N44" s="271"/>
      <c r="O44" s="275"/>
      <c r="P44" s="271"/>
      <c r="Q44" s="271"/>
      <c r="R44" s="271"/>
      <c r="S44" s="271"/>
      <c r="T44" s="271"/>
    </row>
    <row r="45" spans="1:20" s="230" customFormat="1">
      <c r="A45" s="267">
        <f t="shared" si="3"/>
        <v>44377</v>
      </c>
      <c r="B45" s="269">
        <f>'EV Dep Sch Y1'!B45+'EV Dep Sch Y2'!B37+'EV Dep Sch Y3'!B25</f>
        <v>6187586.5257812487</v>
      </c>
      <c r="C45" s="269">
        <f>'EV Dep Sch Y1'!C45+'EV Dep Sch Y2'!C37+'EV Dep Sch Y3'!C25</f>
        <v>6187586.5257812487</v>
      </c>
      <c r="D45" s="269">
        <f>'EV Dep Sch Y1'!D45+'EV Dep Sch Y2'!D37+'EV Dep Sch Y3'!D25</f>
        <v>100705.02306085284</v>
      </c>
      <c r="E45" s="269">
        <f>'EV Dep Sch Y1'!E45+'EV Dep Sch Y2'!E37+'EV Dep Sch Y3'!E25</f>
        <v>103126.44209635415</v>
      </c>
      <c r="F45" s="269">
        <f>'EV Dep Sch Y1'!F45+'EV Dep Sch Y2'!F37+'EV Dep Sch Y3'!F25</f>
        <v>-2669416.46351209</v>
      </c>
      <c r="G45" s="269">
        <f>'EV Dep Sch Y1'!G45+'EV Dep Sch Y2'!G37+'EV Dep Sch Y3'!G25</f>
        <v>-2025553.9088216152</v>
      </c>
      <c r="H45" s="269">
        <f>'EV Dep Sch Y1'!H45+'EV Dep Sch Y2'!H37+'EV Dep Sch Y3'!H25</f>
        <v>3518170.0622691587</v>
      </c>
      <c r="I45" s="269">
        <f>'EV Dep Sch Y1'!I45+'EV Dep Sch Y2'!I37+'EV Dep Sch Y3'!I25</f>
        <v>4162032.6169596333</v>
      </c>
      <c r="J45" s="269">
        <f>'EV Dep Sch Y1'!J45+'EV Dep Sch Y2'!J37+'EV Dep Sch Y3'!J25</f>
        <v>643862.55469047476</v>
      </c>
      <c r="K45" s="269">
        <f>'EV Dep Sch Y1'!K45+'EV Dep Sch Y2'!K37+'EV Dep Sch Y3'!K25</f>
        <v>-135211.13648499968</v>
      </c>
      <c r="L45" s="269">
        <f>'EV Dep Sch Y1'!L45+'EV Dep Sch Y2'!L37+'EV Dep Sch Y3'!L25</f>
        <v>-508.49799745525655</v>
      </c>
      <c r="M45" s="270">
        <f t="shared" si="2"/>
        <v>4026821.4804746336</v>
      </c>
      <c r="N45" s="271"/>
      <c r="O45" s="275"/>
      <c r="P45" s="271"/>
      <c r="Q45" s="271"/>
      <c r="R45" s="271"/>
      <c r="S45" s="271"/>
      <c r="T45" s="271"/>
    </row>
    <row r="46" spans="1:20" s="230" customFormat="1">
      <c r="A46" s="267">
        <f t="shared" si="3"/>
        <v>44408</v>
      </c>
      <c r="B46" s="269">
        <f>'EV Dep Sch Y1'!B46+'EV Dep Sch Y2'!B38+'EV Dep Sch Y3'!B26</f>
        <v>6190951.8089843737</v>
      </c>
      <c r="C46" s="269">
        <f>'EV Dep Sch Y1'!C46+'EV Dep Sch Y2'!C38+'EV Dep Sch Y3'!C26</f>
        <v>6190951.8089843737</v>
      </c>
      <c r="D46" s="269">
        <f>'EV Dep Sch Y1'!D46+'EV Dep Sch Y2'!D38+'EV Dep Sch Y3'!D26</f>
        <v>100705.02306085284</v>
      </c>
      <c r="E46" s="269">
        <f>'EV Dep Sch Y1'!E46+'EV Dep Sch Y2'!E38+'EV Dep Sch Y3'!E26</f>
        <v>103182.53014973957</v>
      </c>
      <c r="F46" s="269">
        <f>'EV Dep Sch Y1'!F46+'EV Dep Sch Y2'!F38+'EV Dep Sch Y3'!F26</f>
        <v>-2770121.4865729432</v>
      </c>
      <c r="G46" s="269">
        <f>'EV Dep Sch Y1'!G46+'EV Dep Sch Y2'!G38+'EV Dep Sch Y3'!G26</f>
        <v>-2128736.4389713546</v>
      </c>
      <c r="H46" s="269">
        <f>'EV Dep Sch Y1'!H46+'EV Dep Sch Y2'!H38+'EV Dep Sch Y3'!H26</f>
        <v>3420830.3224114305</v>
      </c>
      <c r="I46" s="269">
        <f>'EV Dep Sch Y1'!I46+'EV Dep Sch Y2'!I38+'EV Dep Sch Y3'!I26</f>
        <v>4062215.3700130191</v>
      </c>
      <c r="J46" s="269">
        <f>'EV Dep Sch Y1'!J46+'EV Dep Sch Y2'!J38+'EV Dep Sch Y3'!J26</f>
        <v>641385.04760158819</v>
      </c>
      <c r="K46" s="269">
        <f>'EV Dep Sch Y1'!K46+'EV Dep Sch Y2'!K38+'EV Dep Sch Y3'!K26</f>
        <v>-134690.85999633349</v>
      </c>
      <c r="L46" s="269">
        <f>'EV Dep Sch Y1'!L46+'EV Dep Sch Y2'!L38+'EV Dep Sch Y3'!L26</f>
        <v>-520.27648866617892</v>
      </c>
      <c r="M46" s="270">
        <f t="shared" si="2"/>
        <v>3927524.5100166854</v>
      </c>
      <c r="N46" s="271"/>
      <c r="O46" s="275"/>
      <c r="P46" s="271"/>
      <c r="Q46" s="271"/>
      <c r="R46" s="271"/>
      <c r="S46" s="271"/>
      <c r="T46" s="271"/>
    </row>
    <row r="47" spans="1:20" s="230" customFormat="1">
      <c r="A47" s="267">
        <f t="shared" si="3"/>
        <v>44439</v>
      </c>
      <c r="B47" s="269">
        <f>'EV Dep Sch Y1'!B47+'EV Dep Sch Y2'!B39+'EV Dep Sch Y3'!B27</f>
        <v>6194317.0921874987</v>
      </c>
      <c r="C47" s="269">
        <f>'EV Dep Sch Y1'!C47+'EV Dep Sch Y2'!C39+'EV Dep Sch Y3'!C27</f>
        <v>6194317.0921874987</v>
      </c>
      <c r="D47" s="269">
        <f>'EV Dep Sch Y1'!D47+'EV Dep Sch Y2'!D39+'EV Dep Sch Y3'!D27</f>
        <v>100705.02306085284</v>
      </c>
      <c r="E47" s="269">
        <f>'EV Dep Sch Y1'!E47+'EV Dep Sch Y2'!E39+'EV Dep Sch Y3'!E27</f>
        <v>103238.61820312498</v>
      </c>
      <c r="F47" s="269">
        <f>'EV Dep Sch Y1'!F47+'EV Dep Sch Y2'!F39+'EV Dep Sch Y3'!F27</f>
        <v>-2870826.5096337958</v>
      </c>
      <c r="G47" s="269">
        <f>'EV Dep Sch Y1'!G47+'EV Dep Sch Y2'!G39+'EV Dep Sch Y3'!G27</f>
        <v>-2231975.0571744801</v>
      </c>
      <c r="H47" s="269">
        <f>'EV Dep Sch Y1'!H47+'EV Dep Sch Y2'!H39+'EV Dep Sch Y3'!H27</f>
        <v>3323490.5825537029</v>
      </c>
      <c r="I47" s="269">
        <f>'EV Dep Sch Y1'!I47+'EV Dep Sch Y2'!I39+'EV Dep Sch Y3'!I27</f>
        <v>3962342.0350130186</v>
      </c>
      <c r="J47" s="269">
        <f>'EV Dep Sch Y1'!J47+'EV Dep Sch Y2'!J39+'EV Dep Sch Y3'!J27</f>
        <v>638851.45245931565</v>
      </c>
      <c r="K47" s="269">
        <f>'EV Dep Sch Y1'!K47+'EV Dep Sch Y2'!K39+'EV Dep Sch Y3'!K27</f>
        <v>-134158.80501645629</v>
      </c>
      <c r="L47" s="269">
        <f>'EV Dep Sch Y1'!L47+'EV Dep Sch Y2'!L39+'EV Dep Sch Y3'!L27</f>
        <v>-532.05497987722583</v>
      </c>
      <c r="M47" s="270">
        <f t="shared" si="2"/>
        <v>3828183.2299965625</v>
      </c>
      <c r="N47" s="271"/>
      <c r="O47" s="275"/>
      <c r="P47" s="271"/>
      <c r="Q47" s="271"/>
      <c r="R47" s="271"/>
      <c r="S47" s="271"/>
      <c r="T47" s="271"/>
    </row>
    <row r="48" spans="1:20" s="230" customFormat="1">
      <c r="A48" s="267">
        <f t="shared" si="3"/>
        <v>44469</v>
      </c>
      <c r="B48" s="269">
        <f>'EV Dep Sch Y1'!B48+'EV Dep Sch Y2'!B40+'EV Dep Sch Y3'!B28</f>
        <v>6197682.3753906237</v>
      </c>
      <c r="C48" s="269">
        <f>'EV Dep Sch Y1'!C48+'EV Dep Sch Y2'!C40+'EV Dep Sch Y3'!C28</f>
        <v>6197682.3753906237</v>
      </c>
      <c r="D48" s="269">
        <f>'EV Dep Sch Y1'!D48+'EV Dep Sch Y2'!D40+'EV Dep Sch Y3'!D28</f>
        <v>90507.897989482401</v>
      </c>
      <c r="E48" s="269">
        <f>'EV Dep Sch Y1'!E48+'EV Dep Sch Y2'!E40+'EV Dep Sch Y3'!E28</f>
        <v>103294.7062565104</v>
      </c>
      <c r="F48" s="269">
        <f>'EV Dep Sch Y1'!F48+'EV Dep Sch Y2'!F40+'EV Dep Sch Y3'!F28</f>
        <v>-2961334.4076232784</v>
      </c>
      <c r="G48" s="269">
        <f>'EV Dep Sch Y1'!G48+'EV Dep Sch Y2'!G40+'EV Dep Sch Y3'!G28</f>
        <v>-2335269.7634309903</v>
      </c>
      <c r="H48" s="269">
        <f>'EV Dep Sch Y1'!H48+'EV Dep Sch Y2'!H40+'EV Dep Sch Y3'!H28</f>
        <v>3236347.9677673453</v>
      </c>
      <c r="I48" s="269">
        <f>'EV Dep Sch Y1'!I48+'EV Dep Sch Y2'!I40+'EV Dep Sch Y3'!I28</f>
        <v>3862412.6119596334</v>
      </c>
      <c r="J48" s="269">
        <f>'EV Dep Sch Y1'!J48+'EV Dep Sch Y2'!J40+'EV Dep Sch Y3'!J28</f>
        <v>626064.6441922877</v>
      </c>
      <c r="K48" s="269">
        <f>'EV Dep Sch Y1'!K48+'EV Dep Sch Y2'!K40+'EV Dep Sch Y3'!K28</f>
        <v>-131473.57528038041</v>
      </c>
      <c r="L48" s="269">
        <f>'EV Dep Sch Y1'!L48+'EV Dep Sch Y2'!L40+'EV Dep Sch Y3'!L28</f>
        <v>-2685.2297360758698</v>
      </c>
      <c r="M48" s="270">
        <f t="shared" si="2"/>
        <v>3730939.036679253</v>
      </c>
      <c r="N48" s="271"/>
      <c r="O48" s="275"/>
      <c r="P48" s="271"/>
      <c r="Q48" s="271"/>
      <c r="R48" s="271"/>
      <c r="S48" s="271"/>
      <c r="T48" s="271"/>
    </row>
    <row r="49" spans="1:20" s="230" customFormat="1">
      <c r="A49" s="267">
        <f t="shared" si="3"/>
        <v>44500</v>
      </c>
      <c r="B49" s="269">
        <f>'EV Dep Sch Y1'!B49+'EV Dep Sch Y2'!B41+'EV Dep Sch Y3'!B29</f>
        <v>6201047.6585937487</v>
      </c>
      <c r="C49" s="269">
        <f>'EV Dep Sch Y1'!C49+'EV Dep Sch Y2'!C41+'EV Dep Sch Y3'!C29</f>
        <v>6201047.6585937487</v>
      </c>
      <c r="D49" s="269">
        <f>'EV Dep Sch Y1'!D49+'EV Dep Sch Y2'!D41+'EV Dep Sch Y3'!D29</f>
        <v>90576.577810852847</v>
      </c>
      <c r="E49" s="269">
        <f>'EV Dep Sch Y1'!E49+'EV Dep Sch Y2'!E41+'EV Dep Sch Y3'!E29</f>
        <v>103350.79430989582</v>
      </c>
      <c r="F49" s="269">
        <f>'EV Dep Sch Y1'!F49+'EV Dep Sch Y2'!F41+'EV Dep Sch Y3'!F29</f>
        <v>-3051910.9854341308</v>
      </c>
      <c r="G49" s="269">
        <f>'EV Dep Sch Y1'!G49+'EV Dep Sch Y2'!G41+'EV Dep Sch Y3'!G29</f>
        <v>-2438620.5577408862</v>
      </c>
      <c r="H49" s="269">
        <f>'EV Dep Sch Y1'!H49+'EV Dep Sch Y2'!H41+'EV Dep Sch Y3'!H29</f>
        <v>3149136.6731596179</v>
      </c>
      <c r="I49" s="269">
        <f>'EV Dep Sch Y1'!I49+'EV Dep Sch Y2'!I41+'EV Dep Sch Y3'!I29</f>
        <v>3762427.1008528625</v>
      </c>
      <c r="J49" s="269">
        <f>'EV Dep Sch Y1'!J49+'EV Dep Sch Y2'!J41+'EV Dep Sch Y3'!J29</f>
        <v>613290.42769324454</v>
      </c>
      <c r="K49" s="269">
        <f>'EV Dep Sch Y1'!K49+'EV Dep Sch Y2'!K41+'EV Dep Sch Y3'!K29</f>
        <v>-128790.98981558134</v>
      </c>
      <c r="L49" s="269">
        <f>'EV Dep Sch Y1'!L49+'EV Dep Sch Y2'!L41+'EV Dep Sch Y3'!L29</f>
        <v>-2682.585464799065</v>
      </c>
      <c r="M49" s="270">
        <f t="shared" si="2"/>
        <v>3633636.1110372813</v>
      </c>
      <c r="N49" s="271"/>
      <c r="O49" s="275"/>
      <c r="P49" s="271"/>
      <c r="Q49" s="271"/>
      <c r="R49" s="271"/>
      <c r="S49" s="271"/>
      <c r="T49" s="271"/>
    </row>
    <row r="50" spans="1:20" s="230" customFormat="1">
      <c r="A50" s="267">
        <f t="shared" si="3"/>
        <v>44530</v>
      </c>
      <c r="B50" s="269">
        <f>'EV Dep Sch Y1'!B50+'EV Dep Sch Y2'!B42+'EV Dep Sch Y3'!B30</f>
        <v>6204412.9417968737</v>
      </c>
      <c r="C50" s="269">
        <f>'EV Dep Sch Y1'!C50+'EV Dep Sch Y2'!C42+'EV Dep Sch Y3'!C30</f>
        <v>6204412.9417968737</v>
      </c>
      <c r="D50" s="269">
        <f>'EV Dep Sch Y1'!D50+'EV Dep Sch Y2'!D42+'EV Dep Sch Y3'!D30</f>
        <v>90645.257632223278</v>
      </c>
      <c r="E50" s="269">
        <f>'EV Dep Sch Y1'!E50+'EV Dep Sch Y2'!E42+'EV Dep Sch Y3'!E30</f>
        <v>103406.88236328123</v>
      </c>
      <c r="F50" s="269">
        <f>'EV Dep Sch Y1'!F50+'EV Dep Sch Y2'!F42+'EV Dep Sch Y3'!F30</f>
        <v>-3142556.2430663542</v>
      </c>
      <c r="G50" s="269">
        <f>'EV Dep Sch Y1'!G50+'EV Dep Sch Y2'!G42+'EV Dep Sch Y3'!G30</f>
        <v>-2542027.4401041679</v>
      </c>
      <c r="H50" s="269">
        <f>'EV Dep Sch Y1'!H50+'EV Dep Sch Y2'!H42+'EV Dep Sch Y3'!H30</f>
        <v>3061856.6987305195</v>
      </c>
      <c r="I50" s="269">
        <f>'EV Dep Sch Y1'!I50+'EV Dep Sch Y2'!I42+'EV Dep Sch Y3'!I30</f>
        <v>3662385.5016927058</v>
      </c>
      <c r="J50" s="269">
        <f>'EV Dep Sch Y1'!J50+'EV Dep Sch Y2'!J42+'EV Dep Sch Y3'!J30</f>
        <v>600528.80296218651</v>
      </c>
      <c r="K50" s="269">
        <f>'EV Dep Sch Y1'!K50+'EV Dep Sch Y2'!K42+'EV Dep Sch Y3'!K30</f>
        <v>-126111.04862205917</v>
      </c>
      <c r="L50" s="269">
        <f>'EV Dep Sch Y1'!L50+'EV Dep Sch Y2'!L42+'EV Dep Sch Y3'!L30</f>
        <v>-2679.9411935221729</v>
      </c>
      <c r="M50" s="270">
        <f t="shared" si="2"/>
        <v>3536274.4530706466</v>
      </c>
      <c r="N50" s="271"/>
      <c r="O50" s="275"/>
      <c r="P50" s="271"/>
      <c r="Q50" s="271"/>
      <c r="R50" s="271"/>
      <c r="S50" s="271"/>
      <c r="T50" s="271"/>
    </row>
    <row r="51" spans="1:20" s="230" customFormat="1">
      <c r="A51" s="267">
        <f t="shared" si="3"/>
        <v>44561</v>
      </c>
      <c r="B51" s="269">
        <f>'EV Dep Sch Y1'!B51+'EV Dep Sch Y2'!B43+'EV Dep Sch Y3'!B31</f>
        <v>6207778.2249999987</v>
      </c>
      <c r="C51" s="269">
        <f>'EV Dep Sch Y1'!C51+'EV Dep Sch Y2'!C43+'EV Dep Sch Y3'!C31</f>
        <v>6207778.2249999987</v>
      </c>
      <c r="D51" s="269">
        <f>'EV Dep Sch Y1'!D51+'EV Dep Sch Y2'!D43+'EV Dep Sch Y3'!D31</f>
        <v>90713.937453593724</v>
      </c>
      <c r="E51" s="269">
        <f>'EV Dep Sch Y1'!E51+'EV Dep Sch Y2'!E43+'EV Dep Sch Y3'!E31</f>
        <v>103462.97041666665</v>
      </c>
      <c r="F51" s="269">
        <f>'EV Dep Sch Y1'!F51+'EV Dep Sch Y2'!F43+'EV Dep Sch Y3'!F31</f>
        <v>-3233270.1805199478</v>
      </c>
      <c r="G51" s="269">
        <f>'EV Dep Sch Y1'!G51+'EV Dep Sch Y2'!G43+'EV Dep Sch Y3'!G31</f>
        <v>-2645490.4105208344</v>
      </c>
      <c r="H51" s="269">
        <f>'EV Dep Sch Y1'!H51+'EV Dep Sch Y2'!H43+'EV Dep Sch Y3'!H31</f>
        <v>2974508.0444800509</v>
      </c>
      <c r="I51" s="269">
        <f>'EV Dep Sch Y1'!I51+'EV Dep Sch Y2'!I43+'EV Dep Sch Y3'!I31</f>
        <v>3562287.8144791643</v>
      </c>
      <c r="J51" s="269">
        <f>'EV Dep Sch Y1'!J51+'EV Dep Sch Y2'!J43+'EV Dep Sch Y3'!J31</f>
        <v>587779.76999911363</v>
      </c>
      <c r="K51" s="269">
        <f>'EV Dep Sch Y1'!K51+'EV Dep Sch Y2'!K43+'EV Dep Sch Y3'!K31</f>
        <v>-123433.75169981386</v>
      </c>
      <c r="L51" s="269">
        <f>'EV Dep Sch Y1'!L51+'EV Dep Sch Y2'!L43+'EV Dep Sch Y3'!L31</f>
        <v>-2677.2969222453312</v>
      </c>
      <c r="M51" s="270">
        <f t="shared" si="2"/>
        <v>3438854.0627793507</v>
      </c>
      <c r="N51" s="271"/>
      <c r="O51" s="275"/>
      <c r="P51" s="271"/>
      <c r="Q51" s="271"/>
      <c r="R51" s="271"/>
      <c r="S51" s="271"/>
      <c r="T51" s="271"/>
    </row>
    <row r="52" spans="1:20" s="230" customFormat="1">
      <c r="A52" s="267">
        <f t="shared" si="3"/>
        <v>44592</v>
      </c>
      <c r="B52" s="269">
        <f>'EV Dep Sch Y1'!B52+'EV Dep Sch Y2'!B44+'EV Dep Sch Y3'!B32+'EV Dep Sch Y4'!B20</f>
        <v>6213527.2504720036</v>
      </c>
      <c r="C52" s="269">
        <f>'EV Dep Sch Y1'!C52+'EV Dep Sch Y2'!C44+'EV Dep Sch Y3'!C32+'EV Dep Sch Y4'!C20</f>
        <v>6213527.2504720036</v>
      </c>
      <c r="D52" s="269">
        <f>'EV Dep Sch Y1'!D52+'EV Dep Sch Y2'!D44+'EV Dep Sch Y3'!D32+'EV Dep Sch Y4'!D20</f>
        <v>73047.919756043266</v>
      </c>
      <c r="E52" s="269">
        <f>'EV Dep Sch Y1'!E52+'EV Dep Sch Y2'!E44+'EV Dep Sch Y3'!E32+'EV Dep Sch Y4'!E20</f>
        <v>103558.78750786674</v>
      </c>
      <c r="F52" s="269">
        <f>'EV Dep Sch Y1'!F52+'EV Dep Sch Y2'!F44+'EV Dep Sch Y3'!F32+'EV Dep Sch Y4'!F20</f>
        <v>-3306318.100275991</v>
      </c>
      <c r="G52" s="269">
        <f>'EV Dep Sch Y1'!G52+'EV Dep Sch Y2'!G44+'EV Dep Sch Y3'!G32+'EV Dep Sch Y4'!G20</f>
        <v>-2749049.1980287014</v>
      </c>
      <c r="H52" s="269">
        <f>'EV Dep Sch Y1'!H52+'EV Dep Sch Y2'!H44+'EV Dep Sch Y3'!H32+'EV Dep Sch Y4'!H20</f>
        <v>2907209.1501960126</v>
      </c>
      <c r="I52" s="269">
        <f>'EV Dep Sch Y1'!I52+'EV Dep Sch Y2'!I44+'EV Dep Sch Y3'!I32+'EV Dep Sch Y4'!I20</f>
        <v>3464478.0524433027</v>
      </c>
      <c r="J52" s="269">
        <f>'EV Dep Sch Y1'!J52+'EV Dep Sch Y2'!J44+'EV Dep Sch Y3'!J32+'EV Dep Sch Y4'!J20</f>
        <v>557268.90224728954</v>
      </c>
      <c r="K52" s="269">
        <f>'EV Dep Sch Y1'!K52+'EV Dep Sch Y2'!K44+'EV Dep Sch Y3'!K32+'EV Dep Sch Y4'!K20</f>
        <v>-117026.4694719308</v>
      </c>
      <c r="L52" s="269">
        <f>'EV Dep Sch Y1'!L52+'EV Dep Sch Y2'!L44+'EV Dep Sch Y3'!L32+'EV Dep Sch Y4'!L20</f>
        <v>-906.47476331530015</v>
      </c>
      <c r="M52" s="270">
        <f t="shared" si="2"/>
        <v>3347451.5829713717</v>
      </c>
      <c r="N52" s="271"/>
      <c r="O52" s="275"/>
      <c r="P52" s="271"/>
      <c r="Q52" s="271"/>
      <c r="R52" s="271"/>
      <c r="S52" s="271"/>
      <c r="T52" s="271"/>
    </row>
    <row r="53" spans="1:20" s="230" customFormat="1">
      <c r="A53" s="267">
        <f t="shared" si="3"/>
        <v>44620</v>
      </c>
      <c r="B53" s="269">
        <f>'EV Dep Sch Y1'!B53+'EV Dep Sch Y2'!B45+'EV Dep Sch Y3'!B33+'EV Dep Sch Y4'!B21</f>
        <v>6219276.2759440094</v>
      </c>
      <c r="C53" s="269">
        <f>'EV Dep Sch Y1'!C53+'EV Dep Sch Y2'!C45+'EV Dep Sch Y3'!C33+'EV Dep Sch Y4'!C21</f>
        <v>6219276.2759440094</v>
      </c>
      <c r="D53" s="269">
        <f>'EV Dep Sch Y1'!D53+'EV Dep Sch Y2'!D45+'EV Dep Sch Y3'!D33+'EV Dep Sch Y4'!D21</f>
        <v>73150.61172353696</v>
      </c>
      <c r="E53" s="269">
        <f>'EV Dep Sch Y1'!E53+'EV Dep Sch Y2'!E45+'EV Dep Sch Y3'!E33+'EV Dep Sch Y4'!E21</f>
        <v>103654.60459906682</v>
      </c>
      <c r="F53" s="269">
        <f>'EV Dep Sch Y1'!F53+'EV Dep Sch Y2'!F45+'EV Dep Sch Y3'!F33+'EV Dep Sch Y4'!F21</f>
        <v>-3379468.7119995276</v>
      </c>
      <c r="G53" s="269">
        <f>'EV Dep Sch Y1'!G53+'EV Dep Sch Y2'!G45+'EV Dep Sch Y3'!G33+'EV Dep Sch Y4'!G21</f>
        <v>-2852703.8026277684</v>
      </c>
      <c r="H53" s="269">
        <f>'EV Dep Sch Y1'!H53+'EV Dep Sch Y2'!H45+'EV Dep Sch Y3'!H33+'EV Dep Sch Y4'!H21</f>
        <v>2839807.5639444813</v>
      </c>
      <c r="I53" s="269">
        <f>'EV Dep Sch Y1'!I53+'EV Dep Sch Y2'!I45+'EV Dep Sch Y3'!I33+'EV Dep Sch Y4'!I21</f>
        <v>3366572.4733162406</v>
      </c>
      <c r="J53" s="269">
        <f>'EV Dep Sch Y1'!J53+'EV Dep Sch Y2'!J45+'EV Dep Sch Y3'!J33+'EV Dep Sch Y4'!J21</f>
        <v>526764.90937175916</v>
      </c>
      <c r="K53" s="269">
        <f>'EV Dep Sch Y1'!K53+'EV Dep Sch Y2'!K45+'EV Dep Sch Y3'!K33+'EV Dep Sch Y4'!K21</f>
        <v>-110620.63096806942</v>
      </c>
      <c r="L53" s="269">
        <f>'EV Dep Sch Y1'!L53+'EV Dep Sch Y2'!L45+'EV Dep Sch Y3'!L33+'EV Dep Sch Y4'!L21</f>
        <v>4650.9165262897141</v>
      </c>
      <c r="M53" s="270">
        <f t="shared" si="2"/>
        <v>3255951.8423481714</v>
      </c>
      <c r="N53" s="271"/>
      <c r="O53" s="275"/>
      <c r="P53" s="271"/>
      <c r="Q53" s="271"/>
      <c r="R53" s="271"/>
      <c r="S53" s="271"/>
      <c r="T53" s="271"/>
    </row>
    <row r="54" spans="1:20" s="230" customFormat="1">
      <c r="A54" s="267">
        <f t="shared" si="3"/>
        <v>44651</v>
      </c>
      <c r="B54" s="269">
        <f>'EV Dep Sch Y1'!B54+'EV Dep Sch Y2'!B46+'EV Dep Sch Y3'!B34+'EV Dep Sch Y4'!B22</f>
        <v>6225025.3014160143</v>
      </c>
      <c r="C54" s="269">
        <f>'EV Dep Sch Y1'!C54+'EV Dep Sch Y2'!C46+'EV Dep Sch Y3'!C34+'EV Dep Sch Y4'!C22</f>
        <v>6225025.3014160143</v>
      </c>
      <c r="D54" s="269">
        <f>'EV Dep Sch Y1'!D54+'EV Dep Sch Y2'!D46+'EV Dep Sch Y3'!D34+'EV Dep Sch Y4'!D22</f>
        <v>73253.303691030655</v>
      </c>
      <c r="E54" s="269">
        <f>'EV Dep Sch Y1'!E54+'EV Dep Sch Y2'!E46+'EV Dep Sch Y3'!E34+'EV Dep Sch Y4'!E22</f>
        <v>103750.42169026691</v>
      </c>
      <c r="F54" s="269">
        <f>'EV Dep Sch Y1'!F54+'EV Dep Sch Y2'!F46+'EV Dep Sch Y3'!F34+'EV Dep Sch Y4'!F22</f>
        <v>-3452722.0156905581</v>
      </c>
      <c r="G54" s="269">
        <f>'EV Dep Sch Y1'!G54+'EV Dep Sch Y2'!G46+'EV Dep Sch Y3'!G34+'EV Dep Sch Y4'!G22</f>
        <v>-2956454.2243180354</v>
      </c>
      <c r="H54" s="269">
        <f>'EV Dep Sch Y1'!H54+'EV Dep Sch Y2'!H46+'EV Dep Sch Y3'!H34+'EV Dep Sch Y4'!H22</f>
        <v>2772303.2857254562</v>
      </c>
      <c r="I54" s="269">
        <f>'EV Dep Sch Y1'!I54+'EV Dep Sch Y2'!I46+'EV Dep Sch Y3'!I34+'EV Dep Sch Y4'!I22</f>
        <v>3268571.0770979789</v>
      </c>
      <c r="J54" s="269">
        <f>'EV Dep Sch Y1'!J54+'EV Dep Sch Y2'!J46+'EV Dep Sch Y3'!J34+'EV Dep Sch Y4'!J22</f>
        <v>496267.7913725226</v>
      </c>
      <c r="K54" s="269">
        <f>'EV Dep Sch Y1'!K54+'EV Dep Sch Y2'!K46+'EV Dep Sch Y3'!K34+'EV Dep Sch Y4'!K22</f>
        <v>-104216.23618822974</v>
      </c>
      <c r="L54" s="269">
        <f>'EV Dep Sch Y1'!L54+'EV Dep Sch Y2'!L46+'EV Dep Sch Y3'!L34+'EV Dep Sch Y4'!L22</f>
        <v>10112.490724694726</v>
      </c>
      <c r="M54" s="270">
        <f t="shared" si="2"/>
        <v>3164354.8409097493</v>
      </c>
      <c r="N54" s="271"/>
      <c r="O54" s="275"/>
      <c r="P54" s="271"/>
      <c r="Q54" s="271"/>
      <c r="R54" s="271"/>
      <c r="S54" s="271"/>
      <c r="T54" s="271"/>
    </row>
    <row r="55" spans="1:20" s="230" customFormat="1">
      <c r="A55" s="267">
        <f t="shared" si="3"/>
        <v>44681</v>
      </c>
      <c r="B55" s="269">
        <f>'EV Dep Sch Y1'!B55+'EV Dep Sch Y2'!B47+'EV Dep Sch Y3'!B35+'EV Dep Sch Y4'!B23</f>
        <v>6230774.3268880192</v>
      </c>
      <c r="C55" s="269">
        <f>'EV Dep Sch Y1'!C55+'EV Dep Sch Y2'!C47+'EV Dep Sch Y3'!C35+'EV Dep Sch Y4'!C23</f>
        <v>6230774.3268880192</v>
      </c>
      <c r="D55" s="269">
        <f>'EV Dep Sch Y1'!D55+'EV Dep Sch Y2'!D47+'EV Dep Sch Y3'!D35+'EV Dep Sch Y4'!D23</f>
        <v>73355.995658524349</v>
      </c>
      <c r="E55" s="269">
        <f>'EV Dep Sch Y1'!E55+'EV Dep Sch Y2'!E47+'EV Dep Sch Y3'!E35+'EV Dep Sch Y4'!E23</f>
        <v>103846.23878146699</v>
      </c>
      <c r="F55" s="269">
        <f>'EV Dep Sch Y1'!F55+'EV Dep Sch Y2'!F47+'EV Dep Sch Y3'!F35+'EV Dep Sch Y4'!F23</f>
        <v>-3526078.0113490825</v>
      </c>
      <c r="G55" s="269">
        <f>'EV Dep Sch Y1'!G55+'EV Dep Sch Y2'!G47+'EV Dep Sch Y3'!G35+'EV Dep Sch Y4'!G23</f>
        <v>-3060300.4630995025</v>
      </c>
      <c r="H55" s="269">
        <f>'EV Dep Sch Y1'!H55+'EV Dep Sch Y2'!H47+'EV Dep Sch Y3'!H35+'EV Dep Sch Y4'!H23</f>
        <v>2704696.3155389372</v>
      </c>
      <c r="I55" s="269">
        <f>'EV Dep Sch Y1'!I55+'EV Dep Sch Y2'!I47+'EV Dep Sch Y3'!I35+'EV Dep Sch Y4'!I23</f>
        <v>3170473.8637885172</v>
      </c>
      <c r="J55" s="269">
        <f>'EV Dep Sch Y1'!J55+'EV Dep Sch Y2'!J47+'EV Dep Sch Y3'!J35+'EV Dep Sch Y4'!J23</f>
        <v>465777.54824957968</v>
      </c>
      <c r="K55" s="269">
        <f>'EV Dep Sch Y1'!K55+'EV Dep Sch Y2'!K47+'EV Dep Sch Y3'!K35+'EV Dep Sch Y4'!K23</f>
        <v>-97813.285132411722</v>
      </c>
      <c r="L55" s="269">
        <f>'EV Dep Sch Y1'!L55+'EV Dep Sch Y2'!L47+'EV Dep Sch Y3'!L35+'EV Dep Sch Y4'!L23</f>
        <v>15478.247831899578</v>
      </c>
      <c r="M55" s="270">
        <f t="shared" si="2"/>
        <v>3072660.5786561053</v>
      </c>
      <c r="N55" s="271"/>
      <c r="O55" s="275"/>
      <c r="P55" s="271"/>
      <c r="Q55" s="271"/>
      <c r="R55" s="271"/>
      <c r="S55" s="271"/>
      <c r="T55" s="271"/>
    </row>
    <row r="56" spans="1:20" s="230" customFormat="1">
      <c r="A56" s="267">
        <f t="shared" si="3"/>
        <v>44712</v>
      </c>
      <c r="B56" s="269">
        <f>'EV Dep Sch Y1'!B56+'EV Dep Sch Y2'!B48+'EV Dep Sch Y3'!B36+'EV Dep Sch Y4'!B24</f>
        <v>6236523.352360025</v>
      </c>
      <c r="C56" s="269">
        <f>'EV Dep Sch Y1'!C56+'EV Dep Sch Y2'!C48+'EV Dep Sch Y3'!C36+'EV Dep Sch Y4'!C24</f>
        <v>6236523.352360025</v>
      </c>
      <c r="D56" s="269">
        <f>'EV Dep Sch Y1'!D56+'EV Dep Sch Y2'!D48+'EV Dep Sch Y3'!D36+'EV Dep Sch Y4'!D24</f>
        <v>73458.687626018043</v>
      </c>
      <c r="E56" s="269">
        <f>'EV Dep Sch Y1'!E56+'EV Dep Sch Y2'!E48+'EV Dep Sch Y3'!E36+'EV Dep Sch Y4'!E24</f>
        <v>103942.05587266709</v>
      </c>
      <c r="F56" s="269">
        <f>'EV Dep Sch Y1'!F56+'EV Dep Sch Y2'!F48+'EV Dep Sch Y3'!F36+'EV Dep Sch Y4'!F24</f>
        <v>-3599536.6989751002</v>
      </c>
      <c r="G56" s="269">
        <f>'EV Dep Sch Y1'!G56+'EV Dep Sch Y2'!G48+'EV Dep Sch Y3'!G36+'EV Dep Sch Y4'!G24</f>
        <v>-3164242.5189721701</v>
      </c>
      <c r="H56" s="269">
        <f>'EV Dep Sch Y1'!H56+'EV Dep Sch Y2'!H48+'EV Dep Sch Y3'!H36+'EV Dep Sch Y4'!H24</f>
        <v>2636986.6533849249</v>
      </c>
      <c r="I56" s="269">
        <f>'EV Dep Sch Y1'!I56+'EV Dep Sch Y2'!I48+'EV Dep Sch Y3'!I36+'EV Dep Sch Y4'!I24</f>
        <v>3072280.833387855</v>
      </c>
      <c r="J56" s="269">
        <f>'EV Dep Sch Y1'!J56+'EV Dep Sch Y2'!J48+'EV Dep Sch Y3'!J36+'EV Dep Sch Y4'!J24</f>
        <v>435294.18000293005</v>
      </c>
      <c r="K56" s="269">
        <f>'EV Dep Sch Y1'!K56+'EV Dep Sch Y2'!K48+'EV Dep Sch Y3'!K36+'EV Dep Sch Y4'!K24</f>
        <v>-91411.777800615309</v>
      </c>
      <c r="L56" s="269">
        <f>'EV Dep Sch Y1'!L56+'EV Dep Sch Y2'!L48+'EV Dep Sch Y3'!L36+'EV Dep Sch Y4'!L24</f>
        <v>-6401.5073317964125</v>
      </c>
      <c r="M56" s="270">
        <f t="shared" si="2"/>
        <v>2980869.0555872396</v>
      </c>
      <c r="N56" s="271"/>
      <c r="O56" s="275"/>
      <c r="P56" s="271"/>
      <c r="Q56" s="271"/>
      <c r="R56" s="271"/>
      <c r="S56" s="271"/>
      <c r="T56" s="271"/>
    </row>
    <row r="57" spans="1:20" s="230" customFormat="1">
      <c r="A57" s="267">
        <f t="shared" si="3"/>
        <v>44742</v>
      </c>
      <c r="B57" s="269">
        <f>'EV Dep Sch Y1'!B57+'EV Dep Sch Y2'!B49+'EV Dep Sch Y3'!B37+'EV Dep Sch Y4'!B25</f>
        <v>6242272.3778320299</v>
      </c>
      <c r="C57" s="269">
        <f>'EV Dep Sch Y1'!C57+'EV Dep Sch Y2'!C49+'EV Dep Sch Y3'!C37+'EV Dep Sch Y4'!C25</f>
        <v>6242272.3778320299</v>
      </c>
      <c r="D57" s="269">
        <f>'EV Dep Sch Y1'!D57+'EV Dep Sch Y2'!D49+'EV Dep Sch Y3'!D37+'EV Dep Sch Y4'!D25</f>
        <v>73458.687626018043</v>
      </c>
      <c r="E57" s="269">
        <f>'EV Dep Sch Y1'!E57+'EV Dep Sch Y2'!E49+'EV Dep Sch Y3'!E37+'EV Dep Sch Y4'!E25</f>
        <v>104037.87296386716</v>
      </c>
      <c r="F57" s="269">
        <f>'EV Dep Sch Y1'!F57+'EV Dep Sch Y2'!F49+'EV Dep Sch Y3'!F37+'EV Dep Sch Y4'!F25</f>
        <v>-3672995.3866011179</v>
      </c>
      <c r="G57" s="269">
        <f>'EV Dep Sch Y1'!G57+'EV Dep Sch Y2'!G49+'EV Dep Sch Y3'!G37+'EV Dep Sch Y4'!G25</f>
        <v>-3268280.3919360372</v>
      </c>
      <c r="H57" s="269">
        <f>'EV Dep Sch Y1'!H57+'EV Dep Sch Y2'!H49+'EV Dep Sch Y3'!H37+'EV Dep Sch Y4'!H25</f>
        <v>2569276.991230912</v>
      </c>
      <c r="I57" s="269">
        <f>'EV Dep Sch Y1'!I57+'EV Dep Sch Y2'!I49+'EV Dep Sch Y3'!I37+'EV Dep Sch Y4'!I25</f>
        <v>2973991.9858959927</v>
      </c>
      <c r="J57" s="269">
        <f>'EV Dep Sch Y1'!J57+'EV Dep Sch Y2'!J49+'EV Dep Sch Y3'!J37+'EV Dep Sch Y4'!J25</f>
        <v>404714.99466508045</v>
      </c>
      <c r="K57" s="269">
        <f>'EV Dep Sch Y1'!K57+'EV Dep Sch Y2'!K49+'EV Dep Sch Y3'!K37+'EV Dep Sch Y4'!K25</f>
        <v>-84990.1488796669</v>
      </c>
      <c r="L57" s="269">
        <f>'EV Dep Sch Y1'!L57+'EV Dep Sch Y2'!L49+'EV Dep Sch Y3'!L37+'EV Dep Sch Y4'!L25</f>
        <v>-6421.6289209484075</v>
      </c>
      <c r="M57" s="270">
        <f t="shared" si="2"/>
        <v>2889001.8370163259</v>
      </c>
      <c r="N57" s="271"/>
      <c r="O57" s="275"/>
      <c r="P57" s="271"/>
      <c r="Q57" s="271"/>
      <c r="R57" s="271"/>
      <c r="S57" s="271"/>
      <c r="T57" s="271"/>
    </row>
    <row r="58" spans="1:20" s="230" customFormat="1">
      <c r="A58" s="267">
        <f t="shared" si="3"/>
        <v>44773</v>
      </c>
      <c r="B58" s="269">
        <f>'EV Dep Sch Y1'!B58+'EV Dep Sch Y2'!B50+'EV Dep Sch Y3'!B38+'EV Dep Sch Y4'!B26</f>
        <v>6248021.4033040348</v>
      </c>
      <c r="C58" s="269">
        <f>'EV Dep Sch Y1'!C58+'EV Dep Sch Y2'!C50+'EV Dep Sch Y3'!C38+'EV Dep Sch Y4'!C26</f>
        <v>6248021.4033040348</v>
      </c>
      <c r="D58" s="269">
        <f>'EV Dep Sch Y1'!D58+'EV Dep Sch Y2'!D50+'EV Dep Sch Y3'!D38+'EV Dep Sch Y4'!D26</f>
        <v>73458.687626018043</v>
      </c>
      <c r="E58" s="269">
        <f>'EV Dep Sch Y1'!E58+'EV Dep Sch Y2'!E50+'EV Dep Sch Y3'!E38+'EV Dep Sch Y4'!E26</f>
        <v>104133.69005506726</v>
      </c>
      <c r="F58" s="269">
        <f>'EV Dep Sch Y1'!F58+'EV Dep Sch Y2'!F50+'EV Dep Sch Y3'!F38+'EV Dep Sch Y4'!F26</f>
        <v>-3746454.0742271352</v>
      </c>
      <c r="G58" s="269">
        <f>'EV Dep Sch Y1'!G58+'EV Dep Sch Y2'!G50+'EV Dep Sch Y3'!G38+'EV Dep Sch Y4'!G26</f>
        <v>-3372414.0819911049</v>
      </c>
      <c r="H58" s="269">
        <f>'EV Dep Sch Y1'!H58+'EV Dep Sch Y2'!H50+'EV Dep Sch Y3'!H38+'EV Dep Sch Y4'!H26</f>
        <v>2501567.3290768997</v>
      </c>
      <c r="I58" s="269">
        <f>'EV Dep Sch Y1'!I58+'EV Dep Sch Y2'!I50+'EV Dep Sch Y3'!I38+'EV Dep Sch Y4'!I26</f>
        <v>2875607.3213129304</v>
      </c>
      <c r="J58" s="269">
        <f>'EV Dep Sch Y1'!J58+'EV Dep Sch Y2'!J50+'EV Dep Sch Y3'!J38+'EV Dep Sch Y4'!J26</f>
        <v>374039.99223603087</v>
      </c>
      <c r="K58" s="269">
        <f>'EV Dep Sch Y1'!K58+'EV Dep Sch Y2'!K50+'EV Dep Sch Y3'!K38+'EV Dep Sch Y4'!K26</f>
        <v>-78548.398369566465</v>
      </c>
      <c r="L58" s="269">
        <f>'EV Dep Sch Y1'!L58+'EV Dep Sch Y2'!L50+'EV Dep Sch Y3'!L38+'EV Dep Sch Y4'!L26</f>
        <v>-6441.7505101004263</v>
      </c>
      <c r="M58" s="270">
        <f t="shared" si="2"/>
        <v>2797058.9229433639</v>
      </c>
      <c r="N58" s="271"/>
      <c r="O58" s="275"/>
      <c r="P58" s="271"/>
      <c r="Q58" s="271"/>
      <c r="R58" s="271"/>
      <c r="S58" s="271"/>
      <c r="T58" s="271"/>
    </row>
    <row r="59" spans="1:20" s="230" customFormat="1">
      <c r="A59" s="267">
        <f t="shared" si="3"/>
        <v>44804</v>
      </c>
      <c r="B59" s="269">
        <f>'EV Dep Sch Y1'!B59+'EV Dep Sch Y2'!B51+'EV Dep Sch Y3'!B39+'EV Dep Sch Y4'!B27</f>
        <v>6253770.4287760407</v>
      </c>
      <c r="C59" s="269">
        <f>'EV Dep Sch Y1'!C59+'EV Dep Sch Y2'!C51+'EV Dep Sch Y3'!C39+'EV Dep Sch Y4'!C27</f>
        <v>6253770.4287760407</v>
      </c>
      <c r="D59" s="269">
        <f>'EV Dep Sch Y1'!D59+'EV Dep Sch Y2'!D51+'EV Dep Sch Y3'!D39+'EV Dep Sch Y4'!D27</f>
        <v>73458.687626018043</v>
      </c>
      <c r="E59" s="269">
        <f>'EV Dep Sch Y1'!E59+'EV Dep Sch Y2'!E51+'EV Dep Sch Y3'!E39+'EV Dep Sch Y4'!E27</f>
        <v>104229.50714626734</v>
      </c>
      <c r="F59" s="269">
        <f>'EV Dep Sch Y1'!F59+'EV Dep Sch Y2'!F51+'EV Dep Sch Y3'!F39+'EV Dep Sch Y4'!F27</f>
        <v>-3819912.7618531529</v>
      </c>
      <c r="G59" s="269">
        <f>'EV Dep Sch Y1'!G59+'EV Dep Sch Y2'!G51+'EV Dep Sch Y3'!G39+'EV Dep Sch Y4'!G27</f>
        <v>-3476643.5891373721</v>
      </c>
      <c r="H59" s="269">
        <f>'EV Dep Sch Y1'!H59+'EV Dep Sch Y2'!H51+'EV Dep Sch Y3'!H39+'EV Dep Sch Y4'!H27</f>
        <v>2433857.6669228873</v>
      </c>
      <c r="I59" s="269">
        <f>'EV Dep Sch Y1'!I59+'EV Dep Sch Y2'!I51+'EV Dep Sch Y3'!I39+'EV Dep Sch Y4'!I27</f>
        <v>2777126.8396386681</v>
      </c>
      <c r="J59" s="269">
        <f>'EV Dep Sch Y1'!J59+'EV Dep Sch Y2'!J51+'EV Dep Sch Y3'!J39+'EV Dep Sch Y4'!J27</f>
        <v>343269.17271578114</v>
      </c>
      <c r="K59" s="269">
        <f>'EV Dep Sch Y1'!K59+'EV Dep Sch Y2'!K51+'EV Dep Sch Y3'!K39+'EV Dep Sch Y4'!K27</f>
        <v>-72086.526270314032</v>
      </c>
      <c r="L59" s="269">
        <f>'EV Dep Sch Y1'!L59+'EV Dep Sch Y2'!L51+'EV Dep Sch Y3'!L39+'EV Dep Sch Y4'!L27</f>
        <v>-6461.8720992524359</v>
      </c>
      <c r="M59" s="270">
        <f t="shared" si="2"/>
        <v>2705040.313368354</v>
      </c>
      <c r="N59" s="271"/>
      <c r="O59" s="271"/>
      <c r="P59" s="271"/>
      <c r="Q59" s="271"/>
      <c r="R59" s="271"/>
      <c r="S59" s="271"/>
      <c r="T59" s="271"/>
    </row>
    <row r="60" spans="1:20" s="230" customFormat="1">
      <c r="A60" s="267">
        <f t="shared" si="3"/>
        <v>44834</v>
      </c>
      <c r="B60" s="269">
        <f>'EV Dep Sch Y1'!B60+'EV Dep Sch Y2'!B52+'EV Dep Sch Y3'!B40+'EV Dep Sch Y4'!B28</f>
        <v>6259519.4542480456</v>
      </c>
      <c r="C60" s="269">
        <f>'EV Dep Sch Y1'!C60+'EV Dep Sch Y2'!C52+'EV Dep Sch Y3'!C40+'EV Dep Sch Y4'!C28</f>
        <v>6259519.4542480456</v>
      </c>
      <c r="D60" s="269">
        <f>'EV Dep Sch Y1'!D60+'EV Dep Sch Y2'!D52+'EV Dep Sch Y3'!D40+'EV Dep Sch Y4'!D28</f>
        <v>65836.841438935124</v>
      </c>
      <c r="E60" s="269">
        <f>'EV Dep Sch Y1'!E60+'EV Dep Sch Y2'!E52+'EV Dep Sch Y3'!E40+'EV Dep Sch Y4'!E28</f>
        <v>104325.32423746743</v>
      </c>
      <c r="F60" s="269">
        <f>'EV Dep Sch Y1'!F60+'EV Dep Sch Y2'!F52+'EV Dep Sch Y3'!F40+'EV Dep Sch Y4'!F28</f>
        <v>-3885749.6032920885</v>
      </c>
      <c r="G60" s="269">
        <f>'EV Dep Sch Y1'!G60+'EV Dep Sch Y2'!G52+'EV Dep Sch Y3'!G40+'EV Dep Sch Y4'!G28</f>
        <v>-3580968.9133748398</v>
      </c>
      <c r="H60" s="269">
        <f>'EV Dep Sch Y1'!H60+'EV Dep Sch Y2'!H52+'EV Dep Sch Y3'!H40+'EV Dep Sch Y4'!H28</f>
        <v>2373769.8509559571</v>
      </c>
      <c r="I60" s="269">
        <f>'EV Dep Sch Y1'!I60+'EV Dep Sch Y2'!I52+'EV Dep Sch Y3'!I40+'EV Dep Sch Y4'!I28</f>
        <v>2678550.5408732058</v>
      </c>
      <c r="J60" s="269">
        <f>'EV Dep Sch Y1'!J60+'EV Dep Sch Y2'!J52+'EV Dep Sch Y3'!J40+'EV Dep Sch Y4'!J28</f>
        <v>304780.68991724844</v>
      </c>
      <c r="K60" s="269">
        <f>'EV Dep Sch Y1'!K60+'EV Dep Sch Y2'!K52+'EV Dep Sch Y3'!K40+'EV Dep Sch Y4'!K28</f>
        <v>-64003.944882622171</v>
      </c>
      <c r="L60" s="269">
        <f>'EV Dep Sch Y1'!L60+'EV Dep Sch Y2'!L52+'EV Dep Sch Y3'!L40+'EV Dep Sch Y4'!L28</f>
        <v>-8082.5813876918683</v>
      </c>
      <c r="M60" s="270">
        <f t="shared" si="2"/>
        <v>2614546.5959905838</v>
      </c>
      <c r="N60" s="271"/>
      <c r="O60" s="271"/>
      <c r="P60" s="271"/>
      <c r="Q60" s="271"/>
      <c r="R60" s="271"/>
      <c r="S60" s="271"/>
      <c r="T60" s="271"/>
    </row>
    <row r="61" spans="1:20" s="230" customFormat="1">
      <c r="A61" s="267">
        <f t="shared" si="3"/>
        <v>44865</v>
      </c>
      <c r="B61" s="269">
        <f>'EV Dep Sch Y1'!B61+'EV Dep Sch Y2'!B53+'EV Dep Sch Y3'!B41+'EV Dep Sch Y4'!B29</f>
        <v>6265268.4797200505</v>
      </c>
      <c r="C61" s="269">
        <f>'EV Dep Sch Y1'!C61+'EV Dep Sch Y2'!C53+'EV Dep Sch Y3'!C41+'EV Dep Sch Y4'!C29</f>
        <v>6265268.4797200505</v>
      </c>
      <c r="D61" s="269">
        <f>'EV Dep Sch Y1'!D61+'EV Dep Sch Y2'!D53+'EV Dep Sch Y3'!D41+'EV Dep Sch Y4'!D29</f>
        <v>65954.169467109634</v>
      </c>
      <c r="E61" s="269">
        <f>'EV Dep Sch Y1'!E61+'EV Dep Sch Y2'!E53+'EV Dep Sch Y3'!E41+'EV Dep Sch Y4'!E29</f>
        <v>104421.14132866752</v>
      </c>
      <c r="F61" s="269">
        <f>'EV Dep Sch Y1'!F61+'EV Dep Sch Y2'!F53+'EV Dep Sch Y3'!F41+'EV Dep Sch Y4'!F29</f>
        <v>-3951703.7727591973</v>
      </c>
      <c r="G61" s="269">
        <f>'EV Dep Sch Y1'!G61+'EV Dep Sch Y2'!G53+'EV Dep Sch Y3'!G41+'EV Dep Sch Y4'!G29</f>
        <v>-3685390.0547035076</v>
      </c>
      <c r="H61" s="269">
        <f>'EV Dep Sch Y1'!H61+'EV Dep Sch Y2'!H53+'EV Dep Sch Y3'!H41+'EV Dep Sch Y4'!H29</f>
        <v>2313564.7069608537</v>
      </c>
      <c r="I61" s="269">
        <f>'EV Dep Sch Y1'!I61+'EV Dep Sch Y2'!I53+'EV Dep Sch Y3'!I41+'EV Dep Sch Y4'!I29</f>
        <v>2579878.4250165434</v>
      </c>
      <c r="J61" s="269">
        <f>'EV Dep Sch Y1'!J61+'EV Dep Sch Y2'!J53+'EV Dep Sch Y3'!J41+'EV Dep Sch Y4'!J29</f>
        <v>266313.71805569017</v>
      </c>
      <c r="K61" s="269">
        <f>'EV Dep Sch Y1'!K61+'EV Dep Sch Y2'!K53+'EV Dep Sch Y3'!K41+'EV Dep Sch Y4'!K29</f>
        <v>-55925.88079169493</v>
      </c>
      <c r="L61" s="269">
        <f>'EV Dep Sch Y1'!L61+'EV Dep Sch Y2'!L53+'EV Dep Sch Y3'!L41+'EV Dep Sch Y4'!L29</f>
        <v>-8078.0640909272352</v>
      </c>
      <c r="M61" s="270">
        <f t="shared" si="2"/>
        <v>2523952.5442248485</v>
      </c>
      <c r="N61" s="271"/>
      <c r="O61" s="271"/>
      <c r="P61" s="271"/>
      <c r="Q61" s="271"/>
      <c r="R61" s="271"/>
      <c r="S61" s="271"/>
      <c r="T61" s="271"/>
    </row>
    <row r="62" spans="1:20" s="230" customFormat="1" ht="15">
      <c r="A62" s="267">
        <f t="shared" si="3"/>
        <v>44895</v>
      </c>
      <c r="B62" s="269">
        <f>'EV Dep Sch Y1'!B62+'EV Dep Sch Y2'!B54+'EV Dep Sch Y3'!B42+'EV Dep Sch Y4'!B30</f>
        <v>6271017.5051920563</v>
      </c>
      <c r="C62" s="269">
        <f>'EV Dep Sch Y1'!C62+'EV Dep Sch Y2'!C54+'EV Dep Sch Y3'!C42+'EV Dep Sch Y4'!C30</f>
        <v>6271017.5051920563</v>
      </c>
      <c r="D62" s="269">
        <f>'EV Dep Sch Y1'!D62+'EV Dep Sch Y2'!D54+'EV Dep Sch Y3'!D42+'EV Dep Sch Y4'!D30</f>
        <v>66071.497495284144</v>
      </c>
      <c r="E62" s="269">
        <f>'EV Dep Sch Y1'!E62+'EV Dep Sch Y2'!E54+'EV Dep Sch Y3'!E42+'EV Dep Sch Y4'!E30</f>
        <v>104516.9584198676</v>
      </c>
      <c r="F62" s="269">
        <f>'EV Dep Sch Y1'!F62+'EV Dep Sch Y2'!F54+'EV Dep Sch Y3'!F42+'EV Dep Sch Y4'!F30</f>
        <v>-4017775.2702544816</v>
      </c>
      <c r="G62" s="269">
        <f>'EV Dep Sch Y1'!G62+'EV Dep Sch Y2'!G54+'EV Dep Sch Y3'!G42+'EV Dep Sch Y4'!G30</f>
        <v>-3789907.0131233749</v>
      </c>
      <c r="H62" s="269">
        <f>'EV Dep Sch Y1'!H62+'EV Dep Sch Y2'!H54+'EV Dep Sch Y3'!H42+'EV Dep Sch Y4'!H30</f>
        <v>2253242.2349375742</v>
      </c>
      <c r="I62" s="269">
        <f>'EV Dep Sch Y1'!I62+'EV Dep Sch Y2'!I54+'EV Dep Sch Y3'!I42+'EV Dep Sch Y4'!I30</f>
        <v>2481110.4920686809</v>
      </c>
      <c r="J62" s="269">
        <f>'EV Dep Sch Y1'!J62+'EV Dep Sch Y2'!J54+'EV Dep Sch Y3'!J42+'EV Dep Sch Y4'!J30</f>
        <v>227868.25713110637</v>
      </c>
      <c r="K62" s="269">
        <f>'EV Dep Sch Y1'!K62+'EV Dep Sch Y2'!K54+'EV Dep Sch Y3'!K42+'EV Dep Sch Y4'!K30</f>
        <v>-47852.333997532332</v>
      </c>
      <c r="L62" s="269">
        <f>'EV Dep Sch Y1'!L62+'EV Dep Sch Y2'!L54+'EV Dep Sch Y3'!L42+'EV Dep Sch Y4'!L30</f>
        <v>-8073.5467941626002</v>
      </c>
      <c r="M62" s="270">
        <f t="shared" si="2"/>
        <v>2433258.1580711487</v>
      </c>
      <c r="N62" s="97"/>
      <c r="O62" s="271"/>
      <c r="P62" s="271"/>
      <c r="Q62" s="271"/>
      <c r="R62" s="271"/>
      <c r="S62" s="271"/>
      <c r="T62" s="271"/>
    </row>
    <row r="63" spans="1:20" s="230" customFormat="1" ht="15">
      <c r="A63" s="267">
        <f t="shared" si="3"/>
        <v>44926</v>
      </c>
      <c r="B63" s="269">
        <f>'EV Dep Sch Y1'!B63+'EV Dep Sch Y2'!B55+'EV Dep Sch Y3'!B43+'EV Dep Sch Y4'!B31</f>
        <v>6276766.5306640612</v>
      </c>
      <c r="C63" s="269">
        <f>'EV Dep Sch Y1'!C63+'EV Dep Sch Y2'!C55+'EV Dep Sch Y3'!C43+'EV Dep Sch Y4'!C31</f>
        <v>6276766.5306640612</v>
      </c>
      <c r="D63" s="269">
        <f>'EV Dep Sch Y1'!D63+'EV Dep Sch Y2'!D55+'EV Dep Sch Y3'!D43+'EV Dep Sch Y4'!D31</f>
        <v>66188.82552345864</v>
      </c>
      <c r="E63" s="269">
        <f>'EV Dep Sch Y1'!E63+'EV Dep Sch Y2'!E55+'EV Dep Sch Y3'!E43+'EV Dep Sch Y4'!E31</f>
        <v>104612.7755110677</v>
      </c>
      <c r="F63" s="269">
        <f>'EV Dep Sch Y1'!F63+'EV Dep Sch Y2'!F55+'EV Dep Sch Y3'!F43+'EV Dep Sch Y4'!F31</f>
        <v>-4083964.0957779395</v>
      </c>
      <c r="G63" s="269">
        <f>'EV Dep Sch Y1'!G63+'EV Dep Sch Y2'!G55+'EV Dep Sch Y3'!G43+'EV Dep Sch Y4'!G31</f>
        <v>-3894519.7886344432</v>
      </c>
      <c r="H63" s="269">
        <f>'EV Dep Sch Y1'!H63+'EV Dep Sch Y2'!H55+'EV Dep Sch Y3'!H43+'EV Dep Sch Y4'!H31</f>
        <v>2192802.4348861217</v>
      </c>
      <c r="I63" s="269">
        <f>'EV Dep Sch Y1'!I63+'EV Dep Sch Y2'!I55+'EV Dep Sch Y3'!I43+'EV Dep Sch Y4'!I31</f>
        <v>2382246.742029618</v>
      </c>
      <c r="J63" s="269">
        <f>'EV Dep Sch Y1'!J63+'EV Dep Sch Y2'!J55+'EV Dep Sch Y3'!J43+'EV Dep Sch Y4'!J31</f>
        <v>189444.30714349693</v>
      </c>
      <c r="K63" s="269">
        <f>'EV Dep Sch Y1'!K63+'EV Dep Sch Y2'!K55+'EV Dep Sch Y3'!K43+'EV Dep Sch Y4'!K31</f>
        <v>-39783.304500134356</v>
      </c>
      <c r="L63" s="269">
        <f>'EV Dep Sch Y1'!L63+'EV Dep Sch Y2'!L55+'EV Dep Sch Y3'!L43+'EV Dep Sch Y4'!L31</f>
        <v>-8069.0294973979762</v>
      </c>
      <c r="M63" s="270">
        <f t="shared" si="2"/>
        <v>2342463.4375294838</v>
      </c>
      <c r="N63" s="21"/>
      <c r="O63" s="271"/>
      <c r="P63" s="271"/>
      <c r="Q63" s="271"/>
      <c r="R63" s="271"/>
      <c r="S63" s="271"/>
      <c r="T63" s="271"/>
    </row>
    <row r="64" spans="1:20" s="230" customFormat="1" ht="15">
      <c r="A64" s="267">
        <f t="shared" si="3"/>
        <v>44957</v>
      </c>
      <c r="B64" s="269">
        <f>'EV Dep Sch Y1'!B64+'EV Dep Sch Y2'!B56+'EV Dep Sch Y3'!B44+'EV Dep Sch Y4'!B32+'EV Dep Sch Y5'!B20</f>
        <v>6310193.5395490965</v>
      </c>
      <c r="C64" s="269">
        <f>'EV Dep Sch Y1'!C64+'EV Dep Sch Y2'!C56+'EV Dep Sch Y3'!C44+'EV Dep Sch Y4'!C32+'EV Dep Sch Y5'!C20</f>
        <v>6310193.5395490965</v>
      </c>
      <c r="D64" s="269">
        <f>'EV Dep Sch Y1'!D64+'EV Dep Sch Y2'!D56+'EV Dep Sch Y3'!D44+'EV Dep Sch Y4'!D32+'EV Dep Sch Y5'!D20</f>
        <v>57802.407045630222</v>
      </c>
      <c r="E64" s="269">
        <f>'EV Dep Sch Y1'!E64+'EV Dep Sch Y2'!E56+'EV Dep Sch Y3'!E44+'EV Dep Sch Y4'!E32+'EV Dep Sch Y5'!E20</f>
        <v>105169.89232581829</v>
      </c>
      <c r="F64" s="269">
        <f>'EV Dep Sch Y1'!F64+'EV Dep Sch Y2'!F56+'EV Dep Sch Y3'!F44+'EV Dep Sch Y4'!F32+'EV Dep Sch Y5'!F20</f>
        <v>-4141766.5028235703</v>
      </c>
      <c r="G64" s="269">
        <f>'EV Dep Sch Y1'!G64+'EV Dep Sch Y2'!G56+'EV Dep Sch Y3'!G44+'EV Dep Sch Y4'!G32+'EV Dep Sch Y5'!G20</f>
        <v>-3999689.6809602617</v>
      </c>
      <c r="H64" s="269">
        <f>'EV Dep Sch Y1'!H64+'EV Dep Sch Y2'!H56+'EV Dep Sch Y3'!H44+'EV Dep Sch Y4'!H32+'EV Dep Sch Y5'!H20</f>
        <v>2168427.0367255262</v>
      </c>
      <c r="I64" s="269">
        <f>'EV Dep Sch Y1'!I64+'EV Dep Sch Y2'!I56+'EV Dep Sch Y3'!I44+'EV Dep Sch Y4'!I32+'EV Dep Sch Y5'!I20</f>
        <v>2310503.8585888352</v>
      </c>
      <c r="J64" s="269">
        <f>'EV Dep Sch Y1'!J64+'EV Dep Sch Y2'!J56+'EV Dep Sch Y3'!J44+'EV Dep Sch Y4'!J32+'EV Dep Sch Y5'!J20</f>
        <v>142076.82186330893</v>
      </c>
      <c r="K64" s="269">
        <f>'EV Dep Sch Y1'!K64+'EV Dep Sch Y2'!K56+'EV Dep Sch Y3'!K44+'EV Dep Sch Y4'!K32+'EV Dep Sch Y5'!K20</f>
        <v>-29836.132591294867</v>
      </c>
      <c r="L64" s="269">
        <f>'EV Dep Sch Y1'!L64+'EV Dep Sch Y2'!L56+'EV Dep Sch Y3'!L44+'EV Dep Sch Y4'!L32+'EV Dep Sch Y5'!L20</f>
        <v>-9947.1719088394875</v>
      </c>
      <c r="M64" s="270">
        <f t="shared" si="2"/>
        <v>2280667.7259975402</v>
      </c>
      <c r="N64" s="21"/>
      <c r="O64" s="271"/>
      <c r="P64" s="271"/>
      <c r="Q64" s="271"/>
      <c r="R64" s="271"/>
      <c r="S64" s="271"/>
      <c r="T64" s="271"/>
    </row>
    <row r="65" spans="1:20" s="230" customFormat="1" ht="15">
      <c r="A65" s="267">
        <f t="shared" si="3"/>
        <v>44985</v>
      </c>
      <c r="B65" s="269">
        <f>'EV Dep Sch Y1'!B65+'EV Dep Sch Y2'!B57+'EV Dep Sch Y3'!B45+'EV Dep Sch Y4'!B33+'EV Dep Sch Y5'!B21</f>
        <v>6343620.5484341318</v>
      </c>
      <c r="C65" s="269">
        <f>'EV Dep Sch Y1'!C65+'EV Dep Sch Y2'!C57+'EV Dep Sch Y3'!C45+'EV Dep Sch Y4'!C33+'EV Dep Sch Y5'!C21</f>
        <v>6343620.5484341318</v>
      </c>
      <c r="D65" s="269">
        <f>'EV Dep Sch Y1'!D65+'EV Dep Sch Y2'!D57+'EV Dep Sch Y3'!D45+'EV Dep Sch Y4'!D33+'EV Dep Sch Y5'!D21</f>
        <v>58399.496991839165</v>
      </c>
      <c r="E65" s="269">
        <f>'EV Dep Sch Y1'!E65+'EV Dep Sch Y2'!E57+'EV Dep Sch Y3'!E45+'EV Dep Sch Y4'!E33+'EV Dep Sch Y5'!E21</f>
        <v>105727.00914056887</v>
      </c>
      <c r="F65" s="269">
        <f>'EV Dep Sch Y1'!F65+'EV Dep Sch Y2'!F57+'EV Dep Sch Y3'!F45+'EV Dep Sch Y4'!F33+'EV Dep Sch Y5'!F21</f>
        <v>-4200165.9998154091</v>
      </c>
      <c r="G65" s="269">
        <f>'EV Dep Sch Y1'!G65+'EV Dep Sch Y2'!G57+'EV Dep Sch Y3'!G45+'EV Dep Sch Y4'!G33+'EV Dep Sch Y5'!G21</f>
        <v>-4105416.6901008305</v>
      </c>
      <c r="H65" s="269">
        <f>'EV Dep Sch Y1'!H65+'EV Dep Sch Y2'!H57+'EV Dep Sch Y3'!H45+'EV Dep Sch Y4'!H33+'EV Dep Sch Y5'!H21</f>
        <v>2143454.5486187222</v>
      </c>
      <c r="I65" s="269">
        <f>'EV Dep Sch Y1'!I65+'EV Dep Sch Y2'!I57+'EV Dep Sch Y3'!I45+'EV Dep Sch Y4'!I33+'EV Dep Sch Y5'!I21</f>
        <v>2238203.8583333013</v>
      </c>
      <c r="J65" s="269">
        <f>'EV Dep Sch Y1'!J65+'EV Dep Sch Y2'!J57+'EV Dep Sch Y3'!J45+'EV Dep Sch Y4'!J33+'EV Dep Sch Y5'!J21</f>
        <v>94749.309714579227</v>
      </c>
      <c r="K65" s="269">
        <f>'EV Dep Sch Y1'!K65+'EV Dep Sch Y2'!K57+'EV Dep Sch Y3'!K45+'EV Dep Sch Y4'!K33+'EV Dep Sch Y5'!K21</f>
        <v>-19897.355040061637</v>
      </c>
      <c r="L65" s="269">
        <f>'EV Dep Sch Y1'!L65+'EV Dep Sch Y2'!L57+'EV Dep Sch Y3'!L45+'EV Dep Sch Y4'!L33+'EV Dep Sch Y5'!L21</f>
        <v>-9938.77755123323</v>
      </c>
      <c r="M65" s="270">
        <f t="shared" si="2"/>
        <v>2218306.5032932395</v>
      </c>
      <c r="N65" s="21"/>
      <c r="O65" s="271"/>
      <c r="P65" s="271"/>
      <c r="Q65" s="271"/>
      <c r="R65" s="271"/>
      <c r="S65" s="271"/>
      <c r="T65" s="271"/>
    </row>
    <row r="66" spans="1:20" s="230" customFormat="1" ht="15">
      <c r="A66" s="267">
        <f t="shared" si="3"/>
        <v>45016</v>
      </c>
      <c r="B66" s="269">
        <f>'EV Dep Sch Y1'!B66+'EV Dep Sch Y2'!B58+'EV Dep Sch Y3'!B46+'EV Dep Sch Y4'!B34+'EV Dep Sch Y5'!B22</f>
        <v>6377047.5573191671</v>
      </c>
      <c r="C66" s="269">
        <f>'EV Dep Sch Y1'!C66+'EV Dep Sch Y2'!C58+'EV Dep Sch Y3'!C46+'EV Dep Sch Y4'!C34+'EV Dep Sch Y5'!C22</f>
        <v>6377047.5573191671</v>
      </c>
      <c r="D66" s="269">
        <f>'EV Dep Sch Y1'!D66+'EV Dep Sch Y2'!D58+'EV Dep Sch Y3'!D46+'EV Dep Sch Y4'!D34+'EV Dep Sch Y5'!D22</f>
        <v>58996.586938048109</v>
      </c>
      <c r="E66" s="269">
        <f>'EV Dep Sch Y1'!E66+'EV Dep Sch Y2'!E58+'EV Dep Sch Y3'!E46+'EV Dep Sch Y4'!E34+'EV Dep Sch Y5'!E22</f>
        <v>106284.12595531947</v>
      </c>
      <c r="F66" s="269">
        <f>'EV Dep Sch Y1'!F66+'EV Dep Sch Y2'!F58+'EV Dep Sch Y3'!F46+'EV Dep Sch Y4'!F34+'EV Dep Sch Y5'!F22</f>
        <v>-4259162.5867534587</v>
      </c>
      <c r="G66" s="269">
        <f>'EV Dep Sch Y1'!G66+'EV Dep Sch Y2'!G58+'EV Dep Sch Y3'!G46+'EV Dep Sch Y4'!G34+'EV Dep Sch Y5'!G22</f>
        <v>-4211700.81605615</v>
      </c>
      <c r="H66" s="269">
        <f>'EV Dep Sch Y1'!H66+'EV Dep Sch Y2'!H58+'EV Dep Sch Y3'!H46+'EV Dep Sch Y4'!H34+'EV Dep Sch Y5'!H22</f>
        <v>2117884.9705657093</v>
      </c>
      <c r="I66" s="269">
        <f>'EV Dep Sch Y1'!I66+'EV Dep Sch Y2'!I58+'EV Dep Sch Y3'!I46+'EV Dep Sch Y4'!I34+'EV Dep Sch Y5'!I22</f>
        <v>2165346.7412630171</v>
      </c>
      <c r="J66" s="269">
        <f>'EV Dep Sch Y1'!J66+'EV Dep Sch Y2'!J58+'EV Dep Sch Y3'!J46+'EV Dep Sch Y4'!J34+'EV Dep Sch Y5'!J22</f>
        <v>47461.770697307918</v>
      </c>
      <c r="K66" s="269">
        <f>'EV Dep Sch Y1'!K66+'EV Dep Sch Y2'!K58+'EV Dep Sch Y3'!K46+'EV Dep Sch Y4'!K34+'EV Dep Sch Y5'!K22</f>
        <v>-9966.9718464346643</v>
      </c>
      <c r="L66" s="269">
        <f>'EV Dep Sch Y1'!L66+'EV Dep Sch Y2'!L58+'EV Dep Sch Y3'!L46+'EV Dep Sch Y4'!L34+'EV Dep Sch Y5'!L22</f>
        <v>-9930.3831936269744</v>
      </c>
      <c r="M66" s="270">
        <f t="shared" si="2"/>
        <v>2155379.7694165823</v>
      </c>
      <c r="N66" s="21"/>
      <c r="O66" s="271"/>
      <c r="P66" s="271"/>
      <c r="Q66" s="271"/>
      <c r="R66" s="271"/>
      <c r="S66" s="271"/>
      <c r="T66" s="271"/>
    </row>
    <row r="67" spans="1:20" s="230" customFormat="1" ht="15">
      <c r="A67" s="267">
        <f t="shared" si="3"/>
        <v>45046</v>
      </c>
      <c r="B67" s="269">
        <f>'EV Dep Sch Y1'!B67+'EV Dep Sch Y2'!B59+'EV Dep Sch Y3'!B47+'EV Dep Sch Y4'!B35+'EV Dep Sch Y5'!B23</f>
        <v>6410474.5662042033</v>
      </c>
      <c r="C67" s="269">
        <f>'EV Dep Sch Y1'!C67+'EV Dep Sch Y2'!C59+'EV Dep Sch Y3'!C47+'EV Dep Sch Y4'!C35+'EV Dep Sch Y5'!C23</f>
        <v>6410474.5662042033</v>
      </c>
      <c r="D67" s="269">
        <f>'EV Dep Sch Y1'!D67+'EV Dep Sch Y2'!D59+'EV Dep Sch Y3'!D47+'EV Dep Sch Y4'!D35+'EV Dep Sch Y5'!D23</f>
        <v>59593.67688425706</v>
      </c>
      <c r="E67" s="269">
        <f>'EV Dep Sch Y1'!E67+'EV Dep Sch Y2'!E59+'EV Dep Sch Y3'!E47+'EV Dep Sch Y4'!E35+'EV Dep Sch Y5'!E23</f>
        <v>106841.24277007006</v>
      </c>
      <c r="F67" s="269">
        <f>'EV Dep Sch Y1'!F67+'EV Dep Sch Y2'!F59+'EV Dep Sch Y3'!F47+'EV Dep Sch Y4'!F35+'EV Dep Sch Y5'!F23</f>
        <v>-4318756.263637715</v>
      </c>
      <c r="G67" s="269">
        <f>'EV Dep Sch Y1'!G67+'EV Dep Sch Y2'!G59+'EV Dep Sch Y3'!G47+'EV Dep Sch Y4'!G35+'EV Dep Sch Y5'!G23</f>
        <v>-4318542.0588262212</v>
      </c>
      <c r="H67" s="269">
        <f>'EV Dep Sch Y1'!H67+'EV Dep Sch Y2'!H59+'EV Dep Sch Y3'!H47+'EV Dep Sch Y4'!H35+'EV Dep Sch Y5'!H23</f>
        <v>2091718.3025664873</v>
      </c>
      <c r="I67" s="269">
        <f>'EV Dep Sch Y1'!I67+'EV Dep Sch Y2'!I59+'EV Dep Sch Y3'!I47+'EV Dep Sch Y4'!I35+'EV Dep Sch Y5'!I23</f>
        <v>2091932.5073779826</v>
      </c>
      <c r="J67" s="269">
        <f>'EV Dep Sch Y1'!J67+'EV Dep Sch Y2'!J59+'EV Dep Sch Y3'!J47+'EV Dep Sch Y4'!J35+'EV Dep Sch Y5'!J23</f>
        <v>214.20481149496482</v>
      </c>
      <c r="K67" s="269">
        <f>'EV Dep Sch Y1'!K67+'EV Dep Sch Y2'!K59+'EV Dep Sch Y3'!K47+'EV Dep Sch Y4'!K35+'EV Dep Sch Y5'!K23</f>
        <v>-44.983010413941429</v>
      </c>
      <c r="L67" s="269">
        <f>'EV Dep Sch Y1'!L67+'EV Dep Sch Y2'!L59+'EV Dep Sch Y3'!L47+'EV Dep Sch Y4'!L35+'EV Dep Sch Y5'!L23</f>
        <v>-9921.9888360207224</v>
      </c>
      <c r="M67" s="270">
        <f t="shared" si="2"/>
        <v>2091887.5243675685</v>
      </c>
      <c r="N67" s="21"/>
      <c r="O67" s="271"/>
      <c r="P67" s="271"/>
      <c r="Q67" s="271"/>
      <c r="R67" s="271"/>
      <c r="S67" s="271"/>
      <c r="T67" s="271"/>
    </row>
    <row r="68" spans="1:20" s="230" customFormat="1" ht="15">
      <c r="A68" s="267">
        <f t="shared" si="3"/>
        <v>45077</v>
      </c>
      <c r="B68" s="269">
        <f>'EV Dep Sch Y1'!B68+'EV Dep Sch Y2'!B60+'EV Dep Sch Y3'!B48+'EV Dep Sch Y4'!B36+'EV Dep Sch Y5'!B24</f>
        <v>6443901.5750892386</v>
      </c>
      <c r="C68" s="269">
        <f>'EV Dep Sch Y1'!C68+'EV Dep Sch Y2'!C60+'EV Dep Sch Y3'!C48+'EV Dep Sch Y4'!C36+'EV Dep Sch Y5'!C24</f>
        <v>6443901.5750892386</v>
      </c>
      <c r="D68" s="269">
        <f>'EV Dep Sch Y1'!D68+'EV Dep Sch Y2'!D60+'EV Dep Sch Y3'!D48+'EV Dep Sch Y4'!D36+'EV Dep Sch Y5'!D24</f>
        <v>60190.766830466004</v>
      </c>
      <c r="E68" s="269">
        <f>'EV Dep Sch Y1'!E68+'EV Dep Sch Y2'!E60+'EV Dep Sch Y3'!E48+'EV Dep Sch Y4'!E36+'EV Dep Sch Y5'!E24</f>
        <v>107398.35958482065</v>
      </c>
      <c r="F68" s="269">
        <f>'EV Dep Sch Y1'!F68+'EV Dep Sch Y2'!F60+'EV Dep Sch Y3'!F48+'EV Dep Sch Y4'!F36+'EV Dep Sch Y5'!F24</f>
        <v>-4378947.0304681826</v>
      </c>
      <c r="G68" s="269">
        <f>'EV Dep Sch Y1'!G68+'EV Dep Sch Y2'!G60+'EV Dep Sch Y3'!G48+'EV Dep Sch Y4'!G36+'EV Dep Sch Y5'!G24</f>
        <v>-4425940.4184110425</v>
      </c>
      <c r="H68" s="269">
        <f>'EV Dep Sch Y1'!H68+'EV Dep Sch Y2'!H60+'EV Dep Sch Y3'!H48+'EV Dep Sch Y4'!H36+'EV Dep Sch Y5'!H24</f>
        <v>2064954.5446210566</v>
      </c>
      <c r="I68" s="269">
        <f>'EV Dep Sch Y1'!I68+'EV Dep Sch Y2'!I60+'EV Dep Sch Y3'!I48+'EV Dep Sch Y4'!I36+'EV Dep Sch Y5'!I24</f>
        <v>2017961.156678197</v>
      </c>
      <c r="J68" s="269">
        <f>'EV Dep Sch Y1'!J68+'EV Dep Sch Y2'!J60+'EV Dep Sch Y3'!J48+'EV Dep Sch Y4'!J36+'EV Dep Sch Y5'!J24</f>
        <v>-46993.387942859626</v>
      </c>
      <c r="K68" s="269">
        <f>'EV Dep Sch Y1'!K68+'EV Dep Sch Y2'!K60+'EV Dep Sch Y3'!K48+'EV Dep Sch Y4'!K36+'EV Dep Sch Y5'!K24</f>
        <v>9868.6114680005194</v>
      </c>
      <c r="L68" s="269">
        <f>'EV Dep Sch Y1'!L68+'EV Dep Sch Y2'!L60+'EV Dep Sch Y3'!L48+'EV Dep Sch Y4'!L36+'EV Dep Sch Y5'!L24</f>
        <v>-9913.5944784144631</v>
      </c>
      <c r="M68" s="270">
        <f t="shared" si="2"/>
        <v>2027829.7681461975</v>
      </c>
      <c r="N68" s="21"/>
      <c r="O68" s="271"/>
      <c r="P68" s="271"/>
      <c r="Q68" s="271"/>
      <c r="R68" s="271"/>
      <c r="S68" s="271"/>
      <c r="T68" s="271"/>
    </row>
    <row r="69" spans="1:20" s="230" customFormat="1" ht="15">
      <c r="A69" s="267">
        <f t="shared" si="3"/>
        <v>45107</v>
      </c>
      <c r="B69" s="269">
        <f>'EV Dep Sch Y1'!B69+'EV Dep Sch Y2'!B61+'EV Dep Sch Y3'!B49+'EV Dep Sch Y4'!B37+'EV Dep Sch Y5'!B25</f>
        <v>6477328.5839742739</v>
      </c>
      <c r="C69" s="269">
        <f>'EV Dep Sch Y1'!C69+'EV Dep Sch Y2'!C61+'EV Dep Sch Y3'!C49+'EV Dep Sch Y4'!C37+'EV Dep Sch Y5'!C25</f>
        <v>6477328.5839742739</v>
      </c>
      <c r="D69" s="269">
        <f>'EV Dep Sch Y1'!D69+'EV Dep Sch Y2'!D61+'EV Dep Sch Y3'!D49+'EV Dep Sch Y4'!D37+'EV Dep Sch Y5'!D25</f>
        <v>60190.766830466004</v>
      </c>
      <c r="E69" s="269">
        <f>'EV Dep Sch Y1'!E69+'EV Dep Sch Y2'!E61+'EV Dep Sch Y3'!E49+'EV Dep Sch Y4'!E37+'EV Dep Sch Y5'!E25</f>
        <v>107955.47639957124</v>
      </c>
      <c r="F69" s="269">
        <f>'EV Dep Sch Y1'!F69+'EV Dep Sch Y2'!F61+'EV Dep Sch Y3'!F49+'EV Dep Sch Y4'!F37+'EV Dep Sch Y5'!F25</f>
        <v>-4439137.7972986475</v>
      </c>
      <c r="G69" s="269">
        <f>'EV Dep Sch Y1'!G69+'EV Dep Sch Y2'!G61+'EV Dep Sch Y3'!G49+'EV Dep Sch Y4'!G37+'EV Dep Sch Y5'!G25</f>
        <v>-4533895.8948106123</v>
      </c>
      <c r="H69" s="269">
        <f>'EV Dep Sch Y1'!H69+'EV Dep Sch Y2'!H61+'EV Dep Sch Y3'!H49+'EV Dep Sch Y4'!H37+'EV Dep Sch Y5'!H25</f>
        <v>2038190.7866756259</v>
      </c>
      <c r="I69" s="269">
        <f>'EV Dep Sch Y1'!I69+'EV Dep Sch Y2'!I61+'EV Dep Sch Y3'!I49+'EV Dep Sch Y4'!I37+'EV Dep Sch Y5'!I25</f>
        <v>1943432.6891636613</v>
      </c>
      <c r="J69" s="269">
        <f>'EV Dep Sch Y1'!J69+'EV Dep Sch Y2'!J61+'EV Dep Sch Y3'!J49+'EV Dep Sch Y4'!J37+'EV Dep Sch Y5'!J25</f>
        <v>-94758.097511964734</v>
      </c>
      <c r="K69" s="269">
        <f>'EV Dep Sch Y1'!K69+'EV Dep Sch Y2'!K61+'EV Dep Sch Y3'!K49+'EV Dep Sch Y4'!K37+'EV Dep Sch Y5'!K25</f>
        <v>19899.200477512593</v>
      </c>
      <c r="L69" s="269">
        <f>'EV Dep Sch Y1'!L69+'EV Dep Sch Y2'!L61+'EV Dep Sch Y3'!L49+'EV Dep Sch Y4'!L37+'EV Dep Sch Y5'!L25</f>
        <v>-10030.589009512074</v>
      </c>
      <c r="M69" s="270">
        <f t="shared" si="2"/>
        <v>1963331.8896411739</v>
      </c>
      <c r="N69" s="21"/>
      <c r="O69" s="271"/>
      <c r="P69" s="271"/>
      <c r="Q69" s="271"/>
      <c r="R69" s="271"/>
      <c r="S69" s="271"/>
      <c r="T69" s="271"/>
    </row>
    <row r="70" spans="1:20" s="230" customFormat="1" ht="15">
      <c r="A70" s="267">
        <f t="shared" si="3"/>
        <v>45138</v>
      </c>
      <c r="B70" s="269">
        <f>'EV Dep Sch Y1'!B70+'EV Dep Sch Y2'!B62+'EV Dep Sch Y3'!B50+'EV Dep Sch Y4'!B38+'EV Dep Sch Y5'!B26</f>
        <v>6510755.5928593092</v>
      </c>
      <c r="C70" s="269">
        <f>'EV Dep Sch Y1'!C70+'EV Dep Sch Y2'!C62+'EV Dep Sch Y3'!C50+'EV Dep Sch Y4'!C38+'EV Dep Sch Y5'!C26</f>
        <v>6510755.5928593092</v>
      </c>
      <c r="D70" s="269">
        <f>'EV Dep Sch Y1'!D70+'EV Dep Sch Y2'!D62+'EV Dep Sch Y3'!D50+'EV Dep Sch Y4'!D38+'EV Dep Sch Y5'!D26</f>
        <v>60190.766830466004</v>
      </c>
      <c r="E70" s="269">
        <f>'EV Dep Sch Y1'!E70+'EV Dep Sch Y2'!E62+'EV Dep Sch Y3'!E50+'EV Dep Sch Y4'!E38+'EV Dep Sch Y5'!E26</f>
        <v>108512.59321432182</v>
      </c>
      <c r="F70" s="269">
        <f>'EV Dep Sch Y1'!F70+'EV Dep Sch Y2'!F62+'EV Dep Sch Y3'!F50+'EV Dep Sch Y4'!F38+'EV Dep Sch Y5'!F26</f>
        <v>-4499328.5641291151</v>
      </c>
      <c r="G70" s="269">
        <f>'EV Dep Sch Y1'!G70+'EV Dep Sch Y2'!G62+'EV Dep Sch Y3'!G50+'EV Dep Sch Y4'!G38+'EV Dep Sch Y5'!G26</f>
        <v>-4642408.4880249342</v>
      </c>
      <c r="H70" s="269">
        <f>'EV Dep Sch Y1'!H70+'EV Dep Sch Y2'!H62+'EV Dep Sch Y3'!H50+'EV Dep Sch Y4'!H38+'EV Dep Sch Y5'!H26</f>
        <v>2011427.0287301952</v>
      </c>
      <c r="I70" s="269">
        <f>'EV Dep Sch Y1'!I70+'EV Dep Sch Y2'!I62+'EV Dep Sch Y3'!I50+'EV Dep Sch Y4'!I38+'EV Dep Sch Y5'!I26</f>
        <v>1868347.1048343747</v>
      </c>
      <c r="J70" s="269">
        <f>'EV Dep Sch Y1'!J70+'EV Dep Sch Y2'!J62+'EV Dep Sch Y3'!J50+'EV Dep Sch Y4'!J38+'EV Dep Sch Y5'!J26</f>
        <v>-143079.92389582039</v>
      </c>
      <c r="K70" s="269">
        <f>'EV Dep Sch Y1'!K70+'EV Dep Sch Y2'!K62+'EV Dep Sch Y3'!K50+'EV Dep Sch Y4'!K38+'EV Dep Sch Y5'!K26</f>
        <v>30046.784018122278</v>
      </c>
      <c r="L70" s="269">
        <f>'EV Dep Sch Y1'!L70+'EV Dep Sch Y2'!L62+'EV Dep Sch Y3'!L50+'EV Dep Sch Y4'!L38+'EV Dep Sch Y5'!L26</f>
        <v>-10147.583540609685</v>
      </c>
      <c r="M70" s="270">
        <f t="shared" si="2"/>
        <v>1898393.8888524971</v>
      </c>
      <c r="N70" s="21"/>
      <c r="O70" s="271"/>
      <c r="P70" s="271"/>
      <c r="Q70" s="271"/>
      <c r="R70" s="271"/>
      <c r="S70" s="271"/>
      <c r="T70" s="271"/>
    </row>
    <row r="71" spans="1:20" s="230" customFormat="1" ht="15">
      <c r="A71" s="267">
        <f t="shared" si="3"/>
        <v>45169</v>
      </c>
      <c r="B71" s="269">
        <f>'EV Dep Sch Y1'!B71+'EV Dep Sch Y2'!B63+'EV Dep Sch Y3'!B51+'EV Dep Sch Y4'!B39+'EV Dep Sch Y5'!B27</f>
        <v>6544182.6017443445</v>
      </c>
      <c r="C71" s="269">
        <f>'EV Dep Sch Y1'!C71+'EV Dep Sch Y2'!C63+'EV Dep Sch Y3'!C51+'EV Dep Sch Y4'!C39+'EV Dep Sch Y5'!C27</f>
        <v>6544182.6017443445</v>
      </c>
      <c r="D71" s="269">
        <f>'EV Dep Sch Y1'!D71+'EV Dep Sch Y2'!D63+'EV Dep Sch Y3'!D51+'EV Dep Sch Y4'!D39+'EV Dep Sch Y5'!D27</f>
        <v>60190.766830466004</v>
      </c>
      <c r="E71" s="269">
        <f>'EV Dep Sch Y1'!E71+'EV Dep Sch Y2'!E63+'EV Dep Sch Y3'!E51+'EV Dep Sch Y4'!E39+'EV Dep Sch Y5'!E27</f>
        <v>109069.71002907242</v>
      </c>
      <c r="F71" s="269">
        <f>'EV Dep Sch Y1'!F71+'EV Dep Sch Y2'!F63+'EV Dep Sch Y3'!F51+'EV Dep Sch Y4'!F39+'EV Dep Sch Y5'!F27</f>
        <v>-4559519.3309595799</v>
      </c>
      <c r="G71" s="269">
        <f>'EV Dep Sch Y1'!G71+'EV Dep Sch Y2'!G63+'EV Dep Sch Y3'!G51+'EV Dep Sch Y4'!G39+'EV Dep Sch Y5'!G27</f>
        <v>-4751478.1980540073</v>
      </c>
      <c r="H71" s="269">
        <f>'EV Dep Sch Y1'!H71+'EV Dep Sch Y2'!H63+'EV Dep Sch Y3'!H51+'EV Dep Sch Y4'!H39+'EV Dep Sch Y5'!H27</f>
        <v>1984663.2707847646</v>
      </c>
      <c r="I71" s="269">
        <f>'EV Dep Sch Y1'!I71+'EV Dep Sch Y2'!I63+'EV Dep Sch Y3'!I51+'EV Dep Sch Y4'!I39+'EV Dep Sch Y5'!I27</f>
        <v>1792704.4036903377</v>
      </c>
      <c r="J71" s="269">
        <f>'EV Dep Sch Y1'!J71+'EV Dep Sch Y2'!J63+'EV Dep Sch Y3'!J51+'EV Dep Sch Y4'!J39+'EV Dep Sch Y5'!J27</f>
        <v>-191958.86709442665</v>
      </c>
      <c r="K71" s="269">
        <f>'EV Dep Sch Y1'!K71+'EV Dep Sch Y2'!K63+'EV Dep Sch Y3'!K51+'EV Dep Sch Y4'!K39+'EV Dep Sch Y5'!K27</f>
        <v>40311.362089829599</v>
      </c>
      <c r="L71" s="269">
        <f>'EV Dep Sch Y1'!L71+'EV Dep Sch Y2'!L63+'EV Dep Sch Y3'!L51+'EV Dep Sch Y4'!L39+'EV Dep Sch Y5'!L27</f>
        <v>-10264.578071707319</v>
      </c>
      <c r="M71" s="270">
        <f t="shared" si="2"/>
        <v>1833015.7657801672</v>
      </c>
      <c r="N71" s="21"/>
      <c r="O71" s="271"/>
      <c r="P71" s="271"/>
      <c r="Q71" s="271"/>
      <c r="R71" s="271"/>
      <c r="S71" s="271"/>
      <c r="T71" s="271"/>
    </row>
    <row r="72" spans="1:20" s="230" customFormat="1" ht="15">
      <c r="A72" s="267">
        <f t="shared" si="3"/>
        <v>45199</v>
      </c>
      <c r="B72" s="269">
        <f>'EV Dep Sch Y1'!B72+'EV Dep Sch Y2'!B64+'EV Dep Sch Y3'!B52+'EV Dep Sch Y4'!B40+'EV Dep Sch Y5'!B28</f>
        <v>6577609.6106293797</v>
      </c>
      <c r="C72" s="269">
        <f>'EV Dep Sch Y1'!C72+'EV Dep Sch Y2'!C64+'EV Dep Sch Y3'!C52+'EV Dep Sch Y4'!C40+'EV Dep Sch Y5'!C28</f>
        <v>6577609.6106293797</v>
      </c>
      <c r="D72" s="269">
        <f>'EV Dep Sch Y1'!D72+'EV Dep Sch Y2'!D64+'EV Dep Sch Y3'!D52+'EV Dep Sch Y4'!D40+'EV Dep Sch Y5'!D28</f>
        <v>53461.230785085507</v>
      </c>
      <c r="E72" s="269">
        <f>'EV Dep Sch Y1'!E72+'EV Dep Sch Y2'!E64+'EV Dep Sch Y3'!E52+'EV Dep Sch Y4'!E40+'EV Dep Sch Y5'!E28</f>
        <v>109626.82684382302</v>
      </c>
      <c r="F72" s="269">
        <f>'EV Dep Sch Y1'!F72+'EV Dep Sch Y2'!F64+'EV Dep Sch Y3'!F52+'EV Dep Sch Y4'!F40+'EV Dep Sch Y5'!F28</f>
        <v>-4612980.5617446667</v>
      </c>
      <c r="G72" s="269">
        <f>'EV Dep Sch Y1'!G72+'EV Dep Sch Y2'!G64+'EV Dep Sch Y3'!G52+'EV Dep Sch Y4'!G40+'EV Dep Sch Y5'!G28</f>
        <v>-4861105.0248978296</v>
      </c>
      <c r="H72" s="269">
        <f>'EV Dep Sch Y1'!H72+'EV Dep Sch Y2'!H64+'EV Dep Sch Y3'!H52+'EV Dep Sch Y4'!H40+'EV Dep Sch Y5'!H28</f>
        <v>1964629.0488847138</v>
      </c>
      <c r="I72" s="269">
        <f>'EV Dep Sch Y1'!I72+'EV Dep Sch Y2'!I64+'EV Dep Sch Y3'!I52+'EV Dep Sch Y4'!I40+'EV Dep Sch Y5'!I28</f>
        <v>1716504.5857315501</v>
      </c>
      <c r="J72" s="269">
        <f>'EV Dep Sch Y1'!J72+'EV Dep Sch Y2'!J64+'EV Dep Sch Y3'!J52+'EV Dep Sch Y4'!J40+'EV Dep Sch Y5'!J28</f>
        <v>-248124.46315316396</v>
      </c>
      <c r="K72" s="269">
        <f>'EV Dep Sch Y1'!K72+'EV Dep Sch Y2'!K64+'EV Dep Sch Y3'!K52+'EV Dep Sch Y4'!K40+'EV Dep Sch Y5'!K28</f>
        <v>52106.137262164419</v>
      </c>
      <c r="L72" s="269">
        <f>'EV Dep Sch Y1'!L72+'EV Dep Sch Y2'!L64+'EV Dep Sch Y3'!L52+'EV Dep Sch Y4'!L40+'EV Dep Sch Y5'!L28</f>
        <v>-11794.775172334826</v>
      </c>
      <c r="M72" s="270">
        <f t="shared" si="2"/>
        <v>1768610.7229937145</v>
      </c>
      <c r="N72" s="21"/>
      <c r="O72" s="271"/>
      <c r="P72" s="271"/>
      <c r="Q72" s="271"/>
      <c r="R72" s="271"/>
      <c r="S72" s="271"/>
      <c r="T72" s="271"/>
    </row>
    <row r="73" spans="1:20" s="230" customFormat="1" ht="15">
      <c r="A73" s="267">
        <f t="shared" si="3"/>
        <v>45230</v>
      </c>
      <c r="B73" s="269">
        <f>'EV Dep Sch Y1'!B73+'EV Dep Sch Y2'!B65+'EV Dep Sch Y3'!B53+'EV Dep Sch Y4'!B41+'EV Dep Sch Y5'!B29</f>
        <v>6611036.619514415</v>
      </c>
      <c r="C73" s="269">
        <f>'EV Dep Sch Y1'!C73+'EV Dep Sch Y2'!C65+'EV Dep Sch Y3'!C53+'EV Dep Sch Y4'!C41+'EV Dep Sch Y5'!C29</f>
        <v>6611036.619514415</v>
      </c>
      <c r="D73" s="269">
        <f>'EV Dep Sch Y1'!D73+'EV Dep Sch Y2'!D65+'EV Dep Sch Y3'!D53+'EV Dep Sch Y4'!D41+'EV Dep Sch Y5'!D29</f>
        <v>54143.420324747603</v>
      </c>
      <c r="E73" s="269">
        <f>'EV Dep Sch Y1'!E73+'EV Dep Sch Y2'!E65+'EV Dep Sch Y3'!E53+'EV Dep Sch Y4'!E41+'EV Dep Sch Y5'!E29</f>
        <v>110183.9436585736</v>
      </c>
      <c r="F73" s="269">
        <f>'EV Dep Sch Y1'!F73+'EV Dep Sch Y2'!F65+'EV Dep Sch Y3'!F53+'EV Dep Sch Y4'!F41+'EV Dep Sch Y5'!F29</f>
        <v>-4667123.9820694141</v>
      </c>
      <c r="G73" s="269">
        <f>'EV Dep Sch Y1'!G73+'EV Dep Sch Y2'!G65+'EV Dep Sch Y3'!G53+'EV Dep Sch Y4'!G41+'EV Dep Sch Y5'!G29</f>
        <v>-4971288.9685564032</v>
      </c>
      <c r="H73" s="269">
        <f>'EV Dep Sch Y1'!H73+'EV Dep Sch Y2'!H65+'EV Dep Sch Y3'!H53+'EV Dep Sch Y4'!H41+'EV Dep Sch Y5'!H29</f>
        <v>1943912.6374450014</v>
      </c>
      <c r="I73" s="269">
        <f>'EV Dep Sch Y1'!I73+'EV Dep Sch Y2'!I65+'EV Dep Sch Y3'!I53+'EV Dep Sch Y4'!I41+'EV Dep Sch Y5'!I29</f>
        <v>1639747.6509580119</v>
      </c>
      <c r="J73" s="269">
        <f>'EV Dep Sch Y1'!J73+'EV Dep Sch Y2'!J65+'EV Dep Sch Y3'!J53+'EV Dep Sch Y4'!J41+'EV Dep Sch Y5'!J29</f>
        <v>-304164.98648698971</v>
      </c>
      <c r="K73" s="269">
        <f>'EV Dep Sch Y1'!K73+'EV Dep Sch Y2'!K65+'EV Dep Sch Y3'!K53+'EV Dep Sch Y4'!K41+'EV Dep Sch Y5'!K29</f>
        <v>63874.647162267844</v>
      </c>
      <c r="L73" s="269">
        <f>'EV Dep Sch Y1'!L73+'EV Dep Sch Y2'!L65+'EV Dep Sch Y3'!L53+'EV Dep Sch Y4'!L41+'EV Dep Sch Y5'!L29</f>
        <v>-11768.509900103423</v>
      </c>
      <c r="M73" s="270">
        <f t="shared" si="2"/>
        <v>1703622.2981202798</v>
      </c>
      <c r="N73" s="21"/>
      <c r="O73" s="271"/>
      <c r="P73" s="271"/>
      <c r="Q73" s="271"/>
      <c r="R73" s="271"/>
      <c r="S73" s="271"/>
      <c r="T73" s="271"/>
    </row>
    <row r="74" spans="1:20" s="230" customFormat="1" ht="15">
      <c r="A74" s="267">
        <f t="shared" si="3"/>
        <v>45260</v>
      </c>
      <c r="B74" s="269">
        <f>'EV Dep Sch Y1'!B74+'EV Dep Sch Y2'!B66+'EV Dep Sch Y3'!B54+'EV Dep Sch Y4'!B42+'EV Dep Sch Y5'!B30</f>
        <v>6644463.6283994513</v>
      </c>
      <c r="C74" s="269">
        <f>'EV Dep Sch Y1'!C74+'EV Dep Sch Y2'!C66+'EV Dep Sch Y3'!C54+'EV Dep Sch Y4'!C42+'EV Dep Sch Y5'!C30</f>
        <v>6644463.6283994513</v>
      </c>
      <c r="D74" s="269">
        <f>'EV Dep Sch Y1'!D74+'EV Dep Sch Y2'!D66+'EV Dep Sch Y3'!D54+'EV Dep Sch Y4'!D42+'EV Dep Sch Y5'!D30</f>
        <v>54825.6098644097</v>
      </c>
      <c r="E74" s="269">
        <f>'EV Dep Sch Y1'!E74+'EV Dep Sch Y2'!E66+'EV Dep Sch Y3'!E54+'EV Dep Sch Y4'!E42+'EV Dep Sch Y5'!E30</f>
        <v>110741.06047332419</v>
      </c>
      <c r="F74" s="269">
        <f>'EV Dep Sch Y1'!F74+'EV Dep Sch Y2'!F66+'EV Dep Sch Y3'!F54+'EV Dep Sch Y4'!F42+'EV Dep Sch Y5'!F30</f>
        <v>-4721949.5919338241</v>
      </c>
      <c r="G74" s="269">
        <f>'EV Dep Sch Y1'!G74+'EV Dep Sch Y2'!G66+'EV Dep Sch Y3'!G54+'EV Dep Sch Y4'!G42+'EV Dep Sch Y5'!G30</f>
        <v>-5082030.0290297279</v>
      </c>
      <c r="H74" s="269">
        <f>'EV Dep Sch Y1'!H74+'EV Dep Sch Y2'!H66+'EV Dep Sch Y3'!H54+'EV Dep Sch Y4'!H42+'EV Dep Sch Y5'!H30</f>
        <v>1922514.0364656269</v>
      </c>
      <c r="I74" s="269">
        <f>'EV Dep Sch Y1'!I74+'EV Dep Sch Y2'!I66+'EV Dep Sch Y3'!I54+'EV Dep Sch Y4'!I42+'EV Dep Sch Y5'!I30</f>
        <v>1562433.5993697229</v>
      </c>
      <c r="J74" s="269">
        <f>'EV Dep Sch Y1'!J74+'EV Dep Sch Y2'!J66+'EV Dep Sch Y3'!J54+'EV Dep Sch Y4'!J42+'EV Dep Sch Y5'!J30</f>
        <v>-360080.43709590391</v>
      </c>
      <c r="K74" s="269">
        <f>'EV Dep Sch Y1'!K74+'EV Dep Sch Y2'!K66+'EV Dep Sch Y3'!K54+'EV Dep Sch Y4'!K42+'EV Dep Sch Y5'!K30</f>
        <v>75616.891790139838</v>
      </c>
      <c r="L74" s="269">
        <f>'EV Dep Sch Y1'!L74+'EV Dep Sch Y2'!L66+'EV Dep Sch Y3'!L54+'EV Dep Sch Y4'!L42+'EV Dep Sch Y5'!L30</f>
        <v>-11742.244627871984</v>
      </c>
      <c r="M74" s="270">
        <f t="shared" si="2"/>
        <v>1638050.4911598628</v>
      </c>
      <c r="N74" s="21"/>
      <c r="O74" s="271"/>
      <c r="P74" s="271"/>
      <c r="Q74" s="271"/>
      <c r="R74" s="271"/>
      <c r="S74" s="271"/>
      <c r="T74" s="271"/>
    </row>
    <row r="75" spans="1:20" s="230" customFormat="1" ht="15">
      <c r="A75" s="267">
        <f t="shared" si="3"/>
        <v>45291</v>
      </c>
      <c r="B75" s="269">
        <f>'EV Dep Sch Y1'!B75+'EV Dep Sch Y2'!B67+'EV Dep Sch Y3'!B55+'EV Dep Sch Y4'!B43+'EV Dep Sch Y5'!B31</f>
        <v>6677890.6372844866</v>
      </c>
      <c r="C75" s="269">
        <f>'EV Dep Sch Y1'!C75+'EV Dep Sch Y2'!C67+'EV Dep Sch Y3'!C55+'EV Dep Sch Y4'!C43+'EV Dep Sch Y5'!C31</f>
        <v>6677890.6372844866</v>
      </c>
      <c r="D75" s="269">
        <f>'EV Dep Sch Y1'!D75+'EV Dep Sch Y2'!D67+'EV Dep Sch Y3'!D55+'EV Dep Sch Y4'!D43+'EV Dep Sch Y5'!D31</f>
        <v>55507.799404071797</v>
      </c>
      <c r="E75" s="269">
        <f>'EV Dep Sch Y1'!E75+'EV Dep Sch Y2'!E67+'EV Dep Sch Y3'!E55+'EV Dep Sch Y4'!E43+'EV Dep Sch Y5'!E31</f>
        <v>111298.17728807477</v>
      </c>
      <c r="F75" s="269">
        <f>'EV Dep Sch Y1'!F75+'EV Dep Sch Y2'!F67+'EV Dep Sch Y3'!F55+'EV Dep Sch Y4'!F43+'EV Dep Sch Y5'!F31</f>
        <v>-4777457.3913378948</v>
      </c>
      <c r="G75" s="269">
        <f>'EV Dep Sch Y1'!G75+'EV Dep Sch Y2'!G67+'EV Dep Sch Y3'!G55+'EV Dep Sch Y4'!G43+'EV Dep Sch Y5'!G31</f>
        <v>-5193328.2063178029</v>
      </c>
      <c r="H75" s="269">
        <f>'EV Dep Sch Y1'!H75+'EV Dep Sch Y2'!H67+'EV Dep Sch Y3'!H55+'EV Dep Sch Y4'!H43+'EV Dep Sch Y5'!H31</f>
        <v>1900433.2459465901</v>
      </c>
      <c r="I75" s="269">
        <f>'EV Dep Sch Y1'!I75+'EV Dep Sch Y2'!I67+'EV Dep Sch Y3'!I55+'EV Dep Sch Y4'!I43+'EV Dep Sch Y5'!I31</f>
        <v>1484562.4309666837</v>
      </c>
      <c r="J75" s="269">
        <f>'EV Dep Sch Y1'!J75+'EV Dep Sch Y2'!J67+'EV Dep Sch Y3'!J55+'EV Dep Sch Y4'!J43+'EV Dep Sch Y5'!J31</f>
        <v>-415870.81497990672</v>
      </c>
      <c r="K75" s="269">
        <f>'EV Dep Sch Y1'!K75+'EV Dep Sch Y2'!K67+'EV Dep Sch Y3'!K55+'EV Dep Sch Y4'!K43+'EV Dep Sch Y5'!K31</f>
        <v>87332.871145780402</v>
      </c>
      <c r="L75" s="269">
        <f>'EV Dep Sch Y1'!L75+'EV Dep Sch Y2'!L67+'EV Dep Sch Y3'!L55+'EV Dep Sch Y4'!L43+'EV Dep Sch Y5'!L31</f>
        <v>-11715.979355640577</v>
      </c>
      <c r="M75" s="270">
        <f t="shared" si="2"/>
        <v>1571895.3021124641</v>
      </c>
      <c r="N75" s="21"/>
      <c r="O75" s="271"/>
      <c r="P75" s="271"/>
      <c r="Q75" s="271"/>
      <c r="R75" s="271"/>
      <c r="S75" s="271"/>
      <c r="T75" s="271"/>
    </row>
    <row r="76" spans="1:20" s="230" customFormat="1" ht="15">
      <c r="A76" s="267">
        <f t="shared" si="3"/>
        <v>45322</v>
      </c>
      <c r="B76" s="269">
        <f>'EV Dep Sch Y1'!B76+'EV Dep Sch Y2'!B68+'EV Dep Sch Y3'!B56+'EV Dep Sch Y4'!B44+'EV Dep Sch Y5'!B32+'EV Dep Sch Y6'!B20</f>
        <v>6774003.5135967331</v>
      </c>
      <c r="C76" s="269">
        <f>'EV Dep Sch Y1'!C76+'EV Dep Sch Y2'!C68+'EV Dep Sch Y3'!C56+'EV Dep Sch Y4'!C44+'EV Dep Sch Y5'!C32+'EV Dep Sch Y6'!C20</f>
        <v>6774003.5135967331</v>
      </c>
      <c r="D76" s="269">
        <f>'EV Dep Sch Y1'!D76+'EV Dep Sch Y2'!D68+'EV Dep Sch Y3'!D56+'EV Dep Sch Y4'!D44+'EV Dep Sch Y5'!D32+'EV Dep Sch Y6'!D20</f>
        <v>69205.354322216852</v>
      </c>
      <c r="E76" s="269">
        <f>'EV Dep Sch Y1'!E76+'EV Dep Sch Y2'!E68+'EV Dep Sch Y3'!E56+'EV Dep Sch Y4'!E44+'EV Dep Sch Y5'!E32+'EV Dep Sch Y6'!E20</f>
        <v>112900.05855994555</v>
      </c>
      <c r="F76" s="269">
        <f>'EV Dep Sch Y1'!F76+'EV Dep Sch Y2'!F68+'EV Dep Sch Y3'!F56+'EV Dep Sch Y4'!F44+'EV Dep Sch Y5'!F32+'EV Dep Sch Y6'!F20</f>
        <v>-4846662.7456601132</v>
      </c>
      <c r="G76" s="269">
        <f>'EV Dep Sch Y1'!G76+'EV Dep Sch Y2'!G68+'EV Dep Sch Y3'!G56+'EV Dep Sch Y4'!G44+'EV Dep Sch Y5'!G32+'EV Dep Sch Y6'!G20</f>
        <v>-5306228.2648777487</v>
      </c>
      <c r="H76" s="269">
        <f>'EV Dep Sch Y1'!H76+'EV Dep Sch Y2'!H68+'EV Dep Sch Y3'!H56+'EV Dep Sch Y4'!H44+'EV Dep Sch Y5'!H32+'EV Dep Sch Y6'!H20</f>
        <v>1927340.7679366202</v>
      </c>
      <c r="I76" s="269">
        <f>'EV Dep Sch Y1'!I76+'EV Dep Sch Y2'!I68+'EV Dep Sch Y3'!I56+'EV Dep Sch Y4'!I44+'EV Dep Sch Y5'!I32+'EV Dep Sch Y6'!I20</f>
        <v>1467775.2487189847</v>
      </c>
      <c r="J76" s="269">
        <f>'EV Dep Sch Y1'!J76+'EV Dep Sch Y2'!J68+'EV Dep Sch Y3'!J56+'EV Dep Sch Y4'!J44+'EV Dep Sch Y5'!J32+'EV Dep Sch Y6'!J20</f>
        <v>-459565.51921763568</v>
      </c>
      <c r="K76" s="269">
        <f>'EV Dep Sch Y1'!K76+'EV Dep Sch Y2'!K68+'EV Dep Sch Y3'!K56+'EV Dep Sch Y4'!K44+'EV Dep Sch Y5'!K32+'EV Dep Sch Y6'!K20</f>
        <v>96508.759035703493</v>
      </c>
      <c r="L76" s="269">
        <f>'EV Dep Sch Y1'!L76+'EV Dep Sch Y2'!L68+'EV Dep Sch Y3'!L56+'EV Dep Sch Y4'!L44+'EV Dep Sch Y5'!L32+'EV Dep Sch Y6'!L20</f>
        <v>-9175.8878899230767</v>
      </c>
      <c r="M76" s="270">
        <f t="shared" si="2"/>
        <v>1564284.0077546882</v>
      </c>
      <c r="N76" s="21"/>
      <c r="O76" s="271"/>
      <c r="P76" s="271"/>
      <c r="Q76" s="271"/>
      <c r="R76" s="271"/>
      <c r="S76" s="271"/>
      <c r="T76" s="271"/>
    </row>
    <row r="77" spans="1:20" s="230" customFormat="1" ht="15">
      <c r="A77" s="267">
        <f t="shared" si="3"/>
        <v>45351</v>
      </c>
      <c r="B77" s="269">
        <f>'EV Dep Sch Y1'!B77+'EV Dep Sch Y2'!B69+'EV Dep Sch Y3'!B57+'EV Dep Sch Y4'!B45+'EV Dep Sch Y5'!B33+'EV Dep Sch Y6'!B21</f>
        <v>6870116.3899089796</v>
      </c>
      <c r="C77" s="269">
        <f>'EV Dep Sch Y1'!C77+'EV Dep Sch Y2'!C69+'EV Dep Sch Y3'!C57+'EV Dep Sch Y4'!C45+'EV Dep Sch Y5'!C33+'EV Dep Sch Y6'!C21</f>
        <v>6870116.3899089796</v>
      </c>
      <c r="D77" s="269">
        <f>'EV Dep Sch Y1'!D77+'EV Dep Sch Y2'!D69+'EV Dep Sch Y3'!D57+'EV Dep Sch Y4'!D45+'EV Dep Sch Y5'!D33+'EV Dep Sch Y6'!D21</f>
        <v>70922.170575344353</v>
      </c>
      <c r="E77" s="269">
        <f>'EV Dep Sch Y1'!E77+'EV Dep Sch Y2'!E69+'EV Dep Sch Y3'!E57+'EV Dep Sch Y4'!E45+'EV Dep Sch Y5'!E33+'EV Dep Sch Y6'!E21</f>
        <v>114501.93983181633</v>
      </c>
      <c r="F77" s="269">
        <f>'EV Dep Sch Y1'!F77+'EV Dep Sch Y2'!F69+'EV Dep Sch Y3'!F57+'EV Dep Sch Y4'!F45+'EV Dep Sch Y5'!F33+'EV Dep Sch Y6'!F21</f>
        <v>-4917584.9162354572</v>
      </c>
      <c r="G77" s="269">
        <f>'EV Dep Sch Y1'!G77+'EV Dep Sch Y2'!G69+'EV Dep Sch Y3'!G57+'EV Dep Sch Y4'!G45+'EV Dep Sch Y5'!G33+'EV Dep Sch Y6'!G21</f>
        <v>-5420730.2047095653</v>
      </c>
      <c r="H77" s="269">
        <f>'EV Dep Sch Y1'!H77+'EV Dep Sch Y2'!H69+'EV Dep Sch Y3'!H57+'EV Dep Sch Y4'!H45+'EV Dep Sch Y5'!H33+'EV Dep Sch Y6'!H21</f>
        <v>1952531.4736735227</v>
      </c>
      <c r="I77" s="269">
        <f>'EV Dep Sch Y1'!I77+'EV Dep Sch Y2'!I69+'EV Dep Sch Y3'!I57+'EV Dep Sch Y4'!I45+'EV Dep Sch Y5'!I33+'EV Dep Sch Y6'!I21</f>
        <v>1449386.1851994148</v>
      </c>
      <c r="J77" s="269">
        <f>'EV Dep Sch Y1'!J77+'EV Dep Sch Y2'!J69+'EV Dep Sch Y3'!J57+'EV Dep Sch Y4'!J45+'EV Dep Sch Y5'!J33+'EV Dep Sch Y6'!J21</f>
        <v>-503145.28847410769</v>
      </c>
      <c r="K77" s="269">
        <f>'EV Dep Sch Y1'!K77+'EV Dep Sch Y2'!K69+'EV Dep Sch Y3'!K57+'EV Dep Sch Y4'!K45+'EV Dep Sch Y5'!K33+'EV Dep Sch Y6'!K21</f>
        <v>105660.51057956263</v>
      </c>
      <c r="L77" s="269">
        <f>'EV Dep Sch Y1'!L77+'EV Dep Sch Y2'!L69+'EV Dep Sch Y3'!L57+'EV Dep Sch Y4'!L45+'EV Dep Sch Y5'!L33+'EV Dep Sch Y6'!L21</f>
        <v>-9151.7515438591454</v>
      </c>
      <c r="M77" s="270">
        <f t="shared" si="2"/>
        <v>1555046.6957789776</v>
      </c>
      <c r="N77" s="21"/>
      <c r="O77" s="271"/>
      <c r="P77" s="271"/>
      <c r="Q77" s="271"/>
      <c r="R77" s="271"/>
      <c r="S77" s="271"/>
      <c r="T77" s="271"/>
    </row>
    <row r="78" spans="1:20" s="230" customFormat="1" ht="15">
      <c r="A78" s="267">
        <f t="shared" si="3"/>
        <v>45382</v>
      </c>
      <c r="B78" s="269">
        <f>'EV Dep Sch Y1'!B78+'EV Dep Sch Y2'!B70+'EV Dep Sch Y3'!B58+'EV Dep Sch Y4'!B46+'EV Dep Sch Y5'!B34+'EV Dep Sch Y6'!B22</f>
        <v>6966229.2662212271</v>
      </c>
      <c r="C78" s="269">
        <f>'EV Dep Sch Y1'!C78+'EV Dep Sch Y2'!C70+'EV Dep Sch Y3'!C58+'EV Dep Sch Y4'!C46+'EV Dep Sch Y5'!C34+'EV Dep Sch Y6'!C22</f>
        <v>6966229.2662212271</v>
      </c>
      <c r="D78" s="269">
        <f>'EV Dep Sch Y1'!D78+'EV Dep Sch Y2'!D70+'EV Dep Sch Y3'!D58+'EV Dep Sch Y4'!D46+'EV Dep Sch Y5'!D34+'EV Dep Sch Y6'!D22</f>
        <v>72638.986828471869</v>
      </c>
      <c r="E78" s="269">
        <f>'EV Dep Sch Y1'!E78+'EV Dep Sch Y2'!E70+'EV Dep Sch Y3'!E58+'EV Dep Sch Y4'!E46+'EV Dep Sch Y5'!E34+'EV Dep Sch Y6'!E22</f>
        <v>116103.82110368711</v>
      </c>
      <c r="F78" s="269">
        <f>'EV Dep Sch Y1'!F78+'EV Dep Sch Y2'!F70+'EV Dep Sch Y3'!F58+'EV Dep Sch Y4'!F46+'EV Dep Sch Y5'!F34+'EV Dep Sch Y6'!F22</f>
        <v>-4990223.9030639278</v>
      </c>
      <c r="G78" s="269">
        <f>'EV Dep Sch Y1'!G78+'EV Dep Sch Y2'!G70+'EV Dep Sch Y3'!G58+'EV Dep Sch Y4'!G46+'EV Dep Sch Y5'!G34+'EV Dep Sch Y6'!G22</f>
        <v>-5536834.0258132517</v>
      </c>
      <c r="H78" s="269">
        <f>'EV Dep Sch Y1'!H78+'EV Dep Sch Y2'!H70+'EV Dep Sch Y3'!H58+'EV Dep Sch Y4'!H46+'EV Dep Sch Y5'!H34+'EV Dep Sch Y6'!H22</f>
        <v>1976005.3631572977</v>
      </c>
      <c r="I78" s="269">
        <f>'EV Dep Sch Y1'!I78+'EV Dep Sch Y2'!I70+'EV Dep Sch Y3'!I58+'EV Dep Sch Y4'!I46+'EV Dep Sch Y5'!I34+'EV Dep Sch Y6'!I22</f>
        <v>1429395.2404079745</v>
      </c>
      <c r="J78" s="269">
        <f>'EV Dep Sch Y1'!J78+'EV Dep Sch Y2'!J70+'EV Dep Sch Y3'!J58+'EV Dep Sch Y4'!J46+'EV Dep Sch Y5'!J34+'EV Dep Sch Y6'!J22</f>
        <v>-546610.12274932326</v>
      </c>
      <c r="K78" s="269">
        <f>'EV Dep Sch Y1'!K78+'EV Dep Sch Y2'!K70+'EV Dep Sch Y3'!K58+'EV Dep Sch Y4'!K46+'EV Dep Sch Y5'!K34+'EV Dep Sch Y6'!K22</f>
        <v>114788.12577735788</v>
      </c>
      <c r="L78" s="269">
        <f>'EV Dep Sch Y1'!L78+'EV Dep Sch Y2'!L70+'EV Dep Sch Y3'!L58+'EV Dep Sch Y4'!L46+'EV Dep Sch Y5'!L34+'EV Dep Sch Y6'!L22</f>
        <v>-9127.6151977952486</v>
      </c>
      <c r="M78" s="270">
        <f t="shared" si="2"/>
        <v>1544183.3661853324</v>
      </c>
      <c r="N78" s="21"/>
      <c r="O78" s="271"/>
      <c r="P78" s="271"/>
      <c r="Q78" s="271"/>
      <c r="R78" s="271"/>
      <c r="S78" s="271"/>
      <c r="T78" s="271"/>
    </row>
    <row r="79" spans="1:20" s="230" customFormat="1" ht="15">
      <c r="A79" s="267">
        <f t="shared" si="3"/>
        <v>45412</v>
      </c>
      <c r="B79" s="269">
        <f>'EV Dep Sch Y1'!B79+'EV Dep Sch Y2'!B71+'EV Dep Sch Y3'!B59+'EV Dep Sch Y4'!B47+'EV Dep Sch Y5'!B35+'EV Dep Sch Y6'!B23</f>
        <v>7062342.1425334737</v>
      </c>
      <c r="C79" s="269">
        <f>'EV Dep Sch Y1'!C79+'EV Dep Sch Y2'!C71+'EV Dep Sch Y3'!C59+'EV Dep Sch Y4'!C47+'EV Dep Sch Y5'!C35+'EV Dep Sch Y6'!C23</f>
        <v>7062342.1425334737</v>
      </c>
      <c r="D79" s="269">
        <f>'EV Dep Sch Y1'!D79+'EV Dep Sch Y2'!D71+'EV Dep Sch Y3'!D59+'EV Dep Sch Y4'!D47+'EV Dep Sch Y5'!D35+'EV Dep Sch Y6'!D23</f>
        <v>74355.803081599384</v>
      </c>
      <c r="E79" s="269">
        <f>'EV Dep Sch Y1'!E79+'EV Dep Sch Y2'!E71+'EV Dep Sch Y3'!E59+'EV Dep Sch Y4'!E47+'EV Dep Sch Y5'!E35+'EV Dep Sch Y6'!E23</f>
        <v>117705.70237555788</v>
      </c>
      <c r="F79" s="269">
        <f>'EV Dep Sch Y1'!F79+'EV Dep Sch Y2'!F71+'EV Dep Sch Y3'!F59+'EV Dep Sch Y4'!F47+'EV Dep Sch Y5'!F35+'EV Dep Sch Y6'!F23</f>
        <v>-5064579.7061455278</v>
      </c>
      <c r="G79" s="269">
        <f>'EV Dep Sch Y1'!G79+'EV Dep Sch Y2'!G71+'EV Dep Sch Y3'!G59+'EV Dep Sch Y4'!G47+'EV Dep Sch Y5'!G35+'EV Dep Sch Y6'!G23</f>
        <v>-5654539.7281888109</v>
      </c>
      <c r="H79" s="269">
        <f>'EV Dep Sch Y1'!H79+'EV Dep Sch Y2'!H71+'EV Dep Sch Y3'!H59+'EV Dep Sch Y4'!H47+'EV Dep Sch Y5'!H35+'EV Dep Sch Y6'!H23</f>
        <v>1997762.4363879452</v>
      </c>
      <c r="I79" s="269">
        <f>'EV Dep Sch Y1'!I79+'EV Dep Sch Y2'!I71+'EV Dep Sch Y3'!I59+'EV Dep Sch Y4'!I47+'EV Dep Sch Y5'!I35+'EV Dep Sch Y6'!I23</f>
        <v>1407802.4143446633</v>
      </c>
      <c r="J79" s="269">
        <f>'EV Dep Sch Y1'!J79+'EV Dep Sch Y2'!J71+'EV Dep Sch Y3'!J59+'EV Dep Sch Y4'!J47+'EV Dep Sch Y5'!J35+'EV Dep Sch Y6'!J23</f>
        <v>-589960.02204328193</v>
      </c>
      <c r="K79" s="269">
        <f>'EV Dep Sch Y1'!K79+'EV Dep Sch Y2'!K71+'EV Dep Sch Y3'!K59+'EV Dep Sch Y4'!K47+'EV Dep Sch Y5'!K35+'EV Dep Sch Y6'!K23</f>
        <v>123891.60462908918</v>
      </c>
      <c r="L79" s="269">
        <f>'EV Dep Sch Y1'!L79+'EV Dep Sch Y2'!L71+'EV Dep Sch Y3'!L59+'EV Dep Sch Y4'!L47+'EV Dep Sch Y5'!L35+'EV Dep Sch Y6'!L23</f>
        <v>-9103.4788517313191</v>
      </c>
      <c r="M79" s="270">
        <f t="shared" si="2"/>
        <v>1531694.0189737524</v>
      </c>
      <c r="N79" s="21"/>
      <c r="O79" s="271"/>
      <c r="P79" s="271"/>
      <c r="Q79" s="271"/>
      <c r="R79" s="271"/>
      <c r="S79" s="271"/>
      <c r="T79" s="271"/>
    </row>
    <row r="80" spans="1:20" s="230" customFormat="1" ht="15">
      <c r="A80" s="267">
        <f t="shared" si="3"/>
        <v>45443</v>
      </c>
      <c r="B80" s="269">
        <f>'EV Dep Sch Y1'!B80+'EV Dep Sch Y2'!B72+'EV Dep Sch Y3'!B60+'EV Dep Sch Y4'!B48+'EV Dep Sch Y5'!B36+'EV Dep Sch Y6'!B24</f>
        <v>7158455.0188457202</v>
      </c>
      <c r="C80" s="269">
        <f>'EV Dep Sch Y1'!C80+'EV Dep Sch Y2'!C72+'EV Dep Sch Y3'!C60+'EV Dep Sch Y4'!C48+'EV Dep Sch Y5'!C36+'EV Dep Sch Y6'!C24</f>
        <v>7158455.0188457202</v>
      </c>
      <c r="D80" s="269">
        <f>'EV Dep Sch Y1'!D80+'EV Dep Sch Y2'!D72+'EV Dep Sch Y3'!D60+'EV Dep Sch Y4'!D48+'EV Dep Sch Y5'!D36+'EV Dep Sch Y6'!D24</f>
        <v>76072.619334726885</v>
      </c>
      <c r="E80" s="269">
        <f>'EV Dep Sch Y1'!E80+'EV Dep Sch Y2'!E72+'EV Dep Sch Y3'!E60+'EV Dep Sch Y4'!E48+'EV Dep Sch Y5'!E36+'EV Dep Sch Y6'!E24</f>
        <v>119307.58364742866</v>
      </c>
      <c r="F80" s="269">
        <f>'EV Dep Sch Y1'!F80+'EV Dep Sch Y2'!F72+'EV Dep Sch Y3'!F60+'EV Dep Sch Y4'!F48+'EV Dep Sch Y5'!F36+'EV Dep Sch Y6'!F24</f>
        <v>-5140652.3254802544</v>
      </c>
      <c r="G80" s="269">
        <f>'EV Dep Sch Y1'!G80+'EV Dep Sch Y2'!G72+'EV Dep Sch Y3'!G60+'EV Dep Sch Y4'!G48+'EV Dep Sch Y5'!G36+'EV Dep Sch Y6'!G24</f>
        <v>-5773847.311836239</v>
      </c>
      <c r="H80" s="269">
        <f>'EV Dep Sch Y1'!H80+'EV Dep Sch Y2'!H72+'EV Dep Sch Y3'!H60+'EV Dep Sch Y4'!H48+'EV Dep Sch Y5'!H36+'EV Dep Sch Y6'!H24</f>
        <v>2017802.6933654652</v>
      </c>
      <c r="I80" s="269">
        <f>'EV Dep Sch Y1'!I80+'EV Dep Sch Y2'!I72+'EV Dep Sch Y3'!I60+'EV Dep Sch Y4'!I48+'EV Dep Sch Y5'!I36+'EV Dep Sch Y6'!I24</f>
        <v>1384607.7070094817</v>
      </c>
      <c r="J80" s="269">
        <f>'EV Dep Sch Y1'!J80+'EV Dep Sch Y2'!J72+'EV Dep Sch Y3'!J60+'EV Dep Sch Y4'!J48+'EV Dep Sch Y5'!J36+'EV Dep Sch Y6'!J24</f>
        <v>-633194.98635598365</v>
      </c>
      <c r="K80" s="269">
        <f>'EV Dep Sch Y1'!K80+'EV Dep Sch Y2'!K72+'EV Dep Sch Y3'!K60+'EV Dep Sch Y4'!K48+'EV Dep Sch Y5'!K36+'EV Dep Sch Y6'!K24</f>
        <v>132970.94713475654</v>
      </c>
      <c r="L80" s="269">
        <f>'EV Dep Sch Y1'!L80+'EV Dep Sch Y2'!L72+'EV Dep Sch Y3'!L60+'EV Dep Sch Y4'!L48+'EV Dep Sch Y5'!L36+'EV Dep Sch Y6'!L24</f>
        <v>-9079.3425056673423</v>
      </c>
      <c r="M80" s="270">
        <f t="shared" si="2"/>
        <v>1517578.6541442382</v>
      </c>
      <c r="N80" s="21"/>
      <c r="O80" s="271"/>
      <c r="P80" s="271"/>
      <c r="Q80" s="271"/>
      <c r="R80" s="271"/>
      <c r="S80" s="271"/>
      <c r="T80" s="271"/>
    </row>
    <row r="81" spans="1:20" s="230" customFormat="1" ht="15">
      <c r="A81" s="267">
        <f t="shared" si="3"/>
        <v>45473</v>
      </c>
      <c r="B81" s="269">
        <f>'EV Dep Sch Y1'!B81+'EV Dep Sch Y2'!B73+'EV Dep Sch Y3'!B61+'EV Dep Sch Y4'!B49+'EV Dep Sch Y5'!B37+'EV Dep Sch Y6'!B25</f>
        <v>7254567.8951579668</v>
      </c>
      <c r="C81" s="269">
        <f>'EV Dep Sch Y1'!C81+'EV Dep Sch Y2'!C73+'EV Dep Sch Y3'!C61+'EV Dep Sch Y4'!C49+'EV Dep Sch Y5'!C37+'EV Dep Sch Y6'!C25</f>
        <v>7254567.8951579668</v>
      </c>
      <c r="D81" s="269">
        <f>'EV Dep Sch Y1'!D81+'EV Dep Sch Y2'!D73+'EV Dep Sch Y3'!D61+'EV Dep Sch Y4'!D49+'EV Dep Sch Y5'!D37+'EV Dep Sch Y6'!D25</f>
        <v>76072.619334726885</v>
      </c>
      <c r="E81" s="269">
        <f>'EV Dep Sch Y1'!E81+'EV Dep Sch Y2'!E73+'EV Dep Sch Y3'!E61+'EV Dep Sch Y4'!E49+'EV Dep Sch Y5'!E37+'EV Dep Sch Y6'!E25</f>
        <v>120909.46491929945</v>
      </c>
      <c r="F81" s="269">
        <f>'EV Dep Sch Y1'!F81+'EV Dep Sch Y2'!F73+'EV Dep Sch Y3'!F61+'EV Dep Sch Y4'!F49+'EV Dep Sch Y5'!F37+'EV Dep Sch Y6'!F25</f>
        <v>-5216724.9448149819</v>
      </c>
      <c r="G81" s="269">
        <f>'EV Dep Sch Y1'!G81+'EV Dep Sch Y2'!G73+'EV Dep Sch Y3'!G61+'EV Dep Sch Y4'!G49+'EV Dep Sch Y5'!G37+'EV Dep Sch Y6'!G25</f>
        <v>-5894756.7767555369</v>
      </c>
      <c r="H81" s="269">
        <f>'EV Dep Sch Y1'!H81+'EV Dep Sch Y2'!H73+'EV Dep Sch Y3'!H61+'EV Dep Sch Y4'!H49+'EV Dep Sch Y5'!H37+'EV Dep Sch Y6'!H25</f>
        <v>2037842.9503429853</v>
      </c>
      <c r="I81" s="269">
        <f>'EV Dep Sch Y1'!I81+'EV Dep Sch Y2'!I73+'EV Dep Sch Y3'!I61+'EV Dep Sch Y4'!I49+'EV Dep Sch Y5'!I37+'EV Dep Sch Y6'!I25</f>
        <v>1359811.1184024289</v>
      </c>
      <c r="J81" s="269">
        <f>'EV Dep Sch Y1'!J81+'EV Dep Sch Y2'!J73+'EV Dep Sch Y3'!J61+'EV Dep Sch Y4'!J49+'EV Dep Sch Y5'!J37+'EV Dep Sch Y6'!J25</f>
        <v>-678031.83194055629</v>
      </c>
      <c r="K81" s="269">
        <f>'EV Dep Sch Y1'!K81+'EV Dep Sch Y2'!K73+'EV Dep Sch Y3'!K61+'EV Dep Sch Y4'!K49+'EV Dep Sch Y5'!K37+'EV Dep Sch Y6'!K25</f>
        <v>142386.68470751678</v>
      </c>
      <c r="L81" s="269">
        <f>'EV Dep Sch Y1'!L81+'EV Dep Sch Y2'!L73+'EV Dep Sch Y3'!L61+'EV Dep Sch Y4'!L49+'EV Dep Sch Y5'!L37+'EV Dep Sch Y6'!L25</f>
        <v>-9415.7375727602521</v>
      </c>
      <c r="M81" s="270">
        <f t="shared" si="2"/>
        <v>1502197.8031099457</v>
      </c>
      <c r="N81" s="21"/>
      <c r="O81" s="271"/>
      <c r="P81" s="271"/>
      <c r="Q81" s="271"/>
      <c r="R81" s="271"/>
      <c r="S81" s="271"/>
      <c r="T81" s="271"/>
    </row>
    <row r="82" spans="1:20" s="230" customFormat="1" ht="15">
      <c r="A82" s="267">
        <f t="shared" si="3"/>
        <v>45504</v>
      </c>
      <c r="B82" s="269">
        <f>'EV Dep Sch Y1'!B82+'EV Dep Sch Y2'!B74+'EV Dep Sch Y3'!B62+'EV Dep Sch Y4'!B50+'EV Dep Sch Y5'!B38+'EV Dep Sch Y6'!B26</f>
        <v>7350680.7714702133</v>
      </c>
      <c r="C82" s="269">
        <f>'EV Dep Sch Y1'!C82+'EV Dep Sch Y2'!C74+'EV Dep Sch Y3'!C62+'EV Dep Sch Y4'!C50+'EV Dep Sch Y5'!C38+'EV Dep Sch Y6'!C26</f>
        <v>7350680.7714702133</v>
      </c>
      <c r="D82" s="269">
        <f>'EV Dep Sch Y1'!D82+'EV Dep Sch Y2'!D74+'EV Dep Sch Y3'!D62+'EV Dep Sch Y4'!D50+'EV Dep Sch Y5'!D38+'EV Dep Sch Y6'!D26</f>
        <v>76072.619334726885</v>
      </c>
      <c r="E82" s="269">
        <f>'EV Dep Sch Y1'!E82+'EV Dep Sch Y2'!E74+'EV Dep Sch Y3'!E62+'EV Dep Sch Y4'!E50+'EV Dep Sch Y5'!E38+'EV Dep Sch Y6'!E26</f>
        <v>122511.34619117023</v>
      </c>
      <c r="F82" s="269">
        <f>'EV Dep Sch Y1'!F82+'EV Dep Sch Y2'!F74+'EV Dep Sch Y3'!F62+'EV Dep Sch Y4'!F50+'EV Dep Sch Y5'!F38+'EV Dep Sch Y6'!F26</f>
        <v>-5292797.5641497076</v>
      </c>
      <c r="G82" s="269">
        <f>'EV Dep Sch Y1'!G82+'EV Dep Sch Y2'!G74+'EV Dep Sch Y3'!G62+'EV Dep Sch Y4'!G50+'EV Dep Sch Y5'!G38+'EV Dep Sch Y6'!G26</f>
        <v>-6017268.1229467085</v>
      </c>
      <c r="H82" s="269">
        <f>'EV Dep Sch Y1'!H82+'EV Dep Sch Y2'!H74+'EV Dep Sch Y3'!H62+'EV Dep Sch Y4'!H50+'EV Dep Sch Y5'!H38+'EV Dep Sch Y6'!H26</f>
        <v>2057883.2073205053</v>
      </c>
      <c r="I82" s="269">
        <f>'EV Dep Sch Y1'!I82+'EV Dep Sch Y2'!I74+'EV Dep Sch Y3'!I62+'EV Dep Sch Y4'!I50+'EV Dep Sch Y5'!I38+'EV Dep Sch Y6'!I26</f>
        <v>1333412.6485235053</v>
      </c>
      <c r="J82" s="269">
        <f>'EV Dep Sch Y1'!J82+'EV Dep Sch Y2'!J74+'EV Dep Sch Y3'!J62+'EV Dep Sch Y4'!J50+'EV Dep Sch Y5'!J38+'EV Dep Sch Y6'!J26</f>
        <v>-724470.55879699963</v>
      </c>
      <c r="K82" s="269">
        <f>'EV Dep Sch Y1'!K82+'EV Dep Sch Y2'!K74+'EV Dep Sch Y3'!K62+'EV Dep Sch Y4'!K50+'EV Dep Sch Y5'!K38+'EV Dep Sch Y6'!K26</f>
        <v>152138.81734736997</v>
      </c>
      <c r="L82" s="269">
        <f>'EV Dep Sch Y1'!L82+'EV Dep Sch Y2'!L74+'EV Dep Sch Y3'!L62+'EV Dep Sch Y4'!L50+'EV Dep Sch Y5'!L38+'EV Dep Sch Y6'!L26</f>
        <v>-9752.1326398531437</v>
      </c>
      <c r="M82" s="270">
        <f t="shared" si="2"/>
        <v>1485551.4658708754</v>
      </c>
      <c r="N82" s="21"/>
      <c r="O82" s="271"/>
      <c r="P82" s="271"/>
      <c r="Q82" s="271"/>
      <c r="R82" s="271"/>
      <c r="S82" s="271"/>
      <c r="T82" s="271"/>
    </row>
    <row r="83" spans="1:20" s="230" customFormat="1" ht="15">
      <c r="A83" s="267">
        <f t="shared" si="3"/>
        <v>45535</v>
      </c>
      <c r="B83" s="269">
        <f>'EV Dep Sch Y1'!B83+'EV Dep Sch Y2'!B75+'EV Dep Sch Y3'!B63+'EV Dep Sch Y4'!B51+'EV Dep Sch Y5'!B39+'EV Dep Sch Y6'!B27</f>
        <v>7446793.6477824608</v>
      </c>
      <c r="C83" s="269">
        <f>'EV Dep Sch Y1'!C83+'EV Dep Sch Y2'!C75+'EV Dep Sch Y3'!C63+'EV Dep Sch Y4'!C51+'EV Dep Sch Y5'!C39+'EV Dep Sch Y6'!C27</f>
        <v>7446793.6477824608</v>
      </c>
      <c r="D83" s="269">
        <f>'EV Dep Sch Y1'!D83+'EV Dep Sch Y2'!D75+'EV Dep Sch Y3'!D63+'EV Dep Sch Y4'!D51+'EV Dep Sch Y5'!D39+'EV Dep Sch Y6'!D27</f>
        <v>76072.619334726885</v>
      </c>
      <c r="E83" s="269">
        <f>'EV Dep Sch Y1'!E83+'EV Dep Sch Y2'!E75+'EV Dep Sch Y3'!E63+'EV Dep Sch Y4'!E51+'EV Dep Sch Y5'!E39+'EV Dep Sch Y6'!E27</f>
        <v>87138.120588035948</v>
      </c>
      <c r="F83" s="269">
        <f>'EV Dep Sch Y1'!F83+'EV Dep Sch Y2'!F75+'EV Dep Sch Y3'!F63+'EV Dep Sch Y4'!F51+'EV Dep Sch Y5'!F39+'EV Dep Sch Y6'!F27</f>
        <v>-5368870.1834844351</v>
      </c>
      <c r="G83" s="269">
        <f>'EV Dep Sch Y1'!G83+'EV Dep Sch Y2'!G75+'EV Dep Sch Y3'!G63+'EV Dep Sch Y4'!G51+'EV Dep Sch Y5'!G39+'EV Dep Sch Y6'!G27</f>
        <v>-6104406.2435347438</v>
      </c>
      <c r="H83" s="269">
        <f>'EV Dep Sch Y1'!H83+'EV Dep Sch Y2'!H75+'EV Dep Sch Y3'!H63+'EV Dep Sch Y4'!H51+'EV Dep Sch Y5'!H39+'EV Dep Sch Y6'!H27</f>
        <v>2077923.4642980252</v>
      </c>
      <c r="I83" s="269">
        <f>'EV Dep Sch Y1'!I83+'EV Dep Sch Y2'!I75+'EV Dep Sch Y3'!I63+'EV Dep Sch Y4'!I51+'EV Dep Sch Y5'!I39+'EV Dep Sch Y6'!I27</f>
        <v>1342387.4042477165</v>
      </c>
      <c r="J83" s="269">
        <f>'EV Dep Sch Y1'!J83+'EV Dep Sch Y2'!J75+'EV Dep Sch Y3'!J63+'EV Dep Sch Y4'!J51+'EV Dep Sch Y5'!J39+'EV Dep Sch Y6'!J27</f>
        <v>-735536.06005030859</v>
      </c>
      <c r="K83" s="269">
        <f>'EV Dep Sch Y1'!K83+'EV Dep Sch Y2'!K75+'EV Dep Sch Y3'!K63+'EV Dep Sch Y4'!K51+'EV Dep Sch Y5'!K39+'EV Dep Sch Y6'!K27</f>
        <v>154462.57261056482</v>
      </c>
      <c r="L83" s="269">
        <f>'EV Dep Sch Y1'!L83+'EV Dep Sch Y2'!L75+'EV Dep Sch Y3'!L63+'EV Dep Sch Y4'!L51+'EV Dep Sch Y5'!L39+'EV Dep Sch Y6'!L27</f>
        <v>-2323.7552631948893</v>
      </c>
      <c r="M83" s="270">
        <f t="shared" si="2"/>
        <v>1496849.9768582813</v>
      </c>
      <c r="N83" s="21"/>
      <c r="O83" s="271"/>
      <c r="P83" s="271"/>
      <c r="Q83" s="271"/>
      <c r="R83" s="271"/>
      <c r="S83" s="271"/>
      <c r="T83" s="271"/>
    </row>
    <row r="84" spans="1:20" s="230" customFormat="1" ht="15">
      <c r="A84" s="267">
        <f t="shared" si="3"/>
        <v>45565</v>
      </c>
      <c r="B84" s="269">
        <f>'EV Dep Sch Y1'!B84+'EV Dep Sch Y2'!B76+'EV Dep Sch Y3'!B64+'EV Dep Sch Y4'!B52+'EV Dep Sch Y5'!B40+'EV Dep Sch Y6'!B28</f>
        <v>7542906.5240947073</v>
      </c>
      <c r="C84" s="269">
        <f>'EV Dep Sch Y1'!C84+'EV Dep Sch Y2'!C76+'EV Dep Sch Y3'!C64+'EV Dep Sch Y4'!C52+'EV Dep Sch Y5'!C40+'EV Dep Sch Y6'!C28</f>
        <v>7542906.5240947073</v>
      </c>
      <c r="D84" s="269">
        <f>'EV Dep Sch Y1'!D84+'EV Dep Sch Y2'!D76+'EV Dep Sch Y3'!D64+'EV Dep Sch Y4'!D52+'EV Dep Sch Y5'!D40+'EV Dep Sch Y6'!D28</f>
        <v>70362.791026251696</v>
      </c>
      <c r="E84" s="269">
        <f>'EV Dep Sch Y1'!E84+'EV Dep Sch Y2'!E76+'EV Dep Sch Y3'!E64+'EV Dep Sch Y4'!E52+'EV Dep Sch Y5'!E40+'EV Dep Sch Y6'!E28</f>
        <v>51764.8949849118</v>
      </c>
      <c r="F84" s="269">
        <f>'EV Dep Sch Y1'!F84+'EV Dep Sch Y2'!F76+'EV Dep Sch Y3'!F64+'EV Dep Sch Y4'!F52+'EV Dep Sch Y5'!F40+'EV Dep Sch Y6'!F28</f>
        <v>-5439232.9745106865</v>
      </c>
      <c r="G84" s="269">
        <f>'EV Dep Sch Y1'!G84+'EV Dep Sch Y2'!G76+'EV Dep Sch Y3'!G64+'EV Dep Sch Y4'!G52+'EV Dep Sch Y5'!G40+'EV Dep Sch Y6'!G28</f>
        <v>-6156171.1385196559</v>
      </c>
      <c r="H84" s="269">
        <f>'EV Dep Sch Y1'!H84+'EV Dep Sch Y2'!H76+'EV Dep Sch Y3'!H64+'EV Dep Sch Y4'!H52+'EV Dep Sch Y5'!H40+'EV Dep Sch Y6'!H28</f>
        <v>2103673.5495840209</v>
      </c>
      <c r="I84" s="269">
        <f>'EV Dep Sch Y1'!I84+'EV Dep Sch Y2'!I76+'EV Dep Sch Y3'!I64+'EV Dep Sch Y4'!I52+'EV Dep Sch Y5'!I40+'EV Dep Sch Y6'!I28</f>
        <v>1386735.3855750514</v>
      </c>
      <c r="J84" s="269">
        <f>'EV Dep Sch Y1'!J84+'EV Dep Sch Y2'!J76+'EV Dep Sch Y3'!J64+'EV Dep Sch Y4'!J52+'EV Dep Sch Y5'!J40+'EV Dep Sch Y6'!J28</f>
        <v>-716938.16400896921</v>
      </c>
      <c r="K84" s="269">
        <f>'EV Dep Sch Y1'!K84+'EV Dep Sch Y2'!K76+'EV Dep Sch Y3'!K64+'EV Dep Sch Y4'!K52+'EV Dep Sch Y5'!K40+'EV Dep Sch Y6'!K28</f>
        <v>150557.01444188351</v>
      </c>
      <c r="L84" s="269">
        <f>'EV Dep Sch Y1'!L84+'EV Dep Sch Y2'!L76+'EV Dep Sch Y3'!L64+'EV Dep Sch Y4'!L52+'EV Dep Sch Y5'!L40+'EV Dep Sch Y6'!L28</f>
        <v>3905.5581686813121</v>
      </c>
      <c r="M84" s="270">
        <f t="shared" si="2"/>
        <v>1537292.4000169348</v>
      </c>
      <c r="N84" s="21"/>
      <c r="O84" s="271"/>
      <c r="P84" s="271"/>
      <c r="Q84" s="271"/>
      <c r="R84" s="271"/>
      <c r="S84" s="271"/>
      <c r="T84" s="271"/>
    </row>
    <row r="85" spans="1:20" s="230" customFormat="1" ht="15">
      <c r="A85" s="267">
        <f t="shared" si="3"/>
        <v>45596</v>
      </c>
      <c r="B85" s="269">
        <f>'EV Dep Sch Y1'!B85+'EV Dep Sch Y2'!B77+'EV Dep Sch Y3'!B65+'EV Dep Sch Y4'!B53+'EV Dep Sch Y5'!B41+'EV Dep Sch Y6'!B29</f>
        <v>7639019.4004069539</v>
      </c>
      <c r="C85" s="269">
        <f>'EV Dep Sch Y1'!C85+'EV Dep Sch Y2'!C77+'EV Dep Sch Y3'!C65+'EV Dep Sch Y4'!C53+'EV Dep Sch Y5'!C41+'EV Dep Sch Y6'!C29</f>
        <v>7639019.4004069539</v>
      </c>
      <c r="D85" s="269">
        <f>'EV Dep Sch Y1'!D85+'EV Dep Sch Y2'!D77+'EV Dep Sch Y3'!D65+'EV Dep Sch Y4'!D53+'EV Dep Sch Y5'!D41+'EV Dep Sch Y6'!D29</f>
        <v>72324.294643657471</v>
      </c>
      <c r="E85" s="269">
        <f>'EV Dep Sch Y1'!E85+'EV Dep Sch Y2'!E77+'EV Dep Sch Y3'!E65+'EV Dep Sch Y4'!E53+'EV Dep Sch Y5'!E41+'EV Dep Sch Y6'!E29</f>
        <v>53366.776256782578</v>
      </c>
      <c r="F85" s="269">
        <f>'EV Dep Sch Y1'!F85+'EV Dep Sch Y2'!F77+'EV Dep Sch Y3'!F65+'EV Dep Sch Y4'!F53+'EV Dep Sch Y5'!F41+'EV Dep Sch Y6'!F29</f>
        <v>-5511557.2691543438</v>
      </c>
      <c r="G85" s="269">
        <f>'EV Dep Sch Y1'!G85+'EV Dep Sch Y2'!G77+'EV Dep Sch Y3'!G65+'EV Dep Sch Y4'!G53+'EV Dep Sch Y5'!G41+'EV Dep Sch Y6'!G29</f>
        <v>-6209537.9147764379</v>
      </c>
      <c r="H85" s="269">
        <f>'EV Dep Sch Y1'!H85+'EV Dep Sch Y2'!H77+'EV Dep Sch Y3'!H65+'EV Dep Sch Y4'!H53+'EV Dep Sch Y5'!H41+'EV Dep Sch Y6'!H29</f>
        <v>2127462.1312526101</v>
      </c>
      <c r="I85" s="269">
        <f>'EV Dep Sch Y1'!I85+'EV Dep Sch Y2'!I77+'EV Dep Sch Y3'!I65+'EV Dep Sch Y4'!I53+'EV Dep Sch Y5'!I41+'EV Dep Sch Y6'!I29</f>
        <v>1429481.4856305155</v>
      </c>
      <c r="J85" s="269">
        <f>'EV Dep Sch Y1'!J85+'EV Dep Sch Y2'!J77+'EV Dep Sch Y3'!J65+'EV Dep Sch Y4'!J53+'EV Dep Sch Y5'!J41+'EV Dep Sch Y6'!J29</f>
        <v>-697980.64562209451</v>
      </c>
      <c r="K85" s="269">
        <f>'EV Dep Sch Y1'!K85+'EV Dep Sch Y2'!K77+'EV Dep Sch Y3'!K65+'EV Dep Sch Y4'!K53+'EV Dep Sch Y5'!K41+'EV Dep Sch Y6'!K29</f>
        <v>146575.93558063978</v>
      </c>
      <c r="L85" s="269">
        <f>'EV Dep Sch Y1'!L85+'EV Dep Sch Y2'!L77+'EV Dep Sch Y3'!L65+'EV Dep Sch Y4'!L53+'EV Dep Sch Y5'!L41+'EV Dep Sch Y6'!L29</f>
        <v>3981.07886124368</v>
      </c>
      <c r="M85" s="270">
        <f t="shared" ref="M85:M148" si="4">I85+K85</f>
        <v>1576057.4212111554</v>
      </c>
      <c r="N85" s="21"/>
      <c r="O85" s="271"/>
      <c r="P85" s="271"/>
      <c r="Q85" s="271"/>
      <c r="R85" s="271"/>
      <c r="S85" s="271"/>
      <c r="T85" s="271"/>
    </row>
    <row r="86" spans="1:20" s="230" customFormat="1" ht="15">
      <c r="A86" s="267">
        <f t="shared" ref="A86:A149" si="5">EOMONTH(A85,1)</f>
        <v>45626</v>
      </c>
      <c r="B86" s="269">
        <f>'EV Dep Sch Y1'!B86+'EV Dep Sch Y2'!B78+'EV Dep Sch Y3'!B66+'EV Dep Sch Y4'!B54+'EV Dep Sch Y5'!B42+'EV Dep Sch Y6'!B30</f>
        <v>7735132.2767192014</v>
      </c>
      <c r="C86" s="269">
        <f>'EV Dep Sch Y1'!C86+'EV Dep Sch Y2'!C78+'EV Dep Sch Y3'!C66+'EV Dep Sch Y4'!C54+'EV Dep Sch Y5'!C42+'EV Dep Sch Y6'!C30</f>
        <v>7735132.2767192014</v>
      </c>
      <c r="D86" s="269">
        <f>'EV Dep Sch Y1'!D86+'EV Dep Sch Y2'!D78+'EV Dep Sch Y3'!D66+'EV Dep Sch Y4'!D54+'EV Dep Sch Y5'!D42+'EV Dep Sch Y6'!D30</f>
        <v>74285.798261063246</v>
      </c>
      <c r="E86" s="269">
        <f>'EV Dep Sch Y1'!E86+'EV Dep Sch Y2'!E78+'EV Dep Sch Y3'!E66+'EV Dep Sch Y4'!E54+'EV Dep Sch Y5'!E42+'EV Dep Sch Y6'!E30</f>
        <v>54968.657528653363</v>
      </c>
      <c r="F86" s="269">
        <f>'EV Dep Sch Y1'!F86+'EV Dep Sch Y2'!F78+'EV Dep Sch Y3'!F66+'EV Dep Sch Y4'!F54+'EV Dep Sch Y5'!F42+'EV Dep Sch Y6'!F30</f>
        <v>-5585843.0674154069</v>
      </c>
      <c r="G86" s="269">
        <f>'EV Dep Sch Y1'!G86+'EV Dep Sch Y2'!G78+'EV Dep Sch Y3'!G66+'EV Dep Sch Y4'!G54+'EV Dep Sch Y5'!G42+'EV Dep Sch Y6'!G30</f>
        <v>-6264506.5723050917</v>
      </c>
      <c r="H86" s="269">
        <f>'EV Dep Sch Y1'!H86+'EV Dep Sch Y2'!H78+'EV Dep Sch Y3'!H66+'EV Dep Sch Y4'!H54+'EV Dep Sch Y5'!H42+'EV Dep Sch Y6'!H30</f>
        <v>2149289.209303794</v>
      </c>
      <c r="I86" s="269">
        <f>'EV Dep Sch Y1'!I86+'EV Dep Sch Y2'!I78+'EV Dep Sch Y3'!I66+'EV Dep Sch Y4'!I54+'EV Dep Sch Y5'!I42+'EV Dep Sch Y6'!I30</f>
        <v>1470625.7044141092</v>
      </c>
      <c r="J86" s="269">
        <f>'EV Dep Sch Y1'!J86+'EV Dep Sch Y2'!J78+'EV Dep Sch Y3'!J66+'EV Dep Sch Y4'!J54+'EV Dep Sch Y5'!J42+'EV Dep Sch Y6'!J30</f>
        <v>-678663.50488968496</v>
      </c>
      <c r="K86" s="269">
        <f>'EV Dep Sch Y1'!K86+'EV Dep Sch Y2'!K78+'EV Dep Sch Y3'!K66+'EV Dep Sch Y4'!K54+'EV Dep Sch Y5'!K42+'EV Dep Sch Y6'!K30</f>
        <v>142519.33602683383</v>
      </c>
      <c r="L86" s="269">
        <f>'EV Dep Sch Y1'!L86+'EV Dep Sch Y2'!L78+'EV Dep Sch Y3'!L66+'EV Dep Sch Y4'!L54+'EV Dep Sch Y5'!L42+'EV Dep Sch Y6'!L30</f>
        <v>4056.5995538059988</v>
      </c>
      <c r="M86" s="270">
        <f t="shared" si="4"/>
        <v>1613145.0404409431</v>
      </c>
      <c r="N86" s="21"/>
      <c r="O86" s="271"/>
      <c r="P86" s="271"/>
      <c r="Q86" s="271"/>
      <c r="R86" s="271"/>
      <c r="S86" s="271"/>
      <c r="T86" s="271"/>
    </row>
    <row r="87" spans="1:20" s="230" customFormat="1" ht="15">
      <c r="A87" s="267">
        <f t="shared" si="5"/>
        <v>45657</v>
      </c>
      <c r="B87" s="269">
        <f>'EV Dep Sch Y1'!B87+'EV Dep Sch Y2'!B79+'EV Dep Sch Y3'!B67+'EV Dep Sch Y4'!B55+'EV Dep Sch Y5'!B43+'EV Dep Sch Y6'!B31</f>
        <v>7831245.1530314479</v>
      </c>
      <c r="C87" s="269">
        <f>'EV Dep Sch Y1'!C87+'EV Dep Sch Y2'!C79+'EV Dep Sch Y3'!C67+'EV Dep Sch Y4'!C55+'EV Dep Sch Y5'!C43+'EV Dep Sch Y6'!C31</f>
        <v>7831245.1530314479</v>
      </c>
      <c r="D87" s="269">
        <f>'EV Dep Sch Y1'!D87+'EV Dep Sch Y2'!D79+'EV Dep Sch Y3'!D67+'EV Dep Sch Y4'!D55+'EV Dep Sch Y5'!D43+'EV Dep Sch Y6'!D31</f>
        <v>76247.301878469007</v>
      </c>
      <c r="E87" s="269">
        <f>'EV Dep Sch Y1'!E87+'EV Dep Sch Y2'!E79+'EV Dep Sch Y3'!E67+'EV Dep Sch Y4'!E55+'EV Dep Sch Y5'!E43+'EV Dep Sch Y6'!E31</f>
        <v>56570.53880052414</v>
      </c>
      <c r="F87" s="269">
        <f>'EV Dep Sch Y1'!F87+'EV Dep Sch Y2'!F79+'EV Dep Sch Y3'!F67+'EV Dep Sch Y4'!F55+'EV Dep Sch Y5'!F43+'EV Dep Sch Y6'!F31</f>
        <v>-5662090.3692938741</v>
      </c>
      <c r="G87" s="269">
        <f>'EV Dep Sch Y1'!G87+'EV Dep Sch Y2'!G79+'EV Dep Sch Y3'!G67+'EV Dep Sch Y4'!G55+'EV Dep Sch Y5'!G43+'EV Dep Sch Y6'!G31</f>
        <v>-6321077.1111056153</v>
      </c>
      <c r="H87" s="269">
        <f>'EV Dep Sch Y1'!H87+'EV Dep Sch Y2'!H79+'EV Dep Sch Y3'!H67+'EV Dep Sch Y4'!H55+'EV Dep Sch Y5'!H43+'EV Dep Sch Y6'!H31</f>
        <v>2169154.7837375719</v>
      </c>
      <c r="I87" s="269">
        <f>'EV Dep Sch Y1'!I87+'EV Dep Sch Y2'!I79+'EV Dep Sch Y3'!I67+'EV Dep Sch Y4'!I55+'EV Dep Sch Y5'!I43+'EV Dep Sch Y6'!I31</f>
        <v>1510168.0419258319</v>
      </c>
      <c r="J87" s="269">
        <f>'EV Dep Sch Y1'!J87+'EV Dep Sch Y2'!J79+'EV Dep Sch Y3'!J67+'EV Dep Sch Y4'!J55+'EV Dep Sch Y5'!J43+'EV Dep Sch Y6'!J31</f>
        <v>-658986.7418117401</v>
      </c>
      <c r="K87" s="269">
        <f>'EV Dep Sch Y1'!K87+'EV Dep Sch Y2'!K79+'EV Dep Sch Y3'!K67+'EV Dep Sch Y4'!K55+'EV Dep Sch Y5'!K43+'EV Dep Sch Y6'!K31</f>
        <v>138387.21578046543</v>
      </c>
      <c r="L87" s="269">
        <f>'EV Dep Sch Y1'!L87+'EV Dep Sch Y2'!L79+'EV Dep Sch Y3'!L67+'EV Dep Sch Y4'!L55+'EV Dep Sch Y5'!L43+'EV Dep Sch Y6'!L31</f>
        <v>4132.1202463684049</v>
      </c>
      <c r="M87" s="270">
        <f t="shared" si="4"/>
        <v>1648555.2577062973</v>
      </c>
      <c r="N87" s="21"/>
      <c r="O87" s="271"/>
      <c r="P87" s="271"/>
      <c r="Q87" s="271"/>
      <c r="R87" s="271"/>
      <c r="S87" s="271"/>
      <c r="T87" s="271"/>
    </row>
    <row r="88" spans="1:20" s="230" customFormat="1" ht="15">
      <c r="A88" s="267">
        <f t="shared" si="5"/>
        <v>45688</v>
      </c>
      <c r="B88" s="269">
        <f>'EV Dep Sch Y1'!B88+'EV Dep Sch Y2'!B80+'EV Dep Sch Y3'!B68+'EV Dep Sch Y4'!B56+'EV Dep Sch Y5'!B44+'EV Dep Sch Y6'!B32+'EV Dep Sch Y7'!B20</f>
        <v>7904355.383180486</v>
      </c>
      <c r="C88" s="269">
        <f>'EV Dep Sch Y1'!C88+'EV Dep Sch Y2'!C80+'EV Dep Sch Y3'!C68+'EV Dep Sch Y4'!C56+'EV Dep Sch Y5'!C44+'EV Dep Sch Y6'!C32+'EV Dep Sch Y7'!C20</f>
        <v>7904355.383180486</v>
      </c>
      <c r="D88" s="269">
        <f>'EV Dep Sch Y1'!D88+'EV Dep Sch Y2'!D80+'EV Dep Sch Y3'!D68+'EV Dep Sch Y4'!D56+'EV Dep Sch Y5'!D44+'EV Dep Sch Y6'!D32+'EV Dep Sch Y7'!D20</f>
        <v>86731.72887364155</v>
      </c>
      <c r="E88" s="269">
        <f>'EV Dep Sch Y1'!E88+'EV Dep Sch Y2'!E80+'EV Dep Sch Y3'!E68+'EV Dep Sch Y4'!E56+'EV Dep Sch Y5'!E44+'EV Dep Sch Y6'!E32+'EV Dep Sch Y7'!E20</f>
        <v>57789.042636341437</v>
      </c>
      <c r="F88" s="269">
        <f>'EV Dep Sch Y1'!F88+'EV Dep Sch Y2'!F80+'EV Dep Sch Y3'!F68+'EV Dep Sch Y4'!F56+'EV Dep Sch Y5'!F44+'EV Dep Sch Y6'!F32+'EV Dep Sch Y7'!F20</f>
        <v>-5748822.0981675172</v>
      </c>
      <c r="G88" s="269">
        <f>'EV Dep Sch Y1'!G88+'EV Dep Sch Y2'!G80+'EV Dep Sch Y3'!G68+'EV Dep Sch Y4'!G56+'EV Dep Sch Y5'!G44+'EV Dep Sch Y6'!G32+'EV Dep Sch Y7'!G20</f>
        <v>-6378866.1537419558</v>
      </c>
      <c r="H88" s="269">
        <f>'EV Dep Sch Y1'!H88+'EV Dep Sch Y2'!H80+'EV Dep Sch Y3'!H68+'EV Dep Sch Y4'!H56+'EV Dep Sch Y5'!H44+'EV Dep Sch Y6'!H32+'EV Dep Sch Y7'!H20</f>
        <v>2155533.2850129684</v>
      </c>
      <c r="I88" s="269">
        <f>'EV Dep Sch Y1'!I88+'EV Dep Sch Y2'!I80+'EV Dep Sch Y3'!I68+'EV Dep Sch Y4'!I56+'EV Dep Sch Y5'!I44+'EV Dep Sch Y6'!I32+'EV Dep Sch Y7'!I20</f>
        <v>1525489.2294385287</v>
      </c>
      <c r="J88" s="269">
        <f>'EV Dep Sch Y1'!J88+'EV Dep Sch Y2'!J80+'EV Dep Sch Y3'!J68+'EV Dep Sch Y4'!J56+'EV Dep Sch Y5'!J44+'EV Dep Sch Y6'!J32+'EV Dep Sch Y7'!J20</f>
        <v>-630044.05557443993</v>
      </c>
      <c r="K88" s="269">
        <f>'EV Dep Sch Y1'!K88+'EV Dep Sch Y2'!K80+'EV Dep Sch Y3'!K68+'EV Dep Sch Y4'!K56+'EV Dep Sch Y5'!K44+'EV Dep Sch Y6'!K32+'EV Dep Sch Y7'!K20</f>
        <v>132309.25167063237</v>
      </c>
      <c r="L88" s="269">
        <f>'EV Dep Sch Y1'!L88+'EV Dep Sch Y2'!L80+'EV Dep Sch Y3'!L68+'EV Dep Sch Y4'!L56+'EV Dep Sch Y5'!L44+'EV Dep Sch Y6'!L32+'EV Dep Sch Y7'!L20</f>
        <v>6077.9641098330358</v>
      </c>
      <c r="M88" s="270">
        <f t="shared" si="4"/>
        <v>1657798.4811091609</v>
      </c>
      <c r="N88" s="21"/>
      <c r="O88" s="271"/>
      <c r="P88" s="271"/>
      <c r="Q88" s="271"/>
      <c r="R88" s="271"/>
      <c r="S88" s="271"/>
      <c r="T88" s="271"/>
    </row>
    <row r="89" spans="1:20" s="230" customFormat="1" ht="15">
      <c r="A89" s="267">
        <f t="shared" si="5"/>
        <v>45716</v>
      </c>
      <c r="B89" s="269">
        <f>'EV Dep Sch Y1'!B89+'EV Dep Sch Y2'!B81+'EV Dep Sch Y3'!B69+'EV Dep Sch Y4'!B57+'EV Dep Sch Y5'!B45+'EV Dep Sch Y6'!B33+'EV Dep Sch Y7'!B21</f>
        <v>7977465.6133295242</v>
      </c>
      <c r="C89" s="269">
        <f>'EV Dep Sch Y1'!C89+'EV Dep Sch Y2'!C81+'EV Dep Sch Y3'!C69+'EV Dep Sch Y4'!C57+'EV Dep Sch Y5'!C45+'EV Dep Sch Y6'!C33+'EV Dep Sch Y7'!C21</f>
        <v>7977465.6133295242</v>
      </c>
      <c r="D89" s="269">
        <f>'EV Dep Sch Y1'!D89+'EV Dep Sch Y2'!D81+'EV Dep Sch Y3'!D69+'EV Dep Sch Y4'!D57+'EV Dep Sch Y5'!D45+'EV Dep Sch Y6'!D33+'EV Dep Sch Y7'!D21</f>
        <v>88037.660359678732</v>
      </c>
      <c r="E89" s="269">
        <f>'EV Dep Sch Y1'!E89+'EV Dep Sch Y2'!E81+'EV Dep Sch Y3'!E69+'EV Dep Sch Y4'!E57+'EV Dep Sch Y5'!E45+'EV Dep Sch Y6'!E33+'EV Dep Sch Y7'!E21</f>
        <v>59007.546472158741</v>
      </c>
      <c r="F89" s="269">
        <f>'EV Dep Sch Y1'!F89+'EV Dep Sch Y2'!F81+'EV Dep Sch Y3'!F69+'EV Dep Sch Y4'!F57+'EV Dep Sch Y5'!F45+'EV Dep Sch Y6'!F33+'EV Dep Sch Y7'!F21</f>
        <v>-5836859.7585271951</v>
      </c>
      <c r="G89" s="269">
        <f>'EV Dep Sch Y1'!G89+'EV Dep Sch Y2'!G81+'EV Dep Sch Y3'!G69+'EV Dep Sch Y4'!G57+'EV Dep Sch Y5'!G45+'EV Dep Sch Y6'!G33+'EV Dep Sch Y7'!G21</f>
        <v>-6437873.7002141159</v>
      </c>
      <c r="H89" s="269">
        <f>'EV Dep Sch Y1'!H89+'EV Dep Sch Y2'!H81+'EV Dep Sch Y3'!H69+'EV Dep Sch Y4'!H57+'EV Dep Sch Y5'!H45+'EV Dep Sch Y6'!H33+'EV Dep Sch Y7'!H21</f>
        <v>2140605.8548023277</v>
      </c>
      <c r="I89" s="269">
        <f>'EV Dep Sch Y1'!I89+'EV Dep Sch Y2'!I81+'EV Dep Sch Y3'!I69+'EV Dep Sch Y4'!I57+'EV Dep Sch Y5'!I45+'EV Dep Sch Y6'!I33+'EV Dep Sch Y7'!I21</f>
        <v>1539591.9131154078</v>
      </c>
      <c r="J89" s="269">
        <f>'EV Dep Sch Y1'!J89+'EV Dep Sch Y2'!J81+'EV Dep Sch Y3'!J69+'EV Dep Sch Y4'!J57+'EV Dep Sch Y5'!J45+'EV Dep Sch Y6'!J33+'EV Dep Sch Y7'!J21</f>
        <v>-601013.94168691989</v>
      </c>
      <c r="K89" s="269">
        <f>'EV Dep Sch Y1'!K89+'EV Dep Sch Y2'!K81+'EV Dep Sch Y3'!K69+'EV Dep Sch Y4'!K57+'EV Dep Sch Y5'!K45+'EV Dep Sch Y6'!K33+'EV Dep Sch Y7'!K21</f>
        <v>126212.92775425316</v>
      </c>
      <c r="L89" s="269">
        <f>'EV Dep Sch Y1'!L89+'EV Dep Sch Y2'!L81+'EV Dep Sch Y3'!L69+'EV Dep Sch Y4'!L57+'EV Dep Sch Y5'!L45+'EV Dep Sch Y6'!L33+'EV Dep Sch Y7'!L21</f>
        <v>6096.3239163792241</v>
      </c>
      <c r="M89" s="270">
        <f t="shared" si="4"/>
        <v>1665804.840869661</v>
      </c>
      <c r="N89" s="21"/>
      <c r="O89" s="271"/>
      <c r="P89" s="271"/>
      <c r="Q89" s="271"/>
      <c r="R89" s="271"/>
      <c r="S89" s="271"/>
      <c r="T89" s="271"/>
    </row>
    <row r="90" spans="1:20" s="230" customFormat="1" ht="15">
      <c r="A90" s="267">
        <f t="shared" si="5"/>
        <v>45747</v>
      </c>
      <c r="B90" s="269">
        <f>'EV Dep Sch Y1'!B90+'EV Dep Sch Y2'!B82+'EV Dep Sch Y3'!B70+'EV Dep Sch Y4'!B58+'EV Dep Sch Y5'!B46+'EV Dep Sch Y6'!B34+'EV Dep Sch Y7'!B22</f>
        <v>8050575.8434785623</v>
      </c>
      <c r="C90" s="269">
        <f>'EV Dep Sch Y1'!C90+'EV Dep Sch Y2'!C82+'EV Dep Sch Y3'!C70+'EV Dep Sch Y4'!C58+'EV Dep Sch Y5'!C46+'EV Dep Sch Y6'!C34+'EV Dep Sch Y7'!C22</f>
        <v>8050575.8434785623</v>
      </c>
      <c r="D90" s="269">
        <f>'EV Dep Sch Y1'!D90+'EV Dep Sch Y2'!D82+'EV Dep Sch Y3'!D70+'EV Dep Sch Y4'!D58+'EV Dep Sch Y5'!D46+'EV Dep Sch Y6'!D34+'EV Dep Sch Y7'!D22</f>
        <v>89343.591845715928</v>
      </c>
      <c r="E90" s="269">
        <f>'EV Dep Sch Y1'!E90+'EV Dep Sch Y2'!E82+'EV Dep Sch Y3'!E70+'EV Dep Sch Y4'!E58+'EV Dep Sch Y5'!E46+'EV Dep Sch Y6'!E34+'EV Dep Sch Y7'!E22</f>
        <v>60226.050307976038</v>
      </c>
      <c r="F90" s="269">
        <f>'EV Dep Sch Y1'!F90+'EV Dep Sch Y2'!F82+'EV Dep Sch Y3'!F70+'EV Dep Sch Y4'!F58+'EV Dep Sch Y5'!F46+'EV Dep Sch Y6'!F34+'EV Dep Sch Y7'!F22</f>
        <v>-5926203.3503729114</v>
      </c>
      <c r="G90" s="269">
        <f>'EV Dep Sch Y1'!G90+'EV Dep Sch Y2'!G82+'EV Dep Sch Y3'!G70+'EV Dep Sch Y4'!G58+'EV Dep Sch Y5'!G46+'EV Dep Sch Y6'!G34+'EV Dep Sch Y7'!G22</f>
        <v>-6498099.750522092</v>
      </c>
      <c r="H90" s="269">
        <f>'EV Dep Sch Y1'!H90+'EV Dep Sch Y2'!H82+'EV Dep Sch Y3'!H70+'EV Dep Sch Y4'!H58+'EV Dep Sch Y5'!H46+'EV Dep Sch Y6'!H34+'EV Dep Sch Y7'!H22</f>
        <v>2124372.4931056495</v>
      </c>
      <c r="I90" s="269">
        <f>'EV Dep Sch Y1'!I90+'EV Dep Sch Y2'!I82+'EV Dep Sch Y3'!I70+'EV Dep Sch Y4'!I58+'EV Dep Sch Y5'!I46+'EV Dep Sch Y6'!I34+'EV Dep Sch Y7'!I22</f>
        <v>1552476.0929564699</v>
      </c>
      <c r="J90" s="269">
        <f>'EV Dep Sch Y1'!J90+'EV Dep Sch Y2'!J82+'EV Dep Sch Y3'!J70+'EV Dep Sch Y4'!J58+'EV Dep Sch Y5'!J46+'EV Dep Sch Y6'!J34+'EV Dep Sch Y7'!J22</f>
        <v>-571896.40014917974</v>
      </c>
      <c r="K90" s="269">
        <f>'EV Dep Sch Y1'!K90+'EV Dep Sch Y2'!K82+'EV Dep Sch Y3'!K70+'EV Dep Sch Y4'!K58+'EV Dep Sch Y5'!K46+'EV Dep Sch Y6'!K34+'EV Dep Sch Y7'!K22</f>
        <v>120098.24403132776</v>
      </c>
      <c r="L90" s="269">
        <f>'EV Dep Sch Y1'!L90+'EV Dep Sch Y2'!L82+'EV Dep Sch Y3'!L70+'EV Dep Sch Y4'!L58+'EV Dep Sch Y5'!L46+'EV Dep Sch Y6'!L34+'EV Dep Sch Y7'!L22</f>
        <v>6114.6837229254252</v>
      </c>
      <c r="M90" s="270">
        <f t="shared" si="4"/>
        <v>1672574.3369877976</v>
      </c>
      <c r="N90" s="21"/>
      <c r="O90" s="271"/>
      <c r="P90" s="271"/>
      <c r="Q90" s="271"/>
      <c r="R90" s="271"/>
      <c r="S90" s="271"/>
      <c r="T90" s="271"/>
    </row>
    <row r="91" spans="1:20" s="230" customFormat="1" ht="15">
      <c r="A91" s="267">
        <f t="shared" si="5"/>
        <v>45777</v>
      </c>
      <c r="B91" s="269">
        <f>'EV Dep Sch Y1'!B91+'EV Dep Sch Y2'!B83+'EV Dep Sch Y3'!B71+'EV Dep Sch Y4'!B59+'EV Dep Sch Y5'!B47+'EV Dep Sch Y6'!B35+'EV Dep Sch Y7'!B23</f>
        <v>8123686.0736275995</v>
      </c>
      <c r="C91" s="269">
        <f>'EV Dep Sch Y1'!C91+'EV Dep Sch Y2'!C83+'EV Dep Sch Y3'!C71+'EV Dep Sch Y4'!C59+'EV Dep Sch Y5'!C47+'EV Dep Sch Y6'!C35+'EV Dep Sch Y7'!C23</f>
        <v>8123686.0736275995</v>
      </c>
      <c r="D91" s="269">
        <f>'EV Dep Sch Y1'!D91+'EV Dep Sch Y2'!D83+'EV Dep Sch Y3'!D71+'EV Dep Sch Y4'!D59+'EV Dep Sch Y5'!D47+'EV Dep Sch Y6'!D35+'EV Dep Sch Y7'!D23</f>
        <v>90649.523331753124</v>
      </c>
      <c r="E91" s="269">
        <f>'EV Dep Sch Y1'!E91+'EV Dep Sch Y2'!E83+'EV Dep Sch Y3'!E71+'EV Dep Sch Y4'!E59+'EV Dep Sch Y5'!E47+'EV Dep Sch Y6'!E35+'EV Dep Sch Y7'!E23</f>
        <v>61444.554143793343</v>
      </c>
      <c r="F91" s="269">
        <f>'EV Dep Sch Y1'!F91+'EV Dep Sch Y2'!F83+'EV Dep Sch Y3'!F71+'EV Dep Sch Y4'!F59+'EV Dep Sch Y5'!F47+'EV Dep Sch Y6'!F35+'EV Dep Sch Y7'!F23</f>
        <v>-6016852.8737046653</v>
      </c>
      <c r="G91" s="269">
        <f>'EV Dep Sch Y1'!G91+'EV Dep Sch Y2'!G83+'EV Dep Sch Y3'!G71+'EV Dep Sch Y4'!G59+'EV Dep Sch Y5'!G47+'EV Dep Sch Y6'!G35+'EV Dep Sch Y7'!G23</f>
        <v>-6559544.3046658849</v>
      </c>
      <c r="H91" s="269">
        <f>'EV Dep Sch Y1'!H91+'EV Dep Sch Y2'!H83+'EV Dep Sch Y3'!H71+'EV Dep Sch Y4'!H59+'EV Dep Sch Y5'!H47+'EV Dep Sch Y6'!H35+'EV Dep Sch Y7'!H23</f>
        <v>2106833.1999229342</v>
      </c>
      <c r="I91" s="269">
        <f>'EV Dep Sch Y1'!I91+'EV Dep Sch Y2'!I83+'EV Dep Sch Y3'!I71+'EV Dep Sch Y4'!I59+'EV Dep Sch Y5'!I47+'EV Dep Sch Y6'!I35+'EV Dep Sch Y7'!I23</f>
        <v>1564141.7689617146</v>
      </c>
      <c r="J91" s="269">
        <f>'EV Dep Sch Y1'!J91+'EV Dep Sch Y2'!J83+'EV Dep Sch Y3'!J71+'EV Dep Sch Y4'!J59+'EV Dep Sch Y5'!J47+'EV Dep Sch Y6'!J35+'EV Dep Sch Y7'!J23</f>
        <v>-542691.43096121971</v>
      </c>
      <c r="K91" s="269">
        <f>'EV Dep Sch Y1'!K91+'EV Dep Sch Y2'!K83+'EV Dep Sch Y3'!K71+'EV Dep Sch Y4'!K59+'EV Dep Sch Y5'!K47+'EV Dep Sch Y6'!K35+'EV Dep Sch Y7'!K23</f>
        <v>113965.20050185613</v>
      </c>
      <c r="L91" s="269">
        <f>'EV Dep Sch Y1'!L91+'EV Dep Sch Y2'!L83+'EV Dep Sch Y3'!L71+'EV Dep Sch Y4'!L59+'EV Dep Sch Y5'!L47+'EV Dep Sch Y6'!L35+'EV Dep Sch Y7'!L23</f>
        <v>6133.0435294716071</v>
      </c>
      <c r="M91" s="270">
        <f t="shared" si="4"/>
        <v>1678106.9694635707</v>
      </c>
      <c r="N91" s="21"/>
      <c r="O91" s="271"/>
      <c r="P91" s="271"/>
      <c r="Q91" s="271"/>
      <c r="R91" s="271"/>
      <c r="S91" s="271"/>
      <c r="T91" s="271"/>
    </row>
    <row r="92" spans="1:20" s="230" customFormat="1" ht="15">
      <c r="A92" s="267">
        <f t="shared" si="5"/>
        <v>45808</v>
      </c>
      <c r="B92" s="269">
        <f>'EV Dep Sch Y1'!B92+'EV Dep Sch Y2'!B84+'EV Dep Sch Y3'!B72+'EV Dep Sch Y4'!B60+'EV Dep Sch Y5'!B48+'EV Dep Sch Y6'!B36+'EV Dep Sch Y7'!B24</f>
        <v>8196796.3037766377</v>
      </c>
      <c r="C92" s="269">
        <f>'EV Dep Sch Y1'!C92+'EV Dep Sch Y2'!C84+'EV Dep Sch Y3'!C72+'EV Dep Sch Y4'!C60+'EV Dep Sch Y5'!C48+'EV Dep Sch Y6'!C36+'EV Dep Sch Y7'!C24</f>
        <v>8196796.3037766377</v>
      </c>
      <c r="D92" s="269">
        <f>'EV Dep Sch Y1'!D92+'EV Dep Sch Y2'!D84+'EV Dep Sch Y3'!D72+'EV Dep Sch Y4'!D60+'EV Dep Sch Y5'!D48+'EV Dep Sch Y6'!D36+'EV Dep Sch Y7'!D24</f>
        <v>91955.454817790305</v>
      </c>
      <c r="E92" s="269">
        <f>'EV Dep Sch Y1'!E92+'EV Dep Sch Y2'!E84+'EV Dep Sch Y3'!E72+'EV Dep Sch Y4'!E60+'EV Dep Sch Y5'!E48+'EV Dep Sch Y6'!E36+'EV Dep Sch Y7'!E24</f>
        <v>62663.057979610639</v>
      </c>
      <c r="F92" s="269">
        <f>'EV Dep Sch Y1'!F92+'EV Dep Sch Y2'!F84+'EV Dep Sch Y3'!F72+'EV Dep Sch Y4'!F60+'EV Dep Sch Y5'!F48+'EV Dep Sch Y6'!F36+'EV Dep Sch Y7'!F24</f>
        <v>-6108808.3285224559</v>
      </c>
      <c r="G92" s="269">
        <f>'EV Dep Sch Y1'!G92+'EV Dep Sch Y2'!G84+'EV Dep Sch Y3'!G72+'EV Dep Sch Y4'!G60+'EV Dep Sch Y5'!G48+'EV Dep Sch Y6'!G36+'EV Dep Sch Y7'!G24</f>
        <v>-6622207.3626454957</v>
      </c>
      <c r="H92" s="269">
        <f>'EV Dep Sch Y1'!H92+'EV Dep Sch Y2'!H84+'EV Dep Sch Y3'!H72+'EV Dep Sch Y4'!H60+'EV Dep Sch Y5'!H48+'EV Dep Sch Y6'!H36+'EV Dep Sch Y7'!H24</f>
        <v>2087987.9752541818</v>
      </c>
      <c r="I92" s="269">
        <f>'EV Dep Sch Y1'!I92+'EV Dep Sch Y2'!I84+'EV Dep Sch Y3'!I72+'EV Dep Sch Y4'!I60+'EV Dep Sch Y5'!I48+'EV Dep Sch Y6'!I36+'EV Dep Sch Y7'!I24</f>
        <v>1574588.941131142</v>
      </c>
      <c r="J92" s="269">
        <f>'EV Dep Sch Y1'!J92+'EV Dep Sch Y2'!J84+'EV Dep Sch Y3'!J72+'EV Dep Sch Y4'!J60+'EV Dep Sch Y5'!J48+'EV Dep Sch Y6'!J36+'EV Dep Sch Y7'!J24</f>
        <v>-513399.03412304004</v>
      </c>
      <c r="K92" s="269">
        <f>'EV Dep Sch Y1'!K92+'EV Dep Sch Y2'!K84+'EV Dep Sch Y3'!K72+'EV Dep Sch Y4'!K60+'EV Dep Sch Y5'!K48+'EV Dep Sch Y6'!K36+'EV Dep Sch Y7'!K24</f>
        <v>107813.79716583839</v>
      </c>
      <c r="L92" s="269">
        <f>'EV Dep Sch Y1'!L92+'EV Dep Sch Y2'!L84+'EV Dep Sch Y3'!L72+'EV Dep Sch Y4'!L60+'EV Dep Sch Y5'!L48+'EV Dep Sch Y6'!L36+'EV Dep Sch Y7'!L24</f>
        <v>6151.40333601774</v>
      </c>
      <c r="M92" s="270">
        <f t="shared" si="4"/>
        <v>1682402.7382969803</v>
      </c>
      <c r="N92" s="21"/>
      <c r="O92" s="271"/>
      <c r="P92" s="271"/>
      <c r="Q92" s="271"/>
      <c r="R92" s="271"/>
      <c r="S92" s="271"/>
      <c r="T92" s="271"/>
    </row>
    <row r="93" spans="1:20" s="230" customFormat="1" ht="15">
      <c r="A93" s="267">
        <f t="shared" si="5"/>
        <v>45838</v>
      </c>
      <c r="B93" s="269">
        <f>'EV Dep Sch Y1'!B93+'EV Dep Sch Y2'!B85+'EV Dep Sch Y3'!B73+'EV Dep Sch Y4'!B61+'EV Dep Sch Y5'!B49+'EV Dep Sch Y6'!B37+'EV Dep Sch Y7'!B25</f>
        <v>8269906.5339256758</v>
      </c>
      <c r="C93" s="269">
        <f>'EV Dep Sch Y1'!C93+'EV Dep Sch Y2'!C85+'EV Dep Sch Y3'!C73+'EV Dep Sch Y4'!C61+'EV Dep Sch Y5'!C49+'EV Dep Sch Y6'!C37+'EV Dep Sch Y7'!C25</f>
        <v>8269906.5339256758</v>
      </c>
      <c r="D93" s="269">
        <f>'EV Dep Sch Y1'!D93+'EV Dep Sch Y2'!D85+'EV Dep Sch Y3'!D73+'EV Dep Sch Y4'!D61+'EV Dep Sch Y5'!D49+'EV Dep Sch Y6'!D37+'EV Dep Sch Y7'!D25</f>
        <v>91955.454817790305</v>
      </c>
      <c r="E93" s="269">
        <f>'EV Dep Sch Y1'!E93+'EV Dep Sch Y2'!E85+'EV Dep Sch Y3'!E73+'EV Dep Sch Y4'!E61+'EV Dep Sch Y5'!E49+'EV Dep Sch Y6'!E37+'EV Dep Sch Y7'!E25</f>
        <v>49461.711802407655</v>
      </c>
      <c r="F93" s="269">
        <f>'EV Dep Sch Y1'!F93+'EV Dep Sch Y2'!F85+'EV Dep Sch Y3'!F73+'EV Dep Sch Y4'!F61+'EV Dep Sch Y5'!F49+'EV Dep Sch Y6'!F37+'EV Dep Sch Y7'!F25</f>
        <v>-6200763.7833402455</v>
      </c>
      <c r="G93" s="269">
        <f>'EV Dep Sch Y1'!G93+'EV Dep Sch Y2'!G85+'EV Dep Sch Y3'!G73+'EV Dep Sch Y4'!G61+'EV Dep Sch Y5'!G49+'EV Dep Sch Y6'!G37+'EV Dep Sch Y7'!G25</f>
        <v>-6671669.0744479038</v>
      </c>
      <c r="H93" s="269">
        <f>'EV Dep Sch Y1'!H93+'EV Dep Sch Y2'!H85+'EV Dep Sch Y3'!H73+'EV Dep Sch Y4'!H61+'EV Dep Sch Y5'!H49+'EV Dep Sch Y6'!H37+'EV Dep Sch Y7'!H25</f>
        <v>2069142.7505854296</v>
      </c>
      <c r="I93" s="269">
        <f>'EV Dep Sch Y1'!I93+'EV Dep Sch Y2'!I85+'EV Dep Sch Y3'!I73+'EV Dep Sch Y4'!I61+'EV Dep Sch Y5'!I49+'EV Dep Sch Y6'!I37+'EV Dep Sch Y7'!I25</f>
        <v>1598237.4594777725</v>
      </c>
      <c r="J93" s="269">
        <f>'EV Dep Sch Y1'!J93+'EV Dep Sch Y2'!J85+'EV Dep Sch Y3'!J73+'EV Dep Sch Y4'!J61+'EV Dep Sch Y5'!J49+'EV Dep Sch Y6'!J37+'EV Dep Sch Y7'!J25</f>
        <v>-470905.29110765731</v>
      </c>
      <c r="K93" s="269">
        <f>'EV Dep Sch Y1'!K93+'EV Dep Sch Y2'!K85+'EV Dep Sch Y3'!K73+'EV Dep Sch Y4'!K61+'EV Dep Sch Y5'!K49+'EV Dep Sch Y6'!K37+'EV Dep Sch Y7'!K25</f>
        <v>98890.111132608028</v>
      </c>
      <c r="L93" s="269">
        <f>'EV Dep Sch Y1'!L93+'EV Dep Sch Y2'!L85+'EV Dep Sch Y3'!L73+'EV Dep Sch Y4'!L61+'EV Dep Sch Y5'!L49+'EV Dep Sch Y6'!L37+'EV Dep Sch Y7'!L25</f>
        <v>8923.6860332303622</v>
      </c>
      <c r="M93" s="270">
        <f t="shared" si="4"/>
        <v>1697127.5706103805</v>
      </c>
      <c r="N93" s="21"/>
      <c r="O93" s="271"/>
      <c r="P93" s="271"/>
      <c r="Q93" s="271"/>
      <c r="R93" s="271"/>
      <c r="S93" s="271"/>
      <c r="T93" s="271"/>
    </row>
    <row r="94" spans="1:20" s="230" customFormat="1" ht="15">
      <c r="A94" s="267">
        <f t="shared" si="5"/>
        <v>45869</v>
      </c>
      <c r="B94" s="269">
        <f>'EV Dep Sch Y1'!B94+'EV Dep Sch Y2'!B86+'EV Dep Sch Y3'!B74+'EV Dep Sch Y4'!B62+'EV Dep Sch Y5'!B50+'EV Dep Sch Y6'!B38+'EV Dep Sch Y7'!B26</f>
        <v>8343016.7640747139</v>
      </c>
      <c r="C94" s="269">
        <f>'EV Dep Sch Y1'!C94+'EV Dep Sch Y2'!C86+'EV Dep Sch Y3'!C74+'EV Dep Sch Y4'!C62+'EV Dep Sch Y5'!C50+'EV Dep Sch Y6'!C38+'EV Dep Sch Y7'!C26</f>
        <v>8343016.7640747139</v>
      </c>
      <c r="D94" s="269">
        <f>'EV Dep Sch Y1'!D94+'EV Dep Sch Y2'!D86+'EV Dep Sch Y3'!D74+'EV Dep Sch Y4'!D62+'EV Dep Sch Y5'!D50+'EV Dep Sch Y6'!D38+'EV Dep Sch Y7'!D26</f>
        <v>91955.454817790305</v>
      </c>
      <c r="E94" s="269">
        <f>'EV Dep Sch Y1'!E94+'EV Dep Sch Y2'!E86+'EV Dep Sch Y3'!E74+'EV Dep Sch Y4'!E62+'EV Dep Sch Y5'!E50+'EV Dep Sch Y6'!E38+'EV Dep Sch Y7'!E26</f>
        <v>36260.36562520358</v>
      </c>
      <c r="F94" s="269">
        <f>'EV Dep Sch Y1'!F94+'EV Dep Sch Y2'!F86+'EV Dep Sch Y3'!F74+'EV Dep Sch Y4'!F62+'EV Dep Sch Y5'!F50+'EV Dep Sch Y6'!F38+'EV Dep Sch Y7'!F26</f>
        <v>-6292719.238158037</v>
      </c>
      <c r="G94" s="269">
        <f>'EV Dep Sch Y1'!G94+'EV Dep Sch Y2'!G86+'EV Dep Sch Y3'!G74+'EV Dep Sch Y4'!G62+'EV Dep Sch Y5'!G50+'EV Dep Sch Y6'!G38+'EV Dep Sch Y7'!G26</f>
        <v>-6707929.4400731064</v>
      </c>
      <c r="H94" s="269">
        <f>'EV Dep Sch Y1'!H94+'EV Dep Sch Y2'!H86+'EV Dep Sch Y3'!H74+'EV Dep Sch Y4'!H62+'EV Dep Sch Y5'!H50+'EV Dep Sch Y6'!H38+'EV Dep Sch Y7'!H26</f>
        <v>2050297.525916677</v>
      </c>
      <c r="I94" s="269">
        <f>'EV Dep Sch Y1'!I94+'EV Dep Sch Y2'!I86+'EV Dep Sch Y3'!I74+'EV Dep Sch Y4'!I62+'EV Dep Sch Y5'!I50+'EV Dep Sch Y6'!I38+'EV Dep Sch Y7'!I26</f>
        <v>1635087.3240016066</v>
      </c>
      <c r="J94" s="269">
        <f>'EV Dep Sch Y1'!J94+'EV Dep Sch Y2'!J86+'EV Dep Sch Y3'!J74+'EV Dep Sch Y4'!J62+'EV Dep Sch Y5'!J50+'EV Dep Sch Y6'!J38+'EV Dep Sch Y7'!J26</f>
        <v>-415210.20191507036</v>
      </c>
      <c r="K94" s="269">
        <f>'EV Dep Sch Y1'!K94+'EV Dep Sch Y2'!K86+'EV Dep Sch Y3'!K74+'EV Dep Sch Y4'!K62+'EV Dep Sch Y5'!K50+'EV Dep Sch Y6'!K38+'EV Dep Sch Y7'!K26</f>
        <v>87194.142402164769</v>
      </c>
      <c r="L94" s="269">
        <f>'EV Dep Sch Y1'!L94+'EV Dep Sch Y2'!L86+'EV Dep Sch Y3'!L74+'EV Dep Sch Y4'!L62+'EV Dep Sch Y5'!L50+'EV Dep Sch Y6'!L38+'EV Dep Sch Y7'!L26</f>
        <v>11695.968730443246</v>
      </c>
      <c r="M94" s="270">
        <f t="shared" si="4"/>
        <v>1722281.4664037714</v>
      </c>
      <c r="N94" s="21"/>
      <c r="O94" s="271"/>
      <c r="P94" s="271"/>
      <c r="Q94" s="271"/>
      <c r="R94" s="271"/>
      <c r="S94" s="271"/>
      <c r="T94" s="271"/>
    </row>
    <row r="95" spans="1:20" s="230" customFormat="1" ht="15">
      <c r="A95" s="267">
        <f t="shared" si="5"/>
        <v>45900</v>
      </c>
      <c r="B95" s="269">
        <f>'EV Dep Sch Y1'!B95+'EV Dep Sch Y2'!B87+'EV Dep Sch Y3'!B75+'EV Dep Sch Y4'!B63+'EV Dep Sch Y5'!B51+'EV Dep Sch Y6'!B39+'EV Dep Sch Y7'!B27</f>
        <v>8416126.9942237511</v>
      </c>
      <c r="C95" s="269">
        <f>'EV Dep Sch Y1'!C95+'EV Dep Sch Y2'!C87+'EV Dep Sch Y3'!C75+'EV Dep Sch Y4'!C63+'EV Dep Sch Y5'!C51+'EV Dep Sch Y6'!C39+'EV Dep Sch Y7'!C27</f>
        <v>8416126.9942237511</v>
      </c>
      <c r="D95" s="269">
        <f>'EV Dep Sch Y1'!D95+'EV Dep Sch Y2'!D87+'EV Dep Sch Y3'!D75+'EV Dep Sch Y4'!D63+'EV Dep Sch Y5'!D51+'EV Dep Sch Y6'!D39+'EV Dep Sch Y7'!D27</f>
        <v>91955.454817790305</v>
      </c>
      <c r="E95" s="269">
        <f>'EV Dep Sch Y1'!E95+'EV Dep Sch Y2'!E87+'EV Dep Sch Y3'!E75+'EV Dep Sch Y4'!E63+'EV Dep Sch Y5'!E51+'EV Dep Sch Y6'!E39+'EV Dep Sch Y7'!E27</f>
        <v>37478.869461020877</v>
      </c>
      <c r="F95" s="269">
        <f>'EV Dep Sch Y1'!F95+'EV Dep Sch Y2'!F87+'EV Dep Sch Y3'!F75+'EV Dep Sch Y4'!F63+'EV Dep Sch Y5'!F51+'EV Dep Sch Y6'!F39+'EV Dep Sch Y7'!F27</f>
        <v>-6384674.6929758266</v>
      </c>
      <c r="G95" s="269">
        <f>'EV Dep Sch Y1'!G95+'EV Dep Sch Y2'!G87+'EV Dep Sch Y3'!G75+'EV Dep Sch Y4'!G63+'EV Dep Sch Y5'!G51+'EV Dep Sch Y6'!G39+'EV Dep Sch Y7'!G27</f>
        <v>-6745408.3095341288</v>
      </c>
      <c r="H95" s="269">
        <f>'EV Dep Sch Y1'!H95+'EV Dep Sch Y2'!H87+'EV Dep Sch Y3'!H75+'EV Dep Sch Y4'!H63+'EV Dep Sch Y5'!H51+'EV Dep Sch Y6'!H39+'EV Dep Sch Y7'!H27</f>
        <v>2031452.3012479246</v>
      </c>
      <c r="I95" s="269">
        <f>'EV Dep Sch Y1'!I95+'EV Dep Sch Y2'!I87+'EV Dep Sch Y3'!I75+'EV Dep Sch Y4'!I63+'EV Dep Sch Y5'!I51+'EV Dep Sch Y6'!I39+'EV Dep Sch Y7'!I27</f>
        <v>1670718.6846896238</v>
      </c>
      <c r="J95" s="269">
        <f>'EV Dep Sch Y1'!J95+'EV Dep Sch Y2'!J87+'EV Dep Sch Y3'!J75+'EV Dep Sch Y4'!J63+'EV Dep Sch Y5'!J51+'EV Dep Sch Y6'!J39+'EV Dep Sch Y7'!J27</f>
        <v>-360733.61655830091</v>
      </c>
      <c r="K95" s="269">
        <f>'EV Dep Sch Y1'!K95+'EV Dep Sch Y2'!K87+'EV Dep Sch Y3'!K75+'EV Dep Sch Y4'!K63+'EV Dep Sch Y5'!K51+'EV Dep Sch Y6'!K39+'EV Dep Sch Y7'!K27</f>
        <v>75754.05947724318</v>
      </c>
      <c r="L95" s="269">
        <f>'EV Dep Sch Y1'!L95+'EV Dep Sch Y2'!L87+'EV Dep Sch Y3'!L75+'EV Dep Sch Y4'!L63+'EV Dep Sch Y5'!L51+'EV Dep Sch Y6'!L39+'EV Dep Sch Y7'!L27</f>
        <v>11440.08292492162</v>
      </c>
      <c r="M95" s="270">
        <f t="shared" si="4"/>
        <v>1746472.7441668669</v>
      </c>
      <c r="N95" s="21"/>
      <c r="O95" s="271"/>
      <c r="P95" s="271"/>
      <c r="Q95" s="271"/>
      <c r="R95" s="271"/>
      <c r="S95" s="271"/>
      <c r="T95" s="271"/>
    </row>
    <row r="96" spans="1:20" s="230" customFormat="1" ht="15">
      <c r="A96" s="267">
        <f t="shared" si="5"/>
        <v>45930</v>
      </c>
      <c r="B96" s="269">
        <f>'EV Dep Sch Y1'!B96+'EV Dep Sch Y2'!B88+'EV Dep Sch Y3'!B76+'EV Dep Sch Y4'!B64+'EV Dep Sch Y5'!B52+'EV Dep Sch Y6'!B40+'EV Dep Sch Y7'!B28</f>
        <v>8489237.2243727893</v>
      </c>
      <c r="C96" s="269">
        <f>'EV Dep Sch Y1'!C96+'EV Dep Sch Y2'!C88+'EV Dep Sch Y3'!C76+'EV Dep Sch Y4'!C64+'EV Dep Sch Y5'!C52+'EV Dep Sch Y6'!C40+'EV Dep Sch Y7'!C28</f>
        <v>8489237.2243727893</v>
      </c>
      <c r="D96" s="269">
        <f>'EV Dep Sch Y1'!D96+'EV Dep Sch Y2'!D88+'EV Dep Sch Y3'!D76+'EV Dep Sch Y4'!D64+'EV Dep Sch Y5'!D52+'EV Dep Sch Y6'!D40+'EV Dep Sch Y7'!D28</f>
        <v>81122.964736748836</v>
      </c>
      <c r="E96" s="269">
        <f>'EV Dep Sch Y1'!E96+'EV Dep Sch Y2'!E88+'EV Dep Sch Y3'!E76+'EV Dep Sch Y4'!E64+'EV Dep Sch Y5'!E52+'EV Dep Sch Y6'!E40+'EV Dep Sch Y7'!E28</f>
        <v>38697.373296838181</v>
      </c>
      <c r="F96" s="269">
        <f>'EV Dep Sch Y1'!F96+'EV Dep Sch Y2'!F88+'EV Dep Sch Y3'!F76+'EV Dep Sch Y4'!F64+'EV Dep Sch Y5'!F52+'EV Dep Sch Y6'!F40+'EV Dep Sch Y7'!F28</f>
        <v>-6465797.657712575</v>
      </c>
      <c r="G96" s="269">
        <f>'EV Dep Sch Y1'!G96+'EV Dep Sch Y2'!G88+'EV Dep Sch Y3'!G76+'EV Dep Sch Y4'!G64+'EV Dep Sch Y5'!G52+'EV Dep Sch Y6'!G40+'EV Dep Sch Y7'!G28</f>
        <v>-6784105.6828309651</v>
      </c>
      <c r="H96" s="269">
        <f>'EV Dep Sch Y1'!H96+'EV Dep Sch Y2'!H88+'EV Dep Sch Y3'!H76+'EV Dep Sch Y4'!H64+'EV Dep Sch Y5'!H52+'EV Dep Sch Y6'!H40+'EV Dep Sch Y7'!H28</f>
        <v>2023439.5666602133</v>
      </c>
      <c r="I96" s="269">
        <f>'EV Dep Sch Y1'!I96+'EV Dep Sch Y2'!I88+'EV Dep Sch Y3'!I76+'EV Dep Sch Y4'!I64+'EV Dep Sch Y5'!I52+'EV Dep Sch Y6'!I40+'EV Dep Sch Y7'!I28</f>
        <v>1705131.5415418237</v>
      </c>
      <c r="J96" s="269">
        <f>'EV Dep Sch Y1'!J96+'EV Dep Sch Y2'!J88+'EV Dep Sch Y3'!J76+'EV Dep Sch Y4'!J64+'EV Dep Sch Y5'!J52+'EV Dep Sch Y6'!J40+'EV Dep Sch Y7'!J28</f>
        <v>-318308.02511838998</v>
      </c>
      <c r="K96" s="269">
        <f>'EV Dep Sch Y1'!K96+'EV Dep Sch Y2'!K88+'EV Dep Sch Y3'!K76+'EV Dep Sch Y4'!K64+'EV Dep Sch Y5'!K52+'EV Dep Sch Y6'!K40+'EV Dep Sch Y7'!K28</f>
        <v>66844.685274861869</v>
      </c>
      <c r="L96" s="269">
        <f>'EV Dep Sch Y1'!L96+'EV Dep Sch Y2'!L88+'EV Dep Sch Y3'!L76+'EV Dep Sch Y4'!L64+'EV Dep Sch Y5'!L52+'EV Dep Sch Y6'!L40+'EV Dep Sch Y7'!L28</f>
        <v>8909.3742023813047</v>
      </c>
      <c r="M96" s="270">
        <f t="shared" si="4"/>
        <v>1771976.2268166854</v>
      </c>
      <c r="N96" s="21"/>
      <c r="O96" s="271"/>
      <c r="P96" s="271"/>
      <c r="Q96" s="271"/>
      <c r="R96" s="271"/>
      <c r="S96" s="271"/>
      <c r="T96" s="271"/>
    </row>
    <row r="97" spans="1:20" s="230" customFormat="1" ht="15">
      <c r="A97" s="267">
        <f t="shared" si="5"/>
        <v>45961</v>
      </c>
      <c r="B97" s="269">
        <f>'EV Dep Sch Y1'!B97+'EV Dep Sch Y2'!B89+'EV Dep Sch Y3'!B77+'EV Dep Sch Y4'!B65+'EV Dep Sch Y5'!B53+'EV Dep Sch Y6'!B41+'EV Dep Sch Y7'!B29</f>
        <v>8562347.4545218274</v>
      </c>
      <c r="C97" s="269">
        <f>'EV Dep Sch Y1'!C97+'EV Dep Sch Y2'!C89+'EV Dep Sch Y3'!C77+'EV Dep Sch Y4'!C65+'EV Dep Sch Y5'!C53+'EV Dep Sch Y6'!C41+'EV Dep Sch Y7'!C29</f>
        <v>8562347.4545218274</v>
      </c>
      <c r="D97" s="269">
        <f>'EV Dep Sch Y1'!D97+'EV Dep Sch Y2'!D89+'EV Dep Sch Y3'!D77+'EV Dep Sch Y4'!D65+'EV Dep Sch Y5'!D53+'EV Dep Sch Y6'!D41+'EV Dep Sch Y7'!D29</f>
        <v>82615.022683707124</v>
      </c>
      <c r="E97" s="269">
        <f>'EV Dep Sch Y1'!E97+'EV Dep Sch Y2'!E89+'EV Dep Sch Y3'!E77+'EV Dep Sch Y4'!E65+'EV Dep Sch Y5'!E53+'EV Dep Sch Y6'!E41+'EV Dep Sch Y7'!E29</f>
        <v>39915.877132655478</v>
      </c>
      <c r="F97" s="269">
        <f>'EV Dep Sch Y1'!F97+'EV Dep Sch Y2'!F89+'EV Dep Sch Y3'!F77+'EV Dep Sch Y4'!F65+'EV Dep Sch Y5'!F53+'EV Dep Sch Y6'!F41+'EV Dep Sch Y7'!F29</f>
        <v>-6548412.680396284</v>
      </c>
      <c r="G97" s="269">
        <f>'EV Dep Sch Y1'!G97+'EV Dep Sch Y2'!G89+'EV Dep Sch Y3'!G77+'EV Dep Sch Y4'!G65+'EV Dep Sch Y5'!G53+'EV Dep Sch Y6'!G41+'EV Dep Sch Y7'!G29</f>
        <v>-6824021.5599636212</v>
      </c>
      <c r="H97" s="269">
        <f>'EV Dep Sch Y1'!H97+'EV Dep Sch Y2'!H89+'EV Dep Sch Y3'!H77+'EV Dep Sch Y4'!H65+'EV Dep Sch Y5'!H53+'EV Dep Sch Y6'!H41+'EV Dep Sch Y7'!H29</f>
        <v>2013934.7741255439</v>
      </c>
      <c r="I97" s="269">
        <f>'EV Dep Sch Y1'!I97+'EV Dep Sch Y2'!I89+'EV Dep Sch Y3'!I77+'EV Dep Sch Y4'!I65+'EV Dep Sch Y5'!I53+'EV Dep Sch Y6'!I41+'EV Dep Sch Y7'!I29</f>
        <v>1738325.8945582062</v>
      </c>
      <c r="J97" s="269">
        <f>'EV Dep Sch Y1'!J97+'EV Dep Sch Y2'!J89+'EV Dep Sch Y3'!J77+'EV Dep Sch Y4'!J65+'EV Dep Sch Y5'!J53+'EV Dep Sch Y6'!J41+'EV Dep Sch Y7'!J29</f>
        <v>-275608.87956733786</v>
      </c>
      <c r="K97" s="269">
        <f>'EV Dep Sch Y1'!K97+'EV Dep Sch Y2'!K89+'EV Dep Sch Y3'!K77+'EV Dep Sch Y4'!K65+'EV Dep Sch Y5'!K53+'EV Dep Sch Y6'!K41+'EV Dep Sch Y7'!K29</f>
        <v>57877.864709140958</v>
      </c>
      <c r="L97" s="269">
        <f>'EV Dep Sch Y1'!L97+'EV Dep Sch Y2'!L89+'EV Dep Sch Y3'!L77+'EV Dep Sch Y4'!L65+'EV Dep Sch Y5'!L53+'EV Dep Sch Y6'!L41+'EV Dep Sch Y7'!L29</f>
        <v>8966.8205657209146</v>
      </c>
      <c r="M97" s="270">
        <f t="shared" si="4"/>
        <v>1796203.7592673472</v>
      </c>
      <c r="N97" s="21"/>
      <c r="O97" s="271"/>
      <c r="P97" s="271"/>
      <c r="Q97" s="271"/>
      <c r="R97" s="271"/>
      <c r="S97" s="271"/>
      <c r="T97" s="271"/>
    </row>
    <row r="98" spans="1:20" s="230" customFormat="1" ht="15">
      <c r="A98" s="267">
        <f t="shared" si="5"/>
        <v>45991</v>
      </c>
      <c r="B98" s="269">
        <f>'EV Dep Sch Y1'!B98+'EV Dep Sch Y2'!B90+'EV Dep Sch Y3'!B78+'EV Dep Sch Y4'!B66+'EV Dep Sch Y5'!B54+'EV Dep Sch Y6'!B42+'EV Dep Sch Y7'!B30</f>
        <v>8635457.6846708655</v>
      </c>
      <c r="C98" s="269">
        <f>'EV Dep Sch Y1'!C98+'EV Dep Sch Y2'!C90+'EV Dep Sch Y3'!C78+'EV Dep Sch Y4'!C66+'EV Dep Sch Y5'!C54+'EV Dep Sch Y6'!C42+'EV Dep Sch Y7'!C30</f>
        <v>8635457.6846708655</v>
      </c>
      <c r="D98" s="269">
        <f>'EV Dep Sch Y1'!D98+'EV Dep Sch Y2'!D90+'EV Dep Sch Y3'!D78+'EV Dep Sch Y4'!D66+'EV Dep Sch Y5'!D54+'EV Dep Sch Y6'!D42+'EV Dep Sch Y7'!D30</f>
        <v>84107.080630665412</v>
      </c>
      <c r="E98" s="269">
        <f>'EV Dep Sch Y1'!E98+'EV Dep Sch Y2'!E90+'EV Dep Sch Y3'!E78+'EV Dep Sch Y4'!E66+'EV Dep Sch Y5'!E54+'EV Dep Sch Y6'!E42+'EV Dep Sch Y7'!E30</f>
        <v>41134.380968472782</v>
      </c>
      <c r="F98" s="269">
        <f>'EV Dep Sch Y1'!F98+'EV Dep Sch Y2'!F90+'EV Dep Sch Y3'!F78+'EV Dep Sch Y4'!F66+'EV Dep Sch Y5'!F54+'EV Dep Sch Y6'!F42+'EV Dep Sch Y7'!F30</f>
        <v>-6632519.7610269487</v>
      </c>
      <c r="G98" s="269">
        <f>'EV Dep Sch Y1'!G98+'EV Dep Sch Y2'!G90+'EV Dep Sch Y3'!G78+'EV Dep Sch Y4'!G66+'EV Dep Sch Y5'!G54+'EV Dep Sch Y6'!G42+'EV Dep Sch Y7'!G30</f>
        <v>-6865155.9409320951</v>
      </c>
      <c r="H98" s="269">
        <f>'EV Dep Sch Y1'!H98+'EV Dep Sch Y2'!H90+'EV Dep Sch Y3'!H78+'EV Dep Sch Y4'!H66+'EV Dep Sch Y5'!H54+'EV Dep Sch Y6'!H42+'EV Dep Sch Y7'!H30</f>
        <v>2002937.9236439164</v>
      </c>
      <c r="I98" s="269">
        <f>'EV Dep Sch Y1'!I98+'EV Dep Sch Y2'!I90+'EV Dep Sch Y3'!I78+'EV Dep Sch Y4'!I66+'EV Dep Sch Y5'!I54+'EV Dep Sch Y6'!I42+'EV Dep Sch Y7'!I30</f>
        <v>1770301.7437387714</v>
      </c>
      <c r="J98" s="269">
        <f>'EV Dep Sch Y1'!J98+'EV Dep Sch Y2'!J90+'EV Dep Sch Y3'!J78+'EV Dep Sch Y4'!J66+'EV Dep Sch Y5'!J54+'EV Dep Sch Y6'!J42+'EV Dep Sch Y7'!J30</f>
        <v>-232636.17990514485</v>
      </c>
      <c r="K98" s="269">
        <f>'EV Dep Sch Y1'!K98+'EV Dep Sch Y2'!K90+'EV Dep Sch Y3'!K78+'EV Dep Sch Y4'!K66+'EV Dep Sch Y5'!K54+'EV Dep Sch Y6'!K42+'EV Dep Sch Y7'!K30</f>
        <v>48853.597780080439</v>
      </c>
      <c r="L98" s="269">
        <f>'EV Dep Sch Y1'!L98+'EV Dep Sch Y2'!L90+'EV Dep Sch Y3'!L78+'EV Dep Sch Y4'!L66+'EV Dep Sch Y5'!L54+'EV Dep Sch Y6'!L42+'EV Dep Sch Y7'!L30</f>
        <v>9024.266929060519</v>
      </c>
      <c r="M98" s="270">
        <f t="shared" si="4"/>
        <v>1819155.3415188519</v>
      </c>
      <c r="N98" s="21"/>
      <c r="O98" s="271"/>
      <c r="P98" s="271"/>
      <c r="Q98" s="271"/>
      <c r="R98" s="271"/>
      <c r="S98" s="271"/>
      <c r="T98" s="271"/>
    </row>
    <row r="99" spans="1:20" s="230" customFormat="1" ht="15">
      <c r="A99" s="267">
        <f t="shared" si="5"/>
        <v>46022</v>
      </c>
      <c r="B99" s="269">
        <f>'EV Dep Sch Y1'!B99+'EV Dep Sch Y2'!B91+'EV Dep Sch Y3'!B79+'EV Dep Sch Y4'!B67+'EV Dep Sch Y5'!B55+'EV Dep Sch Y6'!B43+'EV Dep Sch Y7'!B31</f>
        <v>8708567.9148199037</v>
      </c>
      <c r="C99" s="269">
        <f>'EV Dep Sch Y1'!C99+'EV Dep Sch Y2'!C91+'EV Dep Sch Y3'!C79+'EV Dep Sch Y4'!C67+'EV Dep Sch Y5'!C55+'EV Dep Sch Y6'!C43+'EV Dep Sch Y7'!C31</f>
        <v>8708567.9148199037</v>
      </c>
      <c r="D99" s="269">
        <f>'EV Dep Sch Y1'!D99+'EV Dep Sch Y2'!D91+'EV Dep Sch Y3'!D79+'EV Dep Sch Y4'!D67+'EV Dep Sch Y5'!D55+'EV Dep Sch Y6'!D43+'EV Dep Sch Y7'!D31</f>
        <v>85599.1385776237</v>
      </c>
      <c r="E99" s="269">
        <f>'EV Dep Sch Y1'!E99+'EV Dep Sch Y2'!E91+'EV Dep Sch Y3'!E79+'EV Dep Sch Y4'!E67+'EV Dep Sch Y5'!E55+'EV Dep Sch Y6'!E43+'EV Dep Sch Y7'!E31</f>
        <v>42352.884804290079</v>
      </c>
      <c r="F99" s="269">
        <f>'EV Dep Sch Y1'!F99+'EV Dep Sch Y2'!F91+'EV Dep Sch Y3'!F79+'EV Dep Sch Y4'!F67+'EV Dep Sch Y5'!F55+'EV Dep Sch Y6'!F43+'EV Dep Sch Y7'!F31</f>
        <v>-6718118.8996045729</v>
      </c>
      <c r="G99" s="269">
        <f>'EV Dep Sch Y1'!G99+'EV Dep Sch Y2'!G91+'EV Dep Sch Y3'!G79+'EV Dep Sch Y4'!G67+'EV Dep Sch Y5'!G55+'EV Dep Sch Y6'!G43+'EV Dep Sch Y7'!G31</f>
        <v>-6907508.825736383</v>
      </c>
      <c r="H99" s="269">
        <f>'EV Dep Sch Y1'!H99+'EV Dep Sch Y2'!H91+'EV Dep Sch Y3'!H79+'EV Dep Sch Y4'!H67+'EV Dep Sch Y5'!H55+'EV Dep Sch Y6'!H43+'EV Dep Sch Y7'!H31</f>
        <v>1990449.0152153305</v>
      </c>
      <c r="I99" s="269">
        <f>'EV Dep Sch Y1'!I99+'EV Dep Sch Y2'!I91+'EV Dep Sch Y3'!I79+'EV Dep Sch Y4'!I67+'EV Dep Sch Y5'!I55+'EV Dep Sch Y6'!I43+'EV Dep Sch Y7'!I31</f>
        <v>1801059.0890835193</v>
      </c>
      <c r="J99" s="269">
        <f>'EV Dep Sch Y1'!J99+'EV Dep Sch Y2'!J91+'EV Dep Sch Y3'!J79+'EV Dep Sch Y4'!J67+'EV Dep Sch Y5'!J55+'EV Dep Sch Y6'!J43+'EV Dep Sch Y7'!J31</f>
        <v>-189389.92613181099</v>
      </c>
      <c r="K99" s="269">
        <f>'EV Dep Sch Y1'!K99+'EV Dep Sch Y2'!K91+'EV Dep Sch Y3'!K79+'EV Dep Sch Y4'!K67+'EV Dep Sch Y5'!K55+'EV Dep Sch Y6'!K43+'EV Dep Sch Y7'!K31</f>
        <v>39771.884487680305</v>
      </c>
      <c r="L99" s="269">
        <f>'EV Dep Sch Y1'!L99+'EV Dep Sch Y2'!L91+'EV Dep Sch Y3'!L79+'EV Dep Sch Y4'!L67+'EV Dep Sch Y5'!L55+'EV Dep Sch Y6'!L43+'EV Dep Sch Y7'!L31</f>
        <v>9081.7132924001162</v>
      </c>
      <c r="M99" s="270">
        <f t="shared" si="4"/>
        <v>1840830.9735711997</v>
      </c>
      <c r="N99" s="21"/>
      <c r="O99" s="271"/>
      <c r="P99" s="271"/>
      <c r="Q99" s="271"/>
      <c r="R99" s="271"/>
      <c r="S99" s="271"/>
      <c r="T99" s="271"/>
    </row>
    <row r="100" spans="1:20" s="230" customFormat="1" ht="15">
      <c r="A100" s="267">
        <f t="shared" si="5"/>
        <v>46053</v>
      </c>
      <c r="B100" s="269">
        <f>'EV Dep Sch Y1'!B100+'EV Dep Sch Y2'!B92+'EV Dep Sch Y3'!B80+'EV Dep Sch Y4'!B68+'EV Dep Sch Y5'!B56+'EV Dep Sch Y6'!B44+'EV Dep Sch Y7'!B32</f>
        <v>8708567.9148199037</v>
      </c>
      <c r="C100" s="269">
        <f>'EV Dep Sch Y1'!C100+'EV Dep Sch Y2'!C92+'EV Dep Sch Y3'!C80+'EV Dep Sch Y4'!C68+'EV Dep Sch Y5'!C56+'EV Dep Sch Y6'!C44+'EV Dep Sch Y7'!C32</f>
        <v>8708567.9148199037</v>
      </c>
      <c r="D100" s="269">
        <f>'EV Dep Sch Y1'!D100+'EV Dep Sch Y2'!D92+'EV Dep Sch Y3'!D80+'EV Dep Sch Y4'!D68+'EV Dep Sch Y5'!D56+'EV Dep Sch Y6'!D44+'EV Dep Sch Y7'!D32</f>
        <v>69071.265804498704</v>
      </c>
      <c r="E100" s="269">
        <f>'EV Dep Sch Y1'!E100+'EV Dep Sch Y2'!E92+'EV Dep Sch Y3'!E80+'EV Dep Sch Y4'!E68+'EV Dep Sch Y5'!E56+'EV Dep Sch Y6'!E44+'EV Dep Sch Y7'!E32</f>
        <v>42352.884804290079</v>
      </c>
      <c r="F100" s="269">
        <f>'EV Dep Sch Y1'!F100+'EV Dep Sch Y2'!F92+'EV Dep Sch Y3'!F80+'EV Dep Sch Y4'!F68+'EV Dep Sch Y5'!F56+'EV Dep Sch Y6'!F44+'EV Dep Sch Y7'!F32</f>
        <v>-6787190.1654090732</v>
      </c>
      <c r="G100" s="269">
        <f>'EV Dep Sch Y1'!G100+'EV Dep Sch Y2'!G92+'EV Dep Sch Y3'!G80+'EV Dep Sch Y4'!G68+'EV Dep Sch Y5'!G56+'EV Dep Sch Y6'!G44+'EV Dep Sch Y7'!G32</f>
        <v>-6949861.7105406746</v>
      </c>
      <c r="H100" s="269">
        <f>'EV Dep Sch Y1'!H100+'EV Dep Sch Y2'!H92+'EV Dep Sch Y3'!H80+'EV Dep Sch Y4'!H68+'EV Dep Sch Y5'!H56+'EV Dep Sch Y6'!H44+'EV Dep Sch Y7'!H32</f>
        <v>1921377.7494108314</v>
      </c>
      <c r="I100" s="269">
        <f>'EV Dep Sch Y1'!I100+'EV Dep Sch Y2'!I92+'EV Dep Sch Y3'!I80+'EV Dep Sch Y4'!I68+'EV Dep Sch Y5'!I56+'EV Dep Sch Y6'!I44+'EV Dep Sch Y7'!I32</f>
        <v>1758706.2042792293</v>
      </c>
      <c r="J100" s="269">
        <f>'EV Dep Sch Y1'!J100+'EV Dep Sch Y2'!J92+'EV Dep Sch Y3'!J80+'EV Dep Sch Y4'!J68+'EV Dep Sch Y5'!J56+'EV Dep Sch Y6'!J44+'EV Dep Sch Y7'!J32</f>
        <v>-162671.54513160198</v>
      </c>
      <c r="K100" s="269">
        <f>'EV Dep Sch Y1'!K100+'EV Dep Sch Y2'!K92+'EV Dep Sch Y3'!K80+'EV Dep Sch Y4'!K68+'EV Dep Sch Y5'!K56+'EV Dep Sch Y6'!K44+'EV Dep Sch Y7'!K32</f>
        <v>34161.024477636412</v>
      </c>
      <c r="L100" s="269">
        <f>'EV Dep Sch Y1'!L100+'EV Dep Sch Y2'!L92+'EV Dep Sch Y3'!L80+'EV Dep Sch Y4'!L68+'EV Dep Sch Y5'!L56+'EV Dep Sch Y6'!L44+'EV Dep Sch Y7'!L32</f>
        <v>5610.8600100438989</v>
      </c>
      <c r="M100" s="270">
        <f t="shared" si="4"/>
        <v>1792867.2287568657</v>
      </c>
      <c r="N100" s="21"/>
      <c r="O100" s="271"/>
      <c r="P100" s="271"/>
      <c r="Q100" s="271"/>
      <c r="R100" s="271"/>
      <c r="S100" s="271"/>
      <c r="T100" s="271"/>
    </row>
    <row r="101" spans="1:20" s="230" customFormat="1" ht="15">
      <c r="A101" s="267">
        <f t="shared" si="5"/>
        <v>46081</v>
      </c>
      <c r="B101" s="269">
        <f>'EV Dep Sch Y1'!B101+'EV Dep Sch Y2'!B93+'EV Dep Sch Y3'!B81+'EV Dep Sch Y4'!B69+'EV Dep Sch Y5'!B57+'EV Dep Sch Y6'!B45+'EV Dep Sch Y7'!B33</f>
        <v>8708567.9148199037</v>
      </c>
      <c r="C101" s="269">
        <f>'EV Dep Sch Y1'!C101+'EV Dep Sch Y2'!C93+'EV Dep Sch Y3'!C81+'EV Dep Sch Y4'!C69+'EV Dep Sch Y5'!C57+'EV Dep Sch Y6'!C45+'EV Dep Sch Y7'!C33</f>
        <v>8708567.9148199037</v>
      </c>
      <c r="D101" s="269">
        <f>'EV Dep Sch Y1'!D101+'EV Dep Sch Y2'!D93+'EV Dep Sch Y3'!D81+'EV Dep Sch Y4'!D69+'EV Dep Sch Y5'!D57+'EV Dep Sch Y6'!D45+'EV Dep Sch Y7'!D33</f>
        <v>69071.265804498704</v>
      </c>
      <c r="E101" s="269">
        <f>'EV Dep Sch Y1'!E101+'EV Dep Sch Y2'!E93+'EV Dep Sch Y3'!E81+'EV Dep Sch Y4'!E69+'EV Dep Sch Y5'!E57+'EV Dep Sch Y6'!E45+'EV Dep Sch Y7'!E33</f>
        <v>42352.884804290079</v>
      </c>
      <c r="F101" s="269">
        <f>'EV Dep Sch Y1'!F101+'EV Dep Sch Y2'!F93+'EV Dep Sch Y3'!F81+'EV Dep Sch Y4'!F69+'EV Dep Sch Y5'!F57+'EV Dep Sch Y6'!F45+'EV Dep Sch Y7'!F33</f>
        <v>-6856261.4312135717</v>
      </c>
      <c r="G101" s="269">
        <f>'EV Dep Sch Y1'!G101+'EV Dep Sch Y2'!G93+'EV Dep Sch Y3'!G81+'EV Dep Sch Y4'!G69+'EV Dep Sch Y5'!G57+'EV Dep Sch Y6'!G45+'EV Dep Sch Y7'!G33</f>
        <v>-6992214.5953449644</v>
      </c>
      <c r="H101" s="269">
        <f>'EV Dep Sch Y1'!H101+'EV Dep Sch Y2'!H93+'EV Dep Sch Y3'!H81+'EV Dep Sch Y4'!H69+'EV Dep Sch Y5'!H57+'EV Dep Sch Y6'!H45+'EV Dep Sch Y7'!H33</f>
        <v>1852306.4836063322</v>
      </c>
      <c r="I101" s="269">
        <f>'EV Dep Sch Y1'!I101+'EV Dep Sch Y2'!I93+'EV Dep Sch Y3'!I81+'EV Dep Sch Y4'!I69+'EV Dep Sch Y5'!I57+'EV Dep Sch Y6'!I45+'EV Dep Sch Y7'!I33</f>
        <v>1716353.3194749393</v>
      </c>
      <c r="J101" s="269">
        <f>'EV Dep Sch Y1'!J101+'EV Dep Sch Y2'!J93+'EV Dep Sch Y3'!J81+'EV Dep Sch Y4'!J69+'EV Dep Sch Y5'!J57+'EV Dep Sch Y6'!J45+'EV Dep Sch Y7'!J33</f>
        <v>-135953.16413139284</v>
      </c>
      <c r="K101" s="269">
        <f>'EV Dep Sch Y1'!K101+'EV Dep Sch Y2'!K93+'EV Dep Sch Y3'!K81+'EV Dep Sch Y4'!K69+'EV Dep Sch Y5'!K57+'EV Dep Sch Y6'!K45+'EV Dep Sch Y7'!K33</f>
        <v>28550.164467592498</v>
      </c>
      <c r="L101" s="269">
        <f>'EV Dep Sch Y1'!L101+'EV Dep Sch Y2'!L93+'EV Dep Sch Y3'!L81+'EV Dep Sch Y4'!L69+'EV Dep Sch Y5'!L57+'EV Dep Sch Y6'!L45+'EV Dep Sch Y7'!L33</f>
        <v>5610.8600100439144</v>
      </c>
      <c r="M101" s="270">
        <f t="shared" si="4"/>
        <v>1744903.4839425317</v>
      </c>
      <c r="N101" s="21"/>
      <c r="O101" s="271"/>
      <c r="P101" s="271"/>
      <c r="Q101" s="271"/>
      <c r="R101" s="271"/>
      <c r="S101" s="271"/>
      <c r="T101" s="271"/>
    </row>
    <row r="102" spans="1:20" s="230" customFormat="1" ht="15">
      <c r="A102" s="267">
        <f t="shared" si="5"/>
        <v>46112</v>
      </c>
      <c r="B102" s="269">
        <f>'EV Dep Sch Y1'!B102+'EV Dep Sch Y2'!B94+'EV Dep Sch Y3'!B82+'EV Dep Sch Y4'!B70+'EV Dep Sch Y5'!B58+'EV Dep Sch Y6'!B46+'EV Dep Sch Y7'!B34</f>
        <v>8708567.9148199037</v>
      </c>
      <c r="C102" s="269">
        <f>'EV Dep Sch Y1'!C102+'EV Dep Sch Y2'!C94+'EV Dep Sch Y3'!C82+'EV Dep Sch Y4'!C70+'EV Dep Sch Y5'!C58+'EV Dep Sch Y6'!C46+'EV Dep Sch Y7'!C34</f>
        <v>8708567.9148199037</v>
      </c>
      <c r="D102" s="269">
        <f>'EV Dep Sch Y1'!D102+'EV Dep Sch Y2'!D94+'EV Dep Sch Y3'!D82+'EV Dep Sch Y4'!D70+'EV Dep Sch Y5'!D58+'EV Dep Sch Y6'!D46+'EV Dep Sch Y7'!D34</f>
        <v>69071.265804498704</v>
      </c>
      <c r="E102" s="269">
        <f>'EV Dep Sch Y1'!E102+'EV Dep Sch Y2'!E94+'EV Dep Sch Y3'!E82+'EV Dep Sch Y4'!E70+'EV Dep Sch Y5'!E58+'EV Dep Sch Y6'!E46+'EV Dep Sch Y7'!E34</f>
        <v>42352.884804290079</v>
      </c>
      <c r="F102" s="269">
        <f>'EV Dep Sch Y1'!F102+'EV Dep Sch Y2'!F94+'EV Dep Sch Y3'!F82+'EV Dep Sch Y4'!F70+'EV Dep Sch Y5'!F58+'EV Dep Sch Y6'!F46+'EV Dep Sch Y7'!F34</f>
        <v>-6925332.6970180701</v>
      </c>
      <c r="G102" s="269">
        <f>'EV Dep Sch Y1'!G102+'EV Dep Sch Y2'!G94+'EV Dep Sch Y3'!G82+'EV Dep Sch Y4'!G70+'EV Dep Sch Y5'!G58+'EV Dep Sch Y6'!G46+'EV Dep Sch Y7'!G34</f>
        <v>-7034567.4801492542</v>
      </c>
      <c r="H102" s="269">
        <f>'EV Dep Sch Y1'!H102+'EV Dep Sch Y2'!H94+'EV Dep Sch Y3'!H82+'EV Dep Sch Y4'!H70+'EV Dep Sch Y5'!H58+'EV Dep Sch Y6'!H46+'EV Dep Sch Y7'!H34</f>
        <v>1783235.2178018331</v>
      </c>
      <c r="I102" s="269">
        <f>'EV Dep Sch Y1'!I102+'EV Dep Sch Y2'!I94+'EV Dep Sch Y3'!I82+'EV Dep Sch Y4'!I70+'EV Dep Sch Y5'!I58+'EV Dep Sch Y6'!I46+'EV Dep Sch Y7'!I34</f>
        <v>1674000.434670649</v>
      </c>
      <c r="J102" s="269">
        <f>'EV Dep Sch Y1'!J102+'EV Dep Sch Y2'!J94+'EV Dep Sch Y3'!J82+'EV Dep Sch Y4'!J70+'EV Dep Sch Y5'!J58+'EV Dep Sch Y6'!J46+'EV Dep Sch Y7'!J34</f>
        <v>-109234.78313118382</v>
      </c>
      <c r="K102" s="269">
        <f>'EV Dep Sch Y1'!K102+'EV Dep Sch Y2'!K94+'EV Dep Sch Y3'!K82+'EV Dep Sch Y4'!K70+'EV Dep Sch Y5'!K58+'EV Dep Sch Y6'!K46+'EV Dep Sch Y7'!K34</f>
        <v>22939.304457548602</v>
      </c>
      <c r="L102" s="269">
        <f>'EV Dep Sch Y1'!L102+'EV Dep Sch Y2'!L94+'EV Dep Sch Y3'!L82+'EV Dep Sch Y4'!L70+'EV Dep Sch Y5'!L58+'EV Dep Sch Y6'!L46+'EV Dep Sch Y7'!L34</f>
        <v>5610.8600100438989</v>
      </c>
      <c r="M102" s="270">
        <f t="shared" si="4"/>
        <v>1696939.7391281975</v>
      </c>
      <c r="N102" s="21"/>
      <c r="O102" s="271"/>
      <c r="P102" s="271"/>
      <c r="Q102" s="271"/>
      <c r="R102" s="271"/>
      <c r="S102" s="271"/>
      <c r="T102" s="271"/>
    </row>
    <row r="103" spans="1:20" s="230" customFormat="1" ht="15">
      <c r="A103" s="267">
        <f t="shared" si="5"/>
        <v>46142</v>
      </c>
      <c r="B103" s="269">
        <f>'EV Dep Sch Y1'!B103+'EV Dep Sch Y2'!B95+'EV Dep Sch Y3'!B83+'EV Dep Sch Y4'!B71+'EV Dep Sch Y5'!B59+'EV Dep Sch Y6'!B47+'EV Dep Sch Y7'!B35</f>
        <v>8708567.9148199037</v>
      </c>
      <c r="C103" s="269">
        <f>'EV Dep Sch Y1'!C103+'EV Dep Sch Y2'!C95+'EV Dep Sch Y3'!C83+'EV Dep Sch Y4'!C71+'EV Dep Sch Y5'!C59+'EV Dep Sch Y6'!C47+'EV Dep Sch Y7'!C35</f>
        <v>8708567.9148199037</v>
      </c>
      <c r="D103" s="269">
        <f>'EV Dep Sch Y1'!D103+'EV Dep Sch Y2'!D95+'EV Dep Sch Y3'!D83+'EV Dep Sch Y4'!D71+'EV Dep Sch Y5'!D59+'EV Dep Sch Y6'!D47+'EV Dep Sch Y7'!D35</f>
        <v>69071.265804498704</v>
      </c>
      <c r="E103" s="269">
        <f>'EV Dep Sch Y1'!E103+'EV Dep Sch Y2'!E95+'EV Dep Sch Y3'!E83+'EV Dep Sch Y4'!E71+'EV Dep Sch Y5'!E59+'EV Dep Sch Y6'!E47+'EV Dep Sch Y7'!E35</f>
        <v>42352.884804290079</v>
      </c>
      <c r="F103" s="269">
        <f>'EV Dep Sch Y1'!F103+'EV Dep Sch Y2'!F95+'EV Dep Sch Y3'!F83+'EV Dep Sch Y4'!F71+'EV Dep Sch Y5'!F59+'EV Dep Sch Y6'!F47+'EV Dep Sch Y7'!F35</f>
        <v>-6994403.9628225695</v>
      </c>
      <c r="G103" s="269">
        <f>'EV Dep Sch Y1'!G103+'EV Dep Sch Y2'!G95+'EV Dep Sch Y3'!G83+'EV Dep Sch Y4'!G71+'EV Dep Sch Y5'!G59+'EV Dep Sch Y6'!G47+'EV Dep Sch Y7'!G35</f>
        <v>-7076920.3649535449</v>
      </c>
      <c r="H103" s="269">
        <f>'EV Dep Sch Y1'!H103+'EV Dep Sch Y2'!H95+'EV Dep Sch Y3'!H83+'EV Dep Sch Y4'!H71+'EV Dep Sch Y5'!H59+'EV Dep Sch Y6'!H47+'EV Dep Sch Y7'!H35</f>
        <v>1714163.9519973339</v>
      </c>
      <c r="I103" s="269">
        <f>'EV Dep Sch Y1'!I103+'EV Dep Sch Y2'!I95+'EV Dep Sch Y3'!I83+'EV Dep Sch Y4'!I71+'EV Dep Sch Y5'!I59+'EV Dep Sch Y6'!I47+'EV Dep Sch Y7'!I35</f>
        <v>1631647.5498663592</v>
      </c>
      <c r="J103" s="269">
        <f>'EV Dep Sch Y1'!J103+'EV Dep Sch Y2'!J95+'EV Dep Sch Y3'!J83+'EV Dep Sch Y4'!J71+'EV Dep Sch Y5'!J59+'EV Dep Sch Y6'!J47+'EV Dep Sch Y7'!J35</f>
        <v>-82516.402130974748</v>
      </c>
      <c r="K103" s="269">
        <f>'EV Dep Sch Y1'!K103+'EV Dep Sch Y2'!K95+'EV Dep Sch Y3'!K83+'EV Dep Sch Y4'!K71+'EV Dep Sch Y5'!K59+'EV Dep Sch Y6'!K47+'EV Dep Sch Y7'!K35</f>
        <v>17328.444447504698</v>
      </c>
      <c r="L103" s="269">
        <f>'EV Dep Sch Y1'!L103+'EV Dep Sch Y2'!L95+'EV Dep Sch Y3'!L83+'EV Dep Sch Y4'!L71+'EV Dep Sch Y5'!L59+'EV Dep Sch Y6'!L47+'EV Dep Sch Y7'!L35</f>
        <v>5610.8600100439035</v>
      </c>
      <c r="M103" s="270">
        <f t="shared" si="4"/>
        <v>1648975.9943138638</v>
      </c>
      <c r="N103" s="21"/>
      <c r="O103" s="271"/>
      <c r="P103" s="271"/>
      <c r="Q103" s="271"/>
      <c r="R103" s="271"/>
      <c r="S103" s="271"/>
      <c r="T103" s="271"/>
    </row>
    <row r="104" spans="1:20" s="230" customFormat="1" ht="15">
      <c r="A104" s="267">
        <f t="shared" si="5"/>
        <v>46173</v>
      </c>
      <c r="B104" s="269">
        <f>'EV Dep Sch Y1'!B104+'EV Dep Sch Y2'!B96+'EV Dep Sch Y3'!B84+'EV Dep Sch Y4'!B72+'EV Dep Sch Y5'!B60+'EV Dep Sch Y6'!B48+'EV Dep Sch Y7'!B36</f>
        <v>8708567.9148199037</v>
      </c>
      <c r="C104" s="269">
        <f>'EV Dep Sch Y1'!C104+'EV Dep Sch Y2'!C96+'EV Dep Sch Y3'!C84+'EV Dep Sch Y4'!C72+'EV Dep Sch Y5'!C60+'EV Dep Sch Y6'!C48+'EV Dep Sch Y7'!C36</f>
        <v>8708567.9148199037</v>
      </c>
      <c r="D104" s="269">
        <f>'EV Dep Sch Y1'!D104+'EV Dep Sch Y2'!D96+'EV Dep Sch Y3'!D84+'EV Dep Sch Y4'!D72+'EV Dep Sch Y5'!D60+'EV Dep Sch Y6'!D48+'EV Dep Sch Y7'!D36</f>
        <v>69071.265804498704</v>
      </c>
      <c r="E104" s="269">
        <f>'EV Dep Sch Y1'!E104+'EV Dep Sch Y2'!E96+'EV Dep Sch Y3'!E84+'EV Dep Sch Y4'!E72+'EV Dep Sch Y5'!E60+'EV Dep Sch Y6'!E48+'EV Dep Sch Y7'!E36</f>
        <v>42352.884804290079</v>
      </c>
      <c r="F104" s="269">
        <f>'EV Dep Sch Y1'!F104+'EV Dep Sch Y2'!F96+'EV Dep Sch Y3'!F84+'EV Dep Sch Y4'!F72+'EV Dep Sch Y5'!F60+'EV Dep Sch Y6'!F48+'EV Dep Sch Y7'!F36</f>
        <v>-7063475.2286270689</v>
      </c>
      <c r="G104" s="269">
        <f>'EV Dep Sch Y1'!G104+'EV Dep Sch Y2'!G96+'EV Dep Sch Y3'!G84+'EV Dep Sch Y4'!G72+'EV Dep Sch Y5'!G60+'EV Dep Sch Y6'!G48+'EV Dep Sch Y7'!G36</f>
        <v>-7119273.2497578338</v>
      </c>
      <c r="H104" s="269">
        <f>'EV Dep Sch Y1'!H104+'EV Dep Sch Y2'!H96+'EV Dep Sch Y3'!H84+'EV Dep Sch Y4'!H72+'EV Dep Sch Y5'!H60+'EV Dep Sch Y6'!H48+'EV Dep Sch Y7'!H36</f>
        <v>1645092.6861928347</v>
      </c>
      <c r="I104" s="269">
        <f>'EV Dep Sch Y1'!I104+'EV Dep Sch Y2'!I96+'EV Dep Sch Y3'!I84+'EV Dep Sch Y4'!I72+'EV Dep Sch Y5'!I60+'EV Dep Sch Y6'!I48+'EV Dep Sch Y7'!I36</f>
        <v>1589294.665062069</v>
      </c>
      <c r="J104" s="269">
        <f>'EV Dep Sch Y1'!J104+'EV Dep Sch Y2'!J96+'EV Dep Sch Y3'!J84+'EV Dep Sch Y4'!J72+'EV Dep Sch Y5'!J60+'EV Dep Sch Y6'!J48+'EV Dep Sch Y7'!J36</f>
        <v>-55798.021130765788</v>
      </c>
      <c r="K104" s="269">
        <f>'EV Dep Sch Y1'!K104+'EV Dep Sch Y2'!K96+'EV Dep Sch Y3'!K84+'EV Dep Sch Y4'!K72+'EV Dep Sch Y5'!K60+'EV Dep Sch Y6'!K48+'EV Dep Sch Y7'!K36</f>
        <v>11717.584437460802</v>
      </c>
      <c r="L104" s="269">
        <f>'EV Dep Sch Y1'!L104+'EV Dep Sch Y2'!L96+'EV Dep Sch Y3'!L84+'EV Dep Sch Y4'!L72+'EV Dep Sch Y5'!L60+'EV Dep Sch Y6'!L48+'EV Dep Sch Y7'!L36</f>
        <v>5610.8600100438907</v>
      </c>
      <c r="M104" s="270">
        <f t="shared" si="4"/>
        <v>1601012.2494995298</v>
      </c>
      <c r="N104" s="21"/>
      <c r="O104" s="271"/>
      <c r="P104" s="271"/>
      <c r="Q104" s="271"/>
      <c r="R104" s="271"/>
      <c r="S104" s="271"/>
      <c r="T104" s="271"/>
    </row>
    <row r="105" spans="1:20" s="230" customFormat="1" ht="15">
      <c r="A105" s="267">
        <f t="shared" si="5"/>
        <v>46203</v>
      </c>
      <c r="B105" s="269">
        <f>'EV Dep Sch Y1'!B105+'EV Dep Sch Y2'!B97+'EV Dep Sch Y3'!B85+'EV Dep Sch Y4'!B73+'EV Dep Sch Y5'!B61+'EV Dep Sch Y6'!B49+'EV Dep Sch Y7'!B37</f>
        <v>8708567.9148199037</v>
      </c>
      <c r="C105" s="269">
        <f>'EV Dep Sch Y1'!C105+'EV Dep Sch Y2'!C97+'EV Dep Sch Y3'!C85+'EV Dep Sch Y4'!C73+'EV Dep Sch Y5'!C61+'EV Dep Sch Y6'!C49+'EV Dep Sch Y7'!C37</f>
        <v>8708567.9148199037</v>
      </c>
      <c r="D105" s="269">
        <f>'EV Dep Sch Y1'!D105+'EV Dep Sch Y2'!D97+'EV Dep Sch Y3'!D85+'EV Dep Sch Y4'!D73+'EV Dep Sch Y5'!D61+'EV Dep Sch Y6'!D49+'EV Dep Sch Y7'!D37</f>
        <v>69071.265804498704</v>
      </c>
      <c r="E105" s="269">
        <f>'EV Dep Sch Y1'!E105+'EV Dep Sch Y2'!E97+'EV Dep Sch Y3'!E85+'EV Dep Sch Y4'!E73+'EV Dep Sch Y5'!E61+'EV Dep Sch Y6'!E49+'EV Dep Sch Y7'!E37</f>
        <v>42016.356483977572</v>
      </c>
      <c r="F105" s="269">
        <f>'EV Dep Sch Y1'!F105+'EV Dep Sch Y2'!F97+'EV Dep Sch Y3'!F85+'EV Dep Sch Y4'!F73+'EV Dep Sch Y5'!F61+'EV Dep Sch Y6'!F49+'EV Dep Sch Y7'!F37</f>
        <v>-7132546.4944315674</v>
      </c>
      <c r="G105" s="269">
        <f>'EV Dep Sch Y1'!G105+'EV Dep Sch Y2'!G97+'EV Dep Sch Y3'!G85+'EV Dep Sch Y4'!G73+'EV Dep Sch Y5'!G61+'EV Dep Sch Y6'!G49+'EV Dep Sch Y7'!G37</f>
        <v>-7161289.606241812</v>
      </c>
      <c r="H105" s="269">
        <f>'EV Dep Sch Y1'!H105+'EV Dep Sch Y2'!H97+'EV Dep Sch Y3'!H85+'EV Dep Sch Y4'!H73+'EV Dep Sch Y5'!H61+'EV Dep Sch Y6'!H49+'EV Dep Sch Y7'!H37</f>
        <v>1576021.4203883358</v>
      </c>
      <c r="I105" s="269">
        <f>'EV Dep Sch Y1'!I105+'EV Dep Sch Y2'!I97+'EV Dep Sch Y3'!I85+'EV Dep Sch Y4'!I73+'EV Dep Sch Y5'!I61+'EV Dep Sch Y6'!I49+'EV Dep Sch Y7'!I37</f>
        <v>1547278.3085780917</v>
      </c>
      <c r="J105" s="269">
        <f>'EV Dep Sch Y1'!J105+'EV Dep Sch Y2'!J97+'EV Dep Sch Y3'!J85+'EV Dep Sch Y4'!J73+'EV Dep Sch Y5'!J61+'EV Dep Sch Y6'!J49+'EV Dep Sch Y7'!J37</f>
        <v>-28743.111810244096</v>
      </c>
      <c r="K105" s="269">
        <f>'EV Dep Sch Y1'!K105+'EV Dep Sch Y2'!K97+'EV Dep Sch Y3'!K85+'EV Dep Sch Y4'!K73+'EV Dep Sch Y5'!K61+'EV Dep Sch Y6'!K49+'EV Dep Sch Y7'!K37</f>
        <v>6036.0534801512658</v>
      </c>
      <c r="L105" s="269">
        <f>'EV Dep Sch Y1'!L105+'EV Dep Sch Y2'!L97+'EV Dep Sch Y3'!L85+'EV Dep Sch Y4'!L73+'EV Dep Sch Y5'!L61+'EV Dep Sch Y6'!L49+'EV Dep Sch Y7'!L37</f>
        <v>5681.5309573095465</v>
      </c>
      <c r="M105" s="270">
        <f t="shared" si="4"/>
        <v>1553314.362058243</v>
      </c>
      <c r="N105" s="21"/>
      <c r="O105" s="271"/>
      <c r="P105" s="271"/>
      <c r="Q105" s="271"/>
      <c r="R105" s="271"/>
      <c r="S105" s="271"/>
      <c r="T105" s="271"/>
    </row>
    <row r="106" spans="1:20" s="230" customFormat="1" ht="15">
      <c r="A106" s="267">
        <f t="shared" si="5"/>
        <v>46234</v>
      </c>
      <c r="B106" s="269">
        <f>'EV Dep Sch Y1'!B106+'EV Dep Sch Y2'!B98+'EV Dep Sch Y3'!B86+'EV Dep Sch Y4'!B74+'EV Dep Sch Y5'!B62+'EV Dep Sch Y6'!B50+'EV Dep Sch Y7'!B38</f>
        <v>8708567.9148199037</v>
      </c>
      <c r="C106" s="269">
        <f>'EV Dep Sch Y1'!C106+'EV Dep Sch Y2'!C98+'EV Dep Sch Y3'!C86+'EV Dep Sch Y4'!C74+'EV Dep Sch Y5'!C62+'EV Dep Sch Y6'!C50+'EV Dep Sch Y7'!C38</f>
        <v>8708567.9148199037</v>
      </c>
      <c r="D106" s="269">
        <f>'EV Dep Sch Y1'!D106+'EV Dep Sch Y2'!D98+'EV Dep Sch Y3'!D86+'EV Dep Sch Y4'!D74+'EV Dep Sch Y5'!D62+'EV Dep Sch Y6'!D50+'EV Dep Sch Y7'!D38</f>
        <v>69071.265804498704</v>
      </c>
      <c r="E106" s="269">
        <f>'EV Dep Sch Y1'!E106+'EV Dep Sch Y2'!E98+'EV Dep Sch Y3'!E86+'EV Dep Sch Y4'!E74+'EV Dep Sch Y5'!E62+'EV Dep Sch Y6'!E50+'EV Dep Sch Y7'!E38</f>
        <v>41679.828163665079</v>
      </c>
      <c r="F106" s="269">
        <f>'EV Dep Sch Y1'!F106+'EV Dep Sch Y2'!F98+'EV Dep Sch Y3'!F86+'EV Dep Sch Y4'!F74+'EV Dep Sch Y5'!F62+'EV Dep Sch Y6'!F50+'EV Dep Sch Y7'!F38</f>
        <v>-7201617.7602360668</v>
      </c>
      <c r="G106" s="269">
        <f>'EV Dep Sch Y1'!G106+'EV Dep Sch Y2'!G98+'EV Dep Sch Y3'!G86+'EV Dep Sch Y4'!G74+'EV Dep Sch Y5'!G62+'EV Dep Sch Y6'!G50+'EV Dep Sch Y7'!G38</f>
        <v>-7202969.4344054768</v>
      </c>
      <c r="H106" s="269">
        <f>'EV Dep Sch Y1'!H106+'EV Dep Sch Y2'!H98+'EV Dep Sch Y3'!H86+'EV Dep Sch Y4'!H74+'EV Dep Sch Y5'!H62+'EV Dep Sch Y6'!H50+'EV Dep Sch Y7'!H38</f>
        <v>1506950.1545838364</v>
      </c>
      <c r="I106" s="269">
        <f>'EV Dep Sch Y1'!I106+'EV Dep Sch Y2'!I98+'EV Dep Sch Y3'!I86+'EV Dep Sch Y4'!I74+'EV Dep Sch Y5'!I62+'EV Dep Sch Y6'!I50+'EV Dep Sch Y7'!I38</f>
        <v>1505598.4804144264</v>
      </c>
      <c r="J106" s="269">
        <f>'EV Dep Sch Y1'!J106+'EV Dep Sch Y2'!J98+'EV Dep Sch Y3'!J86+'EV Dep Sch Y4'!J74+'EV Dep Sch Y5'!J62+'EV Dep Sch Y6'!J50+'EV Dep Sch Y7'!J38</f>
        <v>-1351.6741694101656</v>
      </c>
      <c r="K106" s="269">
        <f>'EV Dep Sch Y1'!K106+'EV Dep Sch Y2'!K98+'EV Dep Sch Y3'!K86+'EV Dep Sch Y4'!K74+'EV Dep Sch Y5'!K62+'EV Dep Sch Y6'!K50+'EV Dep Sch Y7'!K38</f>
        <v>283.85157557613275</v>
      </c>
      <c r="L106" s="269">
        <f>'EV Dep Sch Y1'!L106+'EV Dep Sch Y2'!L98+'EV Dep Sch Y3'!L86+'EV Dep Sch Y4'!L74+'EV Dep Sch Y5'!L62+'EV Dep Sch Y6'!L50+'EV Dep Sch Y7'!L38</f>
        <v>5752.2019045751222</v>
      </c>
      <c r="M106" s="270">
        <f t="shared" si="4"/>
        <v>1505882.3319900027</v>
      </c>
      <c r="N106" s="21"/>
      <c r="O106" s="271"/>
      <c r="P106" s="271"/>
      <c r="Q106" s="271"/>
      <c r="R106" s="271"/>
      <c r="S106" s="271"/>
      <c r="T106" s="271"/>
    </row>
    <row r="107" spans="1:20" s="230" customFormat="1" ht="15">
      <c r="A107" s="267">
        <f t="shared" si="5"/>
        <v>46265</v>
      </c>
      <c r="B107" s="269">
        <f>'EV Dep Sch Y1'!B107+'EV Dep Sch Y2'!B99+'EV Dep Sch Y3'!B87+'EV Dep Sch Y4'!B75+'EV Dep Sch Y5'!B63+'EV Dep Sch Y6'!B51+'EV Dep Sch Y7'!B39</f>
        <v>8708567.9148199037</v>
      </c>
      <c r="C107" s="269">
        <f>'EV Dep Sch Y1'!C107+'EV Dep Sch Y2'!C99+'EV Dep Sch Y3'!C87+'EV Dep Sch Y4'!C75+'EV Dep Sch Y5'!C63+'EV Dep Sch Y6'!C51+'EV Dep Sch Y7'!C39</f>
        <v>8708567.9148199037</v>
      </c>
      <c r="D107" s="269">
        <f>'EV Dep Sch Y1'!D107+'EV Dep Sch Y2'!D99+'EV Dep Sch Y3'!D87+'EV Dep Sch Y4'!D75+'EV Dep Sch Y5'!D63+'EV Dep Sch Y6'!D51+'EV Dep Sch Y7'!D39</f>
        <v>69071.265804498704</v>
      </c>
      <c r="E107" s="269">
        <f>'EV Dep Sch Y1'!E107+'EV Dep Sch Y2'!E99+'EV Dep Sch Y3'!E87+'EV Dep Sch Y4'!E75+'EV Dep Sch Y5'!E63+'EV Dep Sch Y6'!E51+'EV Dep Sch Y7'!E39</f>
        <v>41679.828163665079</v>
      </c>
      <c r="F107" s="269">
        <f>'EV Dep Sch Y1'!F107+'EV Dep Sch Y2'!F99+'EV Dep Sch Y3'!F87+'EV Dep Sch Y4'!F75+'EV Dep Sch Y5'!F63+'EV Dep Sch Y6'!F51+'EV Dep Sch Y7'!F39</f>
        <v>-7270689.0260405652</v>
      </c>
      <c r="G107" s="269">
        <f>'EV Dep Sch Y1'!G107+'EV Dep Sch Y2'!G99+'EV Dep Sch Y3'!G87+'EV Dep Sch Y4'!G75+'EV Dep Sch Y5'!G63+'EV Dep Sch Y6'!G51+'EV Dep Sch Y7'!G39</f>
        <v>-7244649.2625691425</v>
      </c>
      <c r="H107" s="269">
        <f>'EV Dep Sch Y1'!H107+'EV Dep Sch Y2'!H99+'EV Dep Sch Y3'!H87+'EV Dep Sch Y4'!H75+'EV Dep Sch Y5'!H63+'EV Dep Sch Y6'!H51+'EV Dep Sch Y7'!H39</f>
        <v>1437878.8887793375</v>
      </c>
      <c r="I107" s="269">
        <f>'EV Dep Sch Y1'!I107+'EV Dep Sch Y2'!I99+'EV Dep Sch Y3'!I87+'EV Dep Sch Y4'!I75+'EV Dep Sch Y5'!I63+'EV Dep Sch Y6'!I51+'EV Dep Sch Y7'!I39</f>
        <v>1463918.6522507616</v>
      </c>
      <c r="J107" s="269">
        <f>'EV Dep Sch Y1'!J107+'EV Dep Sch Y2'!J99+'EV Dep Sch Y3'!J87+'EV Dep Sch Y4'!J75+'EV Dep Sch Y5'!J63+'EV Dep Sch Y6'!J51+'EV Dep Sch Y7'!J39</f>
        <v>26039.76347142391</v>
      </c>
      <c r="K107" s="269">
        <f>'EV Dep Sch Y1'!K107+'EV Dep Sch Y2'!K99+'EV Dep Sch Y3'!K87+'EV Dep Sch Y4'!K75+'EV Dep Sch Y5'!K63+'EV Dep Sch Y6'!K51+'EV Dep Sch Y7'!K39</f>
        <v>-5468.3503289990113</v>
      </c>
      <c r="L107" s="269">
        <f>'EV Dep Sch Y1'!L107+'EV Dep Sch Y2'!L99+'EV Dep Sch Y3'!L87+'EV Dep Sch Y4'!L75+'EV Dep Sch Y5'!L63+'EV Dep Sch Y6'!L51+'EV Dep Sch Y7'!L39</f>
        <v>5752.2019045751522</v>
      </c>
      <c r="M107" s="270">
        <f t="shared" si="4"/>
        <v>1458450.3019217625</v>
      </c>
      <c r="N107" s="21"/>
      <c r="O107" s="271"/>
      <c r="P107" s="271"/>
      <c r="Q107" s="271"/>
      <c r="R107" s="271"/>
      <c r="S107" s="271"/>
      <c r="T107" s="271"/>
    </row>
    <row r="108" spans="1:20" s="230" customFormat="1" ht="15">
      <c r="A108" s="267">
        <f t="shared" si="5"/>
        <v>46295</v>
      </c>
      <c r="B108" s="269">
        <f>'EV Dep Sch Y1'!B108+'EV Dep Sch Y2'!B100+'EV Dep Sch Y3'!B88+'EV Dep Sch Y4'!B76+'EV Dep Sch Y5'!B64+'EV Dep Sch Y6'!B52+'EV Dep Sch Y7'!B40</f>
        <v>8708567.9148199037</v>
      </c>
      <c r="C108" s="269">
        <f>'EV Dep Sch Y1'!C108+'EV Dep Sch Y2'!C100+'EV Dep Sch Y3'!C88+'EV Dep Sch Y4'!C76+'EV Dep Sch Y5'!C64+'EV Dep Sch Y6'!C52+'EV Dep Sch Y7'!C40</f>
        <v>8708567.9148199037</v>
      </c>
      <c r="D108" s="269">
        <f>'EV Dep Sch Y1'!D108+'EV Dep Sch Y2'!D100+'EV Dep Sch Y3'!D88+'EV Dep Sch Y4'!D76+'EV Dep Sch Y5'!D64+'EV Dep Sch Y6'!D52+'EV Dep Sch Y7'!D40</f>
        <v>51511.993032099243</v>
      </c>
      <c r="E108" s="269">
        <f>'EV Dep Sch Y1'!E108+'EV Dep Sch Y2'!E100+'EV Dep Sch Y3'!E88+'EV Dep Sch Y4'!E76+'EV Dep Sch Y5'!E64+'EV Dep Sch Y6'!E52+'EV Dep Sch Y7'!E40</f>
        <v>41679.828163665079</v>
      </c>
      <c r="F108" s="269">
        <f>'EV Dep Sch Y1'!F108+'EV Dep Sch Y2'!F100+'EV Dep Sch Y3'!F88+'EV Dep Sch Y4'!F76+'EV Dep Sch Y5'!F64+'EV Dep Sch Y6'!F52+'EV Dep Sch Y7'!F40</f>
        <v>-7322201.0190726658</v>
      </c>
      <c r="G108" s="269">
        <f>'EV Dep Sch Y1'!G108+'EV Dep Sch Y2'!G100+'EV Dep Sch Y3'!G88+'EV Dep Sch Y4'!G76+'EV Dep Sch Y5'!G64+'EV Dep Sch Y6'!G52+'EV Dep Sch Y7'!G40</f>
        <v>-7286329.0907328064</v>
      </c>
      <c r="H108" s="269">
        <f>'EV Dep Sch Y1'!H108+'EV Dep Sch Y2'!H100+'EV Dep Sch Y3'!H88+'EV Dep Sch Y4'!H76+'EV Dep Sch Y5'!H64+'EV Dep Sch Y6'!H52+'EV Dep Sch Y7'!H40</f>
        <v>1386366.8957472378</v>
      </c>
      <c r="I108" s="269">
        <f>'EV Dep Sch Y1'!I108+'EV Dep Sch Y2'!I100+'EV Dep Sch Y3'!I88+'EV Dep Sch Y4'!I76+'EV Dep Sch Y5'!I64+'EV Dep Sch Y6'!I52+'EV Dep Sch Y7'!I40</f>
        <v>1422238.8240870964</v>
      </c>
      <c r="J108" s="269">
        <f>'EV Dep Sch Y1'!J108+'EV Dep Sch Y2'!J100+'EV Dep Sch Y3'!J88+'EV Dep Sch Y4'!J76+'EV Dep Sch Y5'!J64+'EV Dep Sch Y6'!J52+'EV Dep Sch Y7'!J40</f>
        <v>35871.92833985851</v>
      </c>
      <c r="K108" s="269">
        <f>'EV Dep Sch Y1'!K108+'EV Dep Sch Y2'!K100+'EV Dep Sch Y3'!K88+'EV Dep Sch Y4'!K76+'EV Dep Sch Y5'!K64+'EV Dep Sch Y6'!K52+'EV Dep Sch Y7'!K40</f>
        <v>-7533.1049513702856</v>
      </c>
      <c r="L108" s="269">
        <f>'EV Dep Sch Y1'!L108+'EV Dep Sch Y2'!L100+'EV Dep Sch Y3'!L88+'EV Dep Sch Y4'!L76+'EV Dep Sch Y5'!L64+'EV Dep Sch Y6'!L52+'EV Dep Sch Y7'!L40</f>
        <v>2064.7546223712702</v>
      </c>
      <c r="M108" s="270">
        <f t="shared" si="4"/>
        <v>1414705.7191357261</v>
      </c>
      <c r="N108" s="21"/>
      <c r="O108" s="271"/>
      <c r="P108" s="271"/>
      <c r="Q108" s="271"/>
      <c r="R108" s="271"/>
      <c r="S108" s="271"/>
      <c r="T108" s="271"/>
    </row>
    <row r="109" spans="1:20" s="230" customFormat="1" ht="15">
      <c r="A109" s="267">
        <f t="shared" si="5"/>
        <v>46326</v>
      </c>
      <c r="B109" s="269">
        <f>'EV Dep Sch Y1'!B109+'EV Dep Sch Y2'!B101+'EV Dep Sch Y3'!B89+'EV Dep Sch Y4'!B77+'EV Dep Sch Y5'!B65+'EV Dep Sch Y6'!B53+'EV Dep Sch Y7'!B41</f>
        <v>8708567.9148199037</v>
      </c>
      <c r="C109" s="269">
        <f>'EV Dep Sch Y1'!C109+'EV Dep Sch Y2'!C101+'EV Dep Sch Y3'!C89+'EV Dep Sch Y4'!C77+'EV Dep Sch Y5'!C65+'EV Dep Sch Y6'!C53+'EV Dep Sch Y7'!C41</f>
        <v>8708567.9148199037</v>
      </c>
      <c r="D109" s="269">
        <f>'EV Dep Sch Y1'!D109+'EV Dep Sch Y2'!D101+'EV Dep Sch Y3'!D89+'EV Dep Sch Y4'!D77+'EV Dep Sch Y5'!D65+'EV Dep Sch Y6'!D53+'EV Dep Sch Y7'!D41</f>
        <v>51511.993032099243</v>
      </c>
      <c r="E109" s="269">
        <f>'EV Dep Sch Y1'!E109+'EV Dep Sch Y2'!E101+'EV Dep Sch Y3'!E89+'EV Dep Sch Y4'!E77+'EV Dep Sch Y5'!E65+'EV Dep Sch Y6'!E53+'EV Dep Sch Y7'!E41</f>
        <v>41679.828163665079</v>
      </c>
      <c r="F109" s="269">
        <f>'EV Dep Sch Y1'!F109+'EV Dep Sch Y2'!F101+'EV Dep Sch Y3'!F89+'EV Dep Sch Y4'!F77+'EV Dep Sch Y5'!F65+'EV Dep Sch Y6'!F53+'EV Dep Sch Y7'!F41</f>
        <v>-7373713.0121047655</v>
      </c>
      <c r="G109" s="269">
        <f>'EV Dep Sch Y1'!G109+'EV Dep Sch Y2'!G101+'EV Dep Sch Y3'!G89+'EV Dep Sch Y4'!G77+'EV Dep Sch Y5'!G65+'EV Dep Sch Y6'!G53+'EV Dep Sch Y7'!G41</f>
        <v>-7328008.918896473</v>
      </c>
      <c r="H109" s="269">
        <f>'EV Dep Sch Y1'!H109+'EV Dep Sch Y2'!H101+'EV Dep Sch Y3'!H89+'EV Dep Sch Y4'!H77+'EV Dep Sch Y5'!H65+'EV Dep Sch Y6'!H53+'EV Dep Sch Y7'!H41</f>
        <v>1334854.9027151382</v>
      </c>
      <c r="I109" s="269">
        <f>'EV Dep Sch Y1'!I109+'EV Dep Sch Y2'!I101+'EV Dep Sch Y3'!I89+'EV Dep Sch Y4'!I77+'EV Dep Sch Y5'!I65+'EV Dep Sch Y6'!I53+'EV Dep Sch Y7'!I41</f>
        <v>1380558.9959234314</v>
      </c>
      <c r="J109" s="269">
        <f>'EV Dep Sch Y1'!J109+'EV Dep Sch Y2'!J101+'EV Dep Sch Y3'!J89+'EV Dep Sch Y4'!J77+'EV Dep Sch Y5'!J65+'EV Dep Sch Y6'!J53+'EV Dep Sch Y7'!J41</f>
        <v>45704.093208293256</v>
      </c>
      <c r="K109" s="269">
        <f>'EV Dep Sch Y1'!K109+'EV Dep Sch Y2'!K101+'EV Dep Sch Y3'!K89+'EV Dep Sch Y4'!K77+'EV Dep Sch Y5'!K65+'EV Dep Sch Y6'!K53+'EV Dep Sch Y7'!K41</f>
        <v>-9597.8595737415781</v>
      </c>
      <c r="L109" s="269">
        <f>'EV Dep Sch Y1'!L109+'EV Dep Sch Y2'!L101+'EV Dep Sch Y3'!L89+'EV Dep Sch Y4'!L77+'EV Dep Sch Y5'!L65+'EV Dep Sch Y6'!L53+'EV Dep Sch Y7'!L41</f>
        <v>2064.7546223712916</v>
      </c>
      <c r="M109" s="270">
        <f t="shared" si="4"/>
        <v>1370961.1363496897</v>
      </c>
      <c r="N109" s="97"/>
      <c r="O109" s="271"/>
      <c r="P109" s="271"/>
      <c r="Q109" s="271"/>
      <c r="R109" s="271"/>
      <c r="S109" s="271"/>
      <c r="T109" s="271"/>
    </row>
    <row r="110" spans="1:20" s="230" customFormat="1" ht="15">
      <c r="A110" s="267">
        <f t="shared" si="5"/>
        <v>46356</v>
      </c>
      <c r="B110" s="269">
        <f>'EV Dep Sch Y1'!B110+'EV Dep Sch Y2'!B102+'EV Dep Sch Y3'!B90+'EV Dep Sch Y4'!B78+'EV Dep Sch Y5'!B66+'EV Dep Sch Y6'!B54+'EV Dep Sch Y7'!B42</f>
        <v>8708567.9148199037</v>
      </c>
      <c r="C110" s="269">
        <f>'EV Dep Sch Y1'!C110+'EV Dep Sch Y2'!C102+'EV Dep Sch Y3'!C90+'EV Dep Sch Y4'!C78+'EV Dep Sch Y5'!C66+'EV Dep Sch Y6'!C54+'EV Dep Sch Y7'!C42</f>
        <v>8708567.9148199037</v>
      </c>
      <c r="D110" s="269">
        <f>'EV Dep Sch Y1'!D110+'EV Dep Sch Y2'!D102+'EV Dep Sch Y3'!D90+'EV Dep Sch Y4'!D78+'EV Dep Sch Y5'!D66+'EV Dep Sch Y6'!D54+'EV Dep Sch Y7'!D42</f>
        <v>51511.993032099243</v>
      </c>
      <c r="E110" s="269">
        <f>'EV Dep Sch Y1'!E110+'EV Dep Sch Y2'!E102+'EV Dep Sch Y3'!E90+'EV Dep Sch Y4'!E78+'EV Dep Sch Y5'!E66+'EV Dep Sch Y6'!E54+'EV Dep Sch Y7'!E42</f>
        <v>41679.828163665079</v>
      </c>
      <c r="F110" s="269">
        <f>'EV Dep Sch Y1'!F110+'EV Dep Sch Y2'!F102+'EV Dep Sch Y3'!F90+'EV Dep Sch Y4'!F78+'EV Dep Sch Y5'!F66+'EV Dep Sch Y6'!F54+'EV Dep Sch Y7'!F42</f>
        <v>-7425225.0051368643</v>
      </c>
      <c r="G110" s="269">
        <f>'EV Dep Sch Y1'!G110+'EV Dep Sch Y2'!G102+'EV Dep Sch Y3'!G90+'EV Dep Sch Y4'!G78+'EV Dep Sch Y5'!G66+'EV Dep Sch Y6'!G54+'EV Dep Sch Y7'!G42</f>
        <v>-7369688.7470601369</v>
      </c>
      <c r="H110" s="269">
        <f>'EV Dep Sch Y1'!H110+'EV Dep Sch Y2'!H102+'EV Dep Sch Y3'!H90+'EV Dep Sch Y4'!H78+'EV Dep Sch Y5'!H66+'EV Dep Sch Y6'!H54+'EV Dep Sch Y7'!H42</f>
        <v>1283342.9096830385</v>
      </c>
      <c r="I110" s="269">
        <f>'EV Dep Sch Y1'!I110+'EV Dep Sch Y2'!I102+'EV Dep Sch Y3'!I90+'EV Dep Sch Y4'!I78+'EV Dep Sch Y5'!I66+'EV Dep Sch Y6'!I54+'EV Dep Sch Y7'!I42</f>
        <v>1338879.1677597663</v>
      </c>
      <c r="J110" s="269">
        <f>'EV Dep Sch Y1'!J110+'EV Dep Sch Y2'!J102+'EV Dep Sch Y3'!J90+'EV Dep Sch Y4'!J78+'EV Dep Sch Y5'!J66+'EV Dep Sch Y6'!J54+'EV Dep Sch Y7'!J42</f>
        <v>55536.25807672774</v>
      </c>
      <c r="K110" s="269">
        <f>'EV Dep Sch Y1'!K110+'EV Dep Sch Y2'!K102+'EV Dep Sch Y3'!K90+'EV Dep Sch Y4'!K78+'EV Dep Sch Y5'!K66+'EV Dep Sch Y6'!K54+'EV Dep Sch Y7'!K42</f>
        <v>-11662.614196112816</v>
      </c>
      <c r="L110" s="269">
        <f>'EV Dep Sch Y1'!L110+'EV Dep Sch Y2'!L102+'EV Dep Sch Y3'!L90+'EV Dep Sch Y4'!L78+'EV Dep Sch Y5'!L66+'EV Dep Sch Y6'!L54+'EV Dep Sch Y7'!L42</f>
        <v>2064.7546223712416</v>
      </c>
      <c r="M110" s="270">
        <f t="shared" si="4"/>
        <v>1327216.5535636535</v>
      </c>
      <c r="N110" s="97"/>
      <c r="O110" s="271"/>
      <c r="P110" s="271"/>
      <c r="Q110" s="271"/>
      <c r="R110" s="271"/>
      <c r="S110" s="271"/>
      <c r="T110" s="271"/>
    </row>
    <row r="111" spans="1:20" s="230" customFormat="1" ht="15">
      <c r="A111" s="267">
        <f t="shared" si="5"/>
        <v>46387</v>
      </c>
      <c r="B111" s="269">
        <f>'EV Dep Sch Y1'!B111+'EV Dep Sch Y2'!B103+'EV Dep Sch Y3'!B91+'EV Dep Sch Y4'!B79+'EV Dep Sch Y5'!B67+'EV Dep Sch Y6'!B55+'EV Dep Sch Y7'!B43</f>
        <v>8708567.9148199037</v>
      </c>
      <c r="C111" s="269">
        <f>'EV Dep Sch Y1'!C111+'EV Dep Sch Y2'!C103+'EV Dep Sch Y3'!C91+'EV Dep Sch Y4'!C79+'EV Dep Sch Y5'!C67+'EV Dep Sch Y6'!C55+'EV Dep Sch Y7'!C43</f>
        <v>8708567.9148199037</v>
      </c>
      <c r="D111" s="269">
        <f>'EV Dep Sch Y1'!D111+'EV Dep Sch Y2'!D103+'EV Dep Sch Y3'!D91+'EV Dep Sch Y4'!D79+'EV Dep Sch Y5'!D67+'EV Dep Sch Y6'!D55+'EV Dep Sch Y7'!D43</f>
        <v>51511.993032099243</v>
      </c>
      <c r="E111" s="269">
        <f>'EV Dep Sch Y1'!E111+'EV Dep Sch Y2'!E103+'EV Dep Sch Y3'!E91+'EV Dep Sch Y4'!E79+'EV Dep Sch Y5'!E67+'EV Dep Sch Y6'!E55+'EV Dep Sch Y7'!E43</f>
        <v>41679.828163665079</v>
      </c>
      <c r="F111" s="269">
        <f>'EV Dep Sch Y1'!F111+'EV Dep Sch Y2'!F103+'EV Dep Sch Y3'!F91+'EV Dep Sch Y4'!F79+'EV Dep Sch Y5'!F67+'EV Dep Sch Y6'!F55+'EV Dep Sch Y7'!F43</f>
        <v>-7476736.9981689639</v>
      </c>
      <c r="G111" s="269">
        <f>'EV Dep Sch Y1'!G111+'EV Dep Sch Y2'!G103+'EV Dep Sch Y3'!G91+'EV Dep Sch Y4'!G79+'EV Dep Sch Y5'!G67+'EV Dep Sch Y6'!G55+'EV Dep Sch Y7'!G43</f>
        <v>-7411368.5752238017</v>
      </c>
      <c r="H111" s="269">
        <f>'EV Dep Sch Y1'!H111+'EV Dep Sch Y2'!H103+'EV Dep Sch Y3'!H91+'EV Dep Sch Y4'!H79+'EV Dep Sch Y5'!H67+'EV Dep Sch Y6'!H55+'EV Dep Sch Y7'!H43</f>
        <v>1231830.9166509435</v>
      </c>
      <c r="I111" s="269">
        <f>'EV Dep Sch Y1'!I111+'EV Dep Sch Y2'!I103+'EV Dep Sch Y3'!I91+'EV Dep Sch Y4'!I79+'EV Dep Sch Y5'!I67+'EV Dep Sch Y6'!I55+'EV Dep Sch Y7'!I43</f>
        <v>1297199.3395961011</v>
      </c>
      <c r="J111" s="269">
        <f>'EV Dep Sch Y1'!J111+'EV Dep Sch Y2'!J103+'EV Dep Sch Y3'!J91+'EV Dep Sch Y4'!J79+'EV Dep Sch Y5'!J67+'EV Dep Sch Y6'!J55+'EV Dep Sch Y7'!J43</f>
        <v>65368.42294515761</v>
      </c>
      <c r="K111" s="269">
        <f>'EV Dep Sch Y1'!K111+'EV Dep Sch Y2'!K103+'EV Dep Sch Y3'!K91+'EV Dep Sch Y4'!K79+'EV Dep Sch Y5'!K67+'EV Dep Sch Y6'!K55+'EV Dep Sch Y7'!K43</f>
        <v>-13727.368818483097</v>
      </c>
      <c r="L111" s="269">
        <f>'EV Dep Sch Y1'!L111+'EV Dep Sch Y2'!L103+'EV Dep Sch Y3'!L91+'EV Dep Sch Y4'!L79+'EV Dep Sch Y5'!L67+'EV Dep Sch Y6'!L55+'EV Dep Sch Y7'!L43</f>
        <v>2064.7546223702784</v>
      </c>
      <c r="M111" s="270">
        <f t="shared" si="4"/>
        <v>1283471.970777618</v>
      </c>
      <c r="N111" s="97"/>
      <c r="O111" s="271"/>
      <c r="P111" s="271"/>
      <c r="Q111" s="271"/>
      <c r="R111" s="271"/>
      <c r="S111" s="271"/>
      <c r="T111" s="271"/>
    </row>
    <row r="112" spans="1:20" s="230" customFormat="1" ht="15">
      <c r="A112" s="267">
        <f t="shared" si="5"/>
        <v>46418</v>
      </c>
      <c r="B112" s="269">
        <f>'EV Dep Sch Y1'!B112+'EV Dep Sch Y2'!B104+'EV Dep Sch Y3'!B92+'EV Dep Sch Y4'!B80+'EV Dep Sch Y5'!B68+'EV Dep Sch Y6'!B56+'EV Dep Sch Y7'!B44</f>
        <v>8708567.9148199037</v>
      </c>
      <c r="C112" s="269">
        <f>'EV Dep Sch Y1'!C112+'EV Dep Sch Y2'!C104+'EV Dep Sch Y3'!C92+'EV Dep Sch Y4'!C80+'EV Dep Sch Y5'!C68+'EV Dep Sch Y6'!C56+'EV Dep Sch Y7'!C44</f>
        <v>8708567.9148199037</v>
      </c>
      <c r="D112" s="269">
        <f>'EV Dep Sch Y1'!D112+'EV Dep Sch Y2'!D104+'EV Dep Sch Y3'!D92+'EV Dep Sch Y4'!D80+'EV Dep Sch Y5'!D68+'EV Dep Sch Y6'!D56+'EV Dep Sch Y7'!D44</f>
        <v>35021.095365849251</v>
      </c>
      <c r="E112" s="269">
        <f>'EV Dep Sch Y1'!E112+'EV Dep Sch Y2'!E104+'EV Dep Sch Y3'!E92+'EV Dep Sch Y4'!E80+'EV Dep Sch Y5'!E68+'EV Dep Sch Y6'!E56+'EV Dep Sch Y7'!E44</f>
        <v>41679.828163665079</v>
      </c>
      <c r="F112" s="269">
        <f>'EV Dep Sch Y1'!F112+'EV Dep Sch Y2'!F104+'EV Dep Sch Y3'!F92+'EV Dep Sch Y4'!F80+'EV Dep Sch Y5'!F68+'EV Dep Sch Y6'!F56+'EV Dep Sch Y7'!F44</f>
        <v>-7511758.0935348142</v>
      </c>
      <c r="G112" s="269">
        <f>'EV Dep Sch Y1'!G112+'EV Dep Sch Y2'!G104+'EV Dep Sch Y3'!G92+'EV Dep Sch Y4'!G80+'EV Dep Sch Y5'!G68+'EV Dep Sch Y6'!G56+'EV Dep Sch Y7'!G44</f>
        <v>-7453048.4033874674</v>
      </c>
      <c r="H112" s="269">
        <f>'EV Dep Sch Y1'!H112+'EV Dep Sch Y2'!H104+'EV Dep Sch Y3'!H92+'EV Dep Sch Y4'!H80+'EV Dep Sch Y5'!H68+'EV Dep Sch Y6'!H56+'EV Dep Sch Y7'!H44</f>
        <v>1196809.8212850941</v>
      </c>
      <c r="I112" s="269">
        <f>'EV Dep Sch Y1'!I112+'EV Dep Sch Y2'!I104+'EV Dep Sch Y3'!I92+'EV Dep Sch Y4'!I80+'EV Dep Sch Y5'!I68+'EV Dep Sch Y6'!I56+'EV Dep Sch Y7'!I44</f>
        <v>1255519.5114324363</v>
      </c>
      <c r="J112" s="269">
        <f>'EV Dep Sch Y1'!J112+'EV Dep Sch Y2'!J104+'EV Dep Sch Y3'!J92+'EV Dep Sch Y4'!J80+'EV Dep Sch Y5'!J68+'EV Dep Sch Y6'!J56+'EV Dep Sch Y7'!J44</f>
        <v>58709.690147341913</v>
      </c>
      <c r="K112" s="269">
        <f>'EV Dep Sch Y1'!K112+'EV Dep Sch Y2'!K104+'EV Dep Sch Y3'!K92+'EV Dep Sch Y4'!K80+'EV Dep Sch Y5'!K68+'EV Dep Sch Y6'!K56+'EV Dep Sch Y7'!K44</f>
        <v>-12329.0349309418</v>
      </c>
      <c r="L112" s="269">
        <f>'EV Dep Sch Y1'!L112+'EV Dep Sch Y2'!L104+'EV Dep Sch Y3'!L92+'EV Dep Sch Y4'!L80+'EV Dep Sch Y5'!L68+'EV Dep Sch Y6'!L56+'EV Dep Sch Y7'!L44</f>
        <v>-1398.333887541299</v>
      </c>
      <c r="M112" s="270">
        <f t="shared" si="4"/>
        <v>1243190.4765014944</v>
      </c>
      <c r="N112" s="97"/>
      <c r="O112" s="271"/>
      <c r="P112" s="271"/>
      <c r="Q112" s="271"/>
      <c r="R112" s="271"/>
      <c r="S112" s="271"/>
      <c r="T112" s="271"/>
    </row>
    <row r="113" spans="1:20" s="230" customFormat="1" ht="15">
      <c r="A113" s="267">
        <f t="shared" si="5"/>
        <v>46446</v>
      </c>
      <c r="B113" s="269">
        <f>'EV Dep Sch Y1'!B113+'EV Dep Sch Y2'!B105+'EV Dep Sch Y3'!B93+'EV Dep Sch Y4'!B81+'EV Dep Sch Y5'!B69+'EV Dep Sch Y6'!B57+'EV Dep Sch Y7'!B45</f>
        <v>8708567.9148199037</v>
      </c>
      <c r="C113" s="269">
        <f>'EV Dep Sch Y1'!C113+'EV Dep Sch Y2'!C105+'EV Dep Sch Y3'!C93+'EV Dep Sch Y4'!C81+'EV Dep Sch Y5'!C69+'EV Dep Sch Y6'!C57+'EV Dep Sch Y7'!C45</f>
        <v>8708567.9148199037</v>
      </c>
      <c r="D113" s="269">
        <f>'EV Dep Sch Y1'!D113+'EV Dep Sch Y2'!D105+'EV Dep Sch Y3'!D93+'EV Dep Sch Y4'!D81+'EV Dep Sch Y5'!D69+'EV Dep Sch Y6'!D57+'EV Dep Sch Y7'!D45</f>
        <v>35021.095365849251</v>
      </c>
      <c r="E113" s="269">
        <f>'EV Dep Sch Y1'!E113+'EV Dep Sch Y2'!E105+'EV Dep Sch Y3'!E93+'EV Dep Sch Y4'!E81+'EV Dep Sch Y5'!E69+'EV Dep Sch Y6'!E57+'EV Dep Sch Y7'!E45</f>
        <v>41679.828163665079</v>
      </c>
      <c r="F113" s="269">
        <f>'EV Dep Sch Y1'!F113+'EV Dep Sch Y2'!F105+'EV Dep Sch Y3'!F93+'EV Dep Sch Y4'!F81+'EV Dep Sch Y5'!F69+'EV Dep Sch Y6'!F57+'EV Dep Sch Y7'!F45</f>
        <v>-7546779.1889006635</v>
      </c>
      <c r="G113" s="269">
        <f>'EV Dep Sch Y1'!G113+'EV Dep Sch Y2'!G105+'EV Dep Sch Y3'!G93+'EV Dep Sch Y4'!G81+'EV Dep Sch Y5'!G69+'EV Dep Sch Y6'!G57+'EV Dep Sch Y7'!G45</f>
        <v>-7494728.2315511322</v>
      </c>
      <c r="H113" s="269">
        <f>'EV Dep Sch Y1'!H113+'EV Dep Sch Y2'!H105+'EV Dep Sch Y3'!H93+'EV Dep Sch Y4'!H81+'EV Dep Sch Y5'!H69+'EV Dep Sch Y6'!H57+'EV Dep Sch Y7'!H45</f>
        <v>1161788.7259192448</v>
      </c>
      <c r="I113" s="269">
        <f>'EV Dep Sch Y1'!I113+'EV Dep Sch Y2'!I105+'EV Dep Sch Y3'!I93+'EV Dep Sch Y4'!I81+'EV Dep Sch Y5'!I69+'EV Dep Sch Y6'!I57+'EV Dep Sch Y7'!I45</f>
        <v>1213839.683268771</v>
      </c>
      <c r="J113" s="269">
        <f>'EV Dep Sch Y1'!J113+'EV Dep Sch Y2'!J105+'EV Dep Sch Y3'!J93+'EV Dep Sch Y4'!J81+'EV Dep Sch Y5'!J69+'EV Dep Sch Y6'!J57+'EV Dep Sch Y7'!J45</f>
        <v>52050.957349526216</v>
      </c>
      <c r="K113" s="269">
        <f>'EV Dep Sch Y1'!K113+'EV Dep Sch Y2'!K105+'EV Dep Sch Y3'!K93+'EV Dep Sch Y4'!K81+'EV Dep Sch Y5'!K69+'EV Dep Sch Y6'!K57+'EV Dep Sch Y7'!K45</f>
        <v>-10930.701043400506</v>
      </c>
      <c r="L113" s="269">
        <f>'EV Dep Sch Y1'!L113+'EV Dep Sch Y2'!L105+'EV Dep Sch Y3'!L93+'EV Dep Sch Y4'!L81+'EV Dep Sch Y5'!L69+'EV Dep Sch Y6'!L57+'EV Dep Sch Y7'!L45</f>
        <v>-1398.3338875412951</v>
      </c>
      <c r="M113" s="270">
        <f t="shared" si="4"/>
        <v>1202908.9822253706</v>
      </c>
      <c r="N113" s="97"/>
      <c r="O113" s="271"/>
      <c r="P113" s="271"/>
      <c r="Q113" s="271"/>
      <c r="R113" s="271"/>
      <c r="S113" s="271"/>
      <c r="T113" s="271"/>
    </row>
    <row r="114" spans="1:20" s="230" customFormat="1" ht="15">
      <c r="A114" s="267">
        <f t="shared" si="5"/>
        <v>46477</v>
      </c>
      <c r="B114" s="269">
        <f>'EV Dep Sch Y1'!B114+'EV Dep Sch Y2'!B106+'EV Dep Sch Y3'!B94+'EV Dep Sch Y4'!B82+'EV Dep Sch Y5'!B70+'EV Dep Sch Y6'!B58+'EV Dep Sch Y7'!B46</f>
        <v>8708567.9148199037</v>
      </c>
      <c r="C114" s="269">
        <f>'EV Dep Sch Y1'!C114+'EV Dep Sch Y2'!C106+'EV Dep Sch Y3'!C94+'EV Dep Sch Y4'!C82+'EV Dep Sch Y5'!C70+'EV Dep Sch Y6'!C58+'EV Dep Sch Y7'!C46</f>
        <v>8708567.9148199037</v>
      </c>
      <c r="D114" s="269">
        <f>'EV Dep Sch Y1'!D114+'EV Dep Sch Y2'!D106+'EV Dep Sch Y3'!D94+'EV Dep Sch Y4'!D82+'EV Dep Sch Y5'!D70+'EV Dep Sch Y6'!D58+'EV Dep Sch Y7'!D46</f>
        <v>35021.095365849251</v>
      </c>
      <c r="E114" s="269">
        <f>'EV Dep Sch Y1'!E114+'EV Dep Sch Y2'!E106+'EV Dep Sch Y3'!E94+'EV Dep Sch Y4'!E82+'EV Dep Sch Y5'!E70+'EV Dep Sch Y6'!E58+'EV Dep Sch Y7'!E46</f>
        <v>41679.828163665079</v>
      </c>
      <c r="F114" s="269">
        <f>'EV Dep Sch Y1'!F114+'EV Dep Sch Y2'!F106+'EV Dep Sch Y3'!F94+'EV Dep Sch Y4'!F82+'EV Dep Sch Y5'!F70+'EV Dep Sch Y6'!F58+'EV Dep Sch Y7'!F46</f>
        <v>-7581800.2842665138</v>
      </c>
      <c r="G114" s="269">
        <f>'EV Dep Sch Y1'!G114+'EV Dep Sch Y2'!G106+'EV Dep Sch Y3'!G94+'EV Dep Sch Y4'!G82+'EV Dep Sch Y5'!G70+'EV Dep Sch Y6'!G58+'EV Dep Sch Y7'!G46</f>
        <v>-7536408.0597147979</v>
      </c>
      <c r="H114" s="269">
        <f>'EV Dep Sch Y1'!H114+'EV Dep Sch Y2'!H106+'EV Dep Sch Y3'!H94+'EV Dep Sch Y4'!H82+'EV Dep Sch Y5'!H70+'EV Dep Sch Y6'!H58+'EV Dep Sch Y7'!H46</f>
        <v>1126767.6305533955</v>
      </c>
      <c r="I114" s="269">
        <f>'EV Dep Sch Y1'!I114+'EV Dep Sch Y2'!I106+'EV Dep Sch Y3'!I94+'EV Dep Sch Y4'!I82+'EV Dep Sch Y5'!I70+'EV Dep Sch Y6'!I58+'EV Dep Sch Y7'!I46</f>
        <v>1172159.855105106</v>
      </c>
      <c r="J114" s="269">
        <f>'EV Dep Sch Y1'!J114+'EV Dep Sch Y2'!J106+'EV Dep Sch Y3'!J94+'EV Dep Sch Y4'!J82+'EV Dep Sch Y5'!J70+'EV Dep Sch Y6'!J58+'EV Dep Sch Y7'!J46</f>
        <v>45392.224551710402</v>
      </c>
      <c r="K114" s="269">
        <f>'EV Dep Sch Y1'!K114+'EV Dep Sch Y2'!K106+'EV Dep Sch Y3'!K94+'EV Dep Sch Y4'!K82+'EV Dep Sch Y5'!K70+'EV Dep Sch Y6'!K58+'EV Dep Sch Y7'!K46</f>
        <v>-9532.367155859185</v>
      </c>
      <c r="L114" s="269">
        <f>'EV Dep Sch Y1'!L114+'EV Dep Sch Y2'!L106+'EV Dep Sch Y3'!L94+'EV Dep Sch Y4'!L82+'EV Dep Sch Y5'!L70+'EV Dep Sch Y6'!L58+'EV Dep Sch Y7'!L46</f>
        <v>-1398.3338875413206</v>
      </c>
      <c r="M114" s="270">
        <f t="shared" si="4"/>
        <v>1162627.4879492468</v>
      </c>
      <c r="N114" s="97"/>
      <c r="O114" s="271"/>
      <c r="P114" s="271"/>
      <c r="Q114" s="271"/>
      <c r="R114" s="271"/>
      <c r="S114" s="271"/>
      <c r="T114" s="271"/>
    </row>
    <row r="115" spans="1:20" s="230" customFormat="1" ht="15">
      <c r="A115" s="267">
        <f t="shared" si="5"/>
        <v>46507</v>
      </c>
      <c r="B115" s="269">
        <f>'EV Dep Sch Y1'!B115+'EV Dep Sch Y2'!B107+'EV Dep Sch Y3'!B95+'EV Dep Sch Y4'!B83+'EV Dep Sch Y5'!B71+'EV Dep Sch Y6'!B59+'EV Dep Sch Y7'!B47</f>
        <v>8708567.9148199037</v>
      </c>
      <c r="C115" s="269">
        <f>'EV Dep Sch Y1'!C115+'EV Dep Sch Y2'!C107+'EV Dep Sch Y3'!C95+'EV Dep Sch Y4'!C83+'EV Dep Sch Y5'!C71+'EV Dep Sch Y6'!C59+'EV Dep Sch Y7'!C47</f>
        <v>8708567.9148199037</v>
      </c>
      <c r="D115" s="269">
        <f>'EV Dep Sch Y1'!D115+'EV Dep Sch Y2'!D107+'EV Dep Sch Y3'!D95+'EV Dep Sch Y4'!D83+'EV Dep Sch Y5'!D71+'EV Dep Sch Y6'!D59+'EV Dep Sch Y7'!D47</f>
        <v>35021.095365849251</v>
      </c>
      <c r="E115" s="269">
        <f>'EV Dep Sch Y1'!E115+'EV Dep Sch Y2'!E107+'EV Dep Sch Y3'!E95+'EV Dep Sch Y4'!E83+'EV Dep Sch Y5'!E71+'EV Dep Sch Y6'!E59+'EV Dep Sch Y7'!E47</f>
        <v>41679.828163665079</v>
      </c>
      <c r="F115" s="269">
        <f>'EV Dep Sch Y1'!F115+'EV Dep Sch Y2'!F107+'EV Dep Sch Y3'!F95+'EV Dep Sch Y4'!F83+'EV Dep Sch Y5'!F71+'EV Dep Sch Y6'!F59+'EV Dep Sch Y7'!F47</f>
        <v>-7616821.3796323612</v>
      </c>
      <c r="G115" s="269">
        <f>'EV Dep Sch Y1'!G115+'EV Dep Sch Y2'!G107+'EV Dep Sch Y3'!G95+'EV Dep Sch Y4'!G83+'EV Dep Sch Y5'!G71+'EV Dep Sch Y6'!G59+'EV Dep Sch Y7'!G47</f>
        <v>-7578087.8878784617</v>
      </c>
      <c r="H115" s="269">
        <f>'EV Dep Sch Y1'!H115+'EV Dep Sch Y2'!H107+'EV Dep Sch Y3'!H95+'EV Dep Sch Y4'!H83+'EV Dep Sch Y5'!H71+'EV Dep Sch Y6'!H59+'EV Dep Sch Y7'!H47</f>
        <v>1091746.5351875464</v>
      </c>
      <c r="I115" s="269">
        <f>'EV Dep Sch Y1'!I115+'EV Dep Sch Y2'!I107+'EV Dep Sch Y3'!I95+'EV Dep Sch Y4'!I83+'EV Dep Sch Y5'!I71+'EV Dep Sch Y6'!I59+'EV Dep Sch Y7'!I47</f>
        <v>1130480.026941441</v>
      </c>
      <c r="J115" s="269">
        <f>'EV Dep Sch Y1'!J115+'EV Dep Sch Y2'!J107+'EV Dep Sch Y3'!J95+'EV Dep Sch Y4'!J83+'EV Dep Sch Y5'!J71+'EV Dep Sch Y6'!J59+'EV Dep Sch Y7'!J47</f>
        <v>38733.491753894574</v>
      </c>
      <c r="K115" s="269">
        <f>'EV Dep Sch Y1'!K115+'EV Dep Sch Y2'!K107+'EV Dep Sch Y3'!K95+'EV Dep Sch Y4'!K83+'EV Dep Sch Y5'!K71+'EV Dep Sch Y6'!K59+'EV Dep Sch Y7'!K47</f>
        <v>-8134.0332683178603</v>
      </c>
      <c r="L115" s="269">
        <f>'EV Dep Sch Y1'!L115+'EV Dep Sch Y2'!L107+'EV Dep Sch Y3'!L95+'EV Dep Sch Y4'!L83+'EV Dep Sch Y5'!L71+'EV Dep Sch Y6'!L59+'EV Dep Sch Y7'!L47</f>
        <v>-1398.3338875413201</v>
      </c>
      <c r="M115" s="270">
        <f t="shared" si="4"/>
        <v>1122345.9936731232</v>
      </c>
      <c r="N115" s="97"/>
      <c r="O115" s="271"/>
      <c r="P115" s="271"/>
      <c r="Q115" s="271"/>
      <c r="R115" s="271"/>
      <c r="S115" s="271"/>
      <c r="T115" s="271"/>
    </row>
    <row r="116" spans="1:20" s="230" customFormat="1" ht="15">
      <c r="A116" s="267">
        <f t="shared" si="5"/>
        <v>46538</v>
      </c>
      <c r="B116" s="269">
        <f>'EV Dep Sch Y1'!B116+'EV Dep Sch Y2'!B108+'EV Dep Sch Y3'!B96+'EV Dep Sch Y4'!B84+'EV Dep Sch Y5'!B72+'EV Dep Sch Y6'!B60+'EV Dep Sch Y7'!B48</f>
        <v>8708567.9148199037</v>
      </c>
      <c r="C116" s="269">
        <f>'EV Dep Sch Y1'!C116+'EV Dep Sch Y2'!C108+'EV Dep Sch Y3'!C96+'EV Dep Sch Y4'!C84+'EV Dep Sch Y5'!C72+'EV Dep Sch Y6'!C60+'EV Dep Sch Y7'!C48</f>
        <v>8708567.9148199037</v>
      </c>
      <c r="D116" s="269">
        <f>'EV Dep Sch Y1'!D116+'EV Dep Sch Y2'!D108+'EV Dep Sch Y3'!D96+'EV Dep Sch Y4'!D84+'EV Dep Sch Y5'!D72+'EV Dep Sch Y6'!D60+'EV Dep Sch Y7'!D48</f>
        <v>35021.095365849251</v>
      </c>
      <c r="E116" s="269">
        <f>'EV Dep Sch Y1'!E116+'EV Dep Sch Y2'!E108+'EV Dep Sch Y3'!E96+'EV Dep Sch Y4'!E84+'EV Dep Sch Y5'!E72+'EV Dep Sch Y6'!E60+'EV Dep Sch Y7'!E48</f>
        <v>41679.828163665079</v>
      </c>
      <c r="F116" s="269">
        <f>'EV Dep Sch Y1'!F116+'EV Dep Sch Y2'!F108+'EV Dep Sch Y3'!F96+'EV Dep Sch Y4'!F84+'EV Dep Sch Y5'!F72+'EV Dep Sch Y6'!F60+'EV Dep Sch Y7'!F48</f>
        <v>-7651842.4749982106</v>
      </c>
      <c r="G116" s="269">
        <f>'EV Dep Sch Y1'!G116+'EV Dep Sch Y2'!G108+'EV Dep Sch Y3'!G96+'EV Dep Sch Y4'!G84+'EV Dep Sch Y5'!G72+'EV Dep Sch Y6'!G60+'EV Dep Sch Y7'!G48</f>
        <v>-7619767.7160421284</v>
      </c>
      <c r="H116" s="269">
        <f>'EV Dep Sch Y1'!H116+'EV Dep Sch Y2'!H108+'EV Dep Sch Y3'!H96+'EV Dep Sch Y4'!H84+'EV Dep Sch Y5'!H72+'EV Dep Sch Y6'!H60+'EV Dep Sch Y7'!H48</f>
        <v>1056725.4398216968</v>
      </c>
      <c r="I116" s="269">
        <f>'EV Dep Sch Y1'!I116+'EV Dep Sch Y2'!I108+'EV Dep Sch Y3'!I96+'EV Dep Sch Y4'!I84+'EV Dep Sch Y5'!I72+'EV Dep Sch Y6'!I60+'EV Dep Sch Y7'!I48</f>
        <v>1088800.1987777757</v>
      </c>
      <c r="J116" s="269">
        <f>'EV Dep Sch Y1'!J116+'EV Dep Sch Y2'!J108+'EV Dep Sch Y3'!J96+'EV Dep Sch Y4'!J84+'EV Dep Sch Y5'!J72+'EV Dep Sch Y6'!J60+'EV Dep Sch Y7'!J48</f>
        <v>32074.758956078877</v>
      </c>
      <c r="K116" s="269">
        <f>'EV Dep Sch Y1'!K116+'EV Dep Sch Y2'!K108+'EV Dep Sch Y3'!K96+'EV Dep Sch Y4'!K84+'EV Dep Sch Y5'!K72+'EV Dep Sch Y6'!K60+'EV Dep Sch Y7'!K48</f>
        <v>-6735.6993807765612</v>
      </c>
      <c r="L116" s="269">
        <f>'EV Dep Sch Y1'!L116+'EV Dep Sch Y2'!L108+'EV Dep Sch Y3'!L96+'EV Dep Sch Y4'!L84+'EV Dep Sch Y5'!L72+'EV Dep Sch Y6'!L60+'EV Dep Sch Y7'!L48</f>
        <v>-1398.3338875412983</v>
      </c>
      <c r="M116" s="270">
        <f t="shared" si="4"/>
        <v>1082064.4993969991</v>
      </c>
      <c r="N116" s="97"/>
      <c r="O116" s="271"/>
      <c r="P116" s="271"/>
      <c r="Q116" s="271"/>
      <c r="R116" s="271"/>
      <c r="S116" s="271"/>
      <c r="T116" s="271"/>
    </row>
    <row r="117" spans="1:20" s="230" customFormat="1" ht="15">
      <c r="A117" s="267">
        <f t="shared" si="5"/>
        <v>46568</v>
      </c>
      <c r="B117" s="269">
        <f>'EV Dep Sch Y1'!B117+'EV Dep Sch Y2'!B109+'EV Dep Sch Y3'!B97+'EV Dep Sch Y4'!B85+'EV Dep Sch Y5'!B73+'EV Dep Sch Y6'!B61+'EV Dep Sch Y7'!B49</f>
        <v>8708567.9148199037</v>
      </c>
      <c r="C117" s="269">
        <f>'EV Dep Sch Y1'!C117+'EV Dep Sch Y2'!C109+'EV Dep Sch Y3'!C97+'EV Dep Sch Y4'!C85+'EV Dep Sch Y5'!C73+'EV Dep Sch Y6'!C61+'EV Dep Sch Y7'!C49</f>
        <v>8708567.9148199037</v>
      </c>
      <c r="D117" s="269">
        <f>'EV Dep Sch Y1'!D117+'EV Dep Sch Y2'!D109+'EV Dep Sch Y3'!D97+'EV Dep Sch Y4'!D85+'EV Dep Sch Y5'!D73+'EV Dep Sch Y6'!D61+'EV Dep Sch Y7'!D49</f>
        <v>35021.095365849251</v>
      </c>
      <c r="E117" s="269">
        <f>'EV Dep Sch Y1'!E117+'EV Dep Sch Y2'!E109+'EV Dep Sch Y3'!E97+'EV Dep Sch Y4'!E85+'EV Dep Sch Y5'!E73+'EV Dep Sch Y6'!E61+'EV Dep Sch Y7'!E49</f>
        <v>41104.925616464585</v>
      </c>
      <c r="F117" s="269">
        <f>'EV Dep Sch Y1'!F117+'EV Dep Sch Y2'!F109+'EV Dep Sch Y3'!F97+'EV Dep Sch Y4'!F85+'EV Dep Sch Y5'!F73+'EV Dep Sch Y6'!F61+'EV Dep Sch Y7'!F49</f>
        <v>-7686863.5703640617</v>
      </c>
      <c r="G117" s="269">
        <f>'EV Dep Sch Y1'!G117+'EV Dep Sch Y2'!G109+'EV Dep Sch Y3'!G97+'EV Dep Sch Y4'!G85+'EV Dep Sch Y5'!G73+'EV Dep Sch Y6'!G61+'EV Dep Sch Y7'!G49</f>
        <v>-7660872.641658592</v>
      </c>
      <c r="H117" s="269">
        <f>'EV Dep Sch Y1'!H117+'EV Dep Sch Y2'!H109+'EV Dep Sch Y3'!H97+'EV Dep Sch Y4'!H85+'EV Dep Sch Y5'!H73+'EV Dep Sch Y6'!H61+'EV Dep Sch Y7'!H49</f>
        <v>1021704.3444558477</v>
      </c>
      <c r="I117" s="269">
        <f>'EV Dep Sch Y1'!I117+'EV Dep Sch Y2'!I109+'EV Dep Sch Y3'!I97+'EV Dep Sch Y4'!I85+'EV Dep Sch Y5'!I73+'EV Dep Sch Y6'!I61+'EV Dep Sch Y7'!I49</f>
        <v>1047695.2731613114</v>
      </c>
      <c r="J117" s="269">
        <f>'EV Dep Sch Y1'!J117+'EV Dep Sch Y2'!J109+'EV Dep Sch Y3'!J97+'EV Dep Sch Y4'!J85+'EV Dep Sch Y5'!J73+'EV Dep Sch Y6'!J61+'EV Dep Sch Y7'!J49</f>
        <v>25990.928705463622</v>
      </c>
      <c r="K117" s="269">
        <f>'EV Dep Sch Y1'!K117+'EV Dep Sch Y2'!K109+'EV Dep Sch Y3'!K97+'EV Dep Sch Y4'!K85+'EV Dep Sch Y5'!K73+'EV Dep Sch Y6'!K61+'EV Dep Sch Y7'!K49</f>
        <v>-5458.0950281473561</v>
      </c>
      <c r="L117" s="269">
        <f>'EV Dep Sch Y1'!L117+'EV Dep Sch Y2'!L109+'EV Dep Sch Y3'!L97+'EV Dep Sch Y4'!L85+'EV Dep Sch Y5'!L73+'EV Dep Sch Y6'!L61+'EV Dep Sch Y7'!L49</f>
        <v>-1277.6043526292069</v>
      </c>
      <c r="M117" s="270">
        <f t="shared" si="4"/>
        <v>1042237.1781331641</v>
      </c>
      <c r="N117" s="97"/>
      <c r="O117" s="271"/>
      <c r="P117" s="271"/>
      <c r="Q117" s="271"/>
      <c r="R117" s="271"/>
      <c r="S117" s="271"/>
      <c r="T117" s="271"/>
    </row>
    <row r="118" spans="1:20" s="230" customFormat="1" ht="15">
      <c r="A118" s="267">
        <f t="shared" si="5"/>
        <v>46599</v>
      </c>
      <c r="B118" s="269">
        <f>'EV Dep Sch Y1'!B118+'EV Dep Sch Y2'!B110+'EV Dep Sch Y3'!B98+'EV Dep Sch Y4'!B86+'EV Dep Sch Y5'!B74+'EV Dep Sch Y6'!B62+'EV Dep Sch Y7'!B50</f>
        <v>8708567.9148199037</v>
      </c>
      <c r="C118" s="269">
        <f>'EV Dep Sch Y1'!C118+'EV Dep Sch Y2'!C110+'EV Dep Sch Y3'!C98+'EV Dep Sch Y4'!C86+'EV Dep Sch Y5'!C74+'EV Dep Sch Y6'!C62+'EV Dep Sch Y7'!C50</f>
        <v>8708567.9148199037</v>
      </c>
      <c r="D118" s="269">
        <f>'EV Dep Sch Y1'!D118+'EV Dep Sch Y2'!D110+'EV Dep Sch Y3'!D98+'EV Dep Sch Y4'!D86+'EV Dep Sch Y5'!D74+'EV Dep Sch Y6'!D62+'EV Dep Sch Y7'!D50</f>
        <v>35021.095365849251</v>
      </c>
      <c r="E118" s="269">
        <f>'EV Dep Sch Y1'!E118+'EV Dep Sch Y2'!E110+'EV Dep Sch Y3'!E98+'EV Dep Sch Y4'!E86+'EV Dep Sch Y5'!E74+'EV Dep Sch Y6'!E62+'EV Dep Sch Y7'!E50</f>
        <v>40530.02306926404</v>
      </c>
      <c r="F118" s="269">
        <f>'EV Dep Sch Y1'!F118+'EV Dep Sch Y2'!F110+'EV Dep Sch Y3'!F98+'EV Dep Sch Y4'!F86+'EV Dep Sch Y5'!F74+'EV Dep Sch Y6'!F62+'EV Dep Sch Y7'!F50</f>
        <v>-7721884.6657299101</v>
      </c>
      <c r="G118" s="269">
        <f>'EV Dep Sch Y1'!G118+'EV Dep Sch Y2'!G110+'EV Dep Sch Y3'!G98+'EV Dep Sch Y4'!G86+'EV Dep Sch Y5'!G74+'EV Dep Sch Y6'!G62+'EV Dep Sch Y7'!G50</f>
        <v>-7701402.6647278564</v>
      </c>
      <c r="H118" s="269">
        <f>'EV Dep Sch Y1'!H118+'EV Dep Sch Y2'!H110+'EV Dep Sch Y3'!H98+'EV Dep Sch Y4'!H86+'EV Dep Sch Y5'!H74+'EV Dep Sch Y6'!H62+'EV Dep Sch Y7'!H50</f>
        <v>986683.24908999843</v>
      </c>
      <c r="I118" s="269">
        <f>'EV Dep Sch Y1'!I118+'EV Dep Sch Y2'!I110+'EV Dep Sch Y3'!I98+'EV Dep Sch Y4'!I86+'EV Dep Sch Y5'!I74+'EV Dep Sch Y6'!I62+'EV Dep Sch Y7'!I50</f>
        <v>1007165.2500920473</v>
      </c>
      <c r="J118" s="269">
        <f>'EV Dep Sch Y1'!J118+'EV Dep Sch Y2'!J110+'EV Dep Sch Y3'!J98+'EV Dep Sch Y4'!J86+'EV Dep Sch Y5'!J74+'EV Dep Sch Y6'!J62+'EV Dep Sch Y7'!J50</f>
        <v>20482.001002048899</v>
      </c>
      <c r="K118" s="269">
        <f>'EV Dep Sch Y1'!K118+'EV Dep Sch Y2'!K110+'EV Dep Sch Y3'!K98+'EV Dep Sch Y4'!K86+'EV Dep Sch Y5'!K74+'EV Dep Sch Y6'!K62+'EV Dep Sch Y7'!K50</f>
        <v>-4301.2202104302669</v>
      </c>
      <c r="L118" s="269">
        <f>'EV Dep Sch Y1'!L118+'EV Dep Sch Y2'!L110+'EV Dep Sch Y3'!L98+'EV Dep Sch Y4'!L86+'EV Dep Sch Y5'!L74+'EV Dep Sch Y6'!L62+'EV Dep Sch Y7'!L50</f>
        <v>-1156.8748177170901</v>
      </c>
      <c r="M118" s="270">
        <f t="shared" si="4"/>
        <v>1002864.0298816171</v>
      </c>
      <c r="N118" s="97"/>
      <c r="O118" s="271"/>
      <c r="P118" s="271"/>
      <c r="Q118" s="271"/>
      <c r="R118" s="271"/>
      <c r="S118" s="271"/>
      <c r="T118" s="271"/>
    </row>
    <row r="119" spans="1:20" s="230" customFormat="1" ht="15">
      <c r="A119" s="267">
        <f t="shared" si="5"/>
        <v>46630</v>
      </c>
      <c r="B119" s="269">
        <f>'EV Dep Sch Y1'!B119+'EV Dep Sch Y2'!B111+'EV Dep Sch Y3'!B99+'EV Dep Sch Y4'!B87+'EV Dep Sch Y5'!B75+'EV Dep Sch Y6'!B63+'EV Dep Sch Y7'!B51</f>
        <v>8708567.9148199037</v>
      </c>
      <c r="C119" s="269">
        <f>'EV Dep Sch Y1'!C119+'EV Dep Sch Y2'!C111+'EV Dep Sch Y3'!C99+'EV Dep Sch Y4'!C87+'EV Dep Sch Y5'!C75+'EV Dep Sch Y6'!C63+'EV Dep Sch Y7'!C51</f>
        <v>8708567.9148199037</v>
      </c>
      <c r="D119" s="269">
        <f>'EV Dep Sch Y1'!D119+'EV Dep Sch Y2'!D111+'EV Dep Sch Y3'!D99+'EV Dep Sch Y4'!D87+'EV Dep Sch Y5'!D75+'EV Dep Sch Y6'!D63+'EV Dep Sch Y7'!D51</f>
        <v>35021.095365849251</v>
      </c>
      <c r="E119" s="269">
        <f>'EV Dep Sch Y1'!E119+'EV Dep Sch Y2'!E111+'EV Dep Sch Y3'!E99+'EV Dep Sch Y4'!E87+'EV Dep Sch Y5'!E75+'EV Dep Sch Y6'!E63+'EV Dep Sch Y7'!E51</f>
        <v>40530.02306926404</v>
      </c>
      <c r="F119" s="269">
        <f>'EV Dep Sch Y1'!F119+'EV Dep Sch Y2'!F111+'EV Dep Sch Y3'!F99+'EV Dep Sch Y4'!F87+'EV Dep Sch Y5'!F75+'EV Dep Sch Y6'!F63+'EV Dep Sch Y7'!F51</f>
        <v>-7756905.7610957595</v>
      </c>
      <c r="G119" s="269">
        <f>'EV Dep Sch Y1'!G119+'EV Dep Sch Y2'!G111+'EV Dep Sch Y3'!G99+'EV Dep Sch Y4'!G87+'EV Dep Sch Y5'!G75+'EV Dep Sch Y6'!G63+'EV Dep Sch Y7'!G51</f>
        <v>-7741932.6877971208</v>
      </c>
      <c r="H119" s="269">
        <f>'EV Dep Sch Y1'!H119+'EV Dep Sch Y2'!H111+'EV Dep Sch Y3'!H99+'EV Dep Sch Y4'!H87+'EV Dep Sch Y5'!H75+'EV Dep Sch Y6'!H63+'EV Dep Sch Y7'!H51</f>
        <v>951662.1537241491</v>
      </c>
      <c r="I119" s="269">
        <f>'EV Dep Sch Y1'!I119+'EV Dep Sch Y2'!I111+'EV Dep Sch Y3'!I99+'EV Dep Sch Y4'!I87+'EV Dep Sch Y5'!I75+'EV Dep Sch Y6'!I63+'EV Dep Sch Y7'!I51</f>
        <v>966635.22702278337</v>
      </c>
      <c r="J119" s="269">
        <f>'EV Dep Sch Y1'!J119+'EV Dep Sch Y2'!J111+'EV Dep Sch Y3'!J99+'EV Dep Sch Y4'!J87+'EV Dep Sch Y5'!J75+'EV Dep Sch Y6'!J63+'EV Dep Sch Y7'!J51</f>
        <v>14973.073298634175</v>
      </c>
      <c r="K119" s="269">
        <f>'EV Dep Sch Y1'!K119+'EV Dep Sch Y2'!K111+'EV Dep Sch Y3'!K99+'EV Dep Sch Y4'!K87+'EV Dep Sch Y5'!K75+'EV Dep Sch Y6'!K63+'EV Dep Sch Y7'!K51</f>
        <v>-3144.3453927131777</v>
      </c>
      <c r="L119" s="269">
        <f>'EV Dep Sch Y1'!L119+'EV Dep Sch Y2'!L111+'EV Dep Sch Y3'!L99+'EV Dep Sch Y4'!L87+'EV Dep Sch Y5'!L75+'EV Dep Sch Y6'!L63+'EV Dep Sch Y7'!L51</f>
        <v>-1156.8748177170896</v>
      </c>
      <c r="M119" s="270">
        <f t="shared" si="4"/>
        <v>963490.88163007016</v>
      </c>
      <c r="N119" s="97"/>
      <c r="O119" s="271"/>
      <c r="P119" s="271"/>
      <c r="Q119" s="271"/>
      <c r="R119" s="271"/>
      <c r="S119" s="271"/>
      <c r="T119" s="271"/>
    </row>
    <row r="120" spans="1:20" s="230" customFormat="1" ht="15">
      <c r="A120" s="267">
        <f t="shared" si="5"/>
        <v>46660</v>
      </c>
      <c r="B120" s="269">
        <f>'EV Dep Sch Y1'!B120+'EV Dep Sch Y2'!B112+'EV Dep Sch Y3'!B100+'EV Dep Sch Y4'!B88+'EV Dep Sch Y5'!B76+'EV Dep Sch Y6'!B64+'EV Dep Sch Y7'!B52</f>
        <v>8708567.9148199037</v>
      </c>
      <c r="C120" s="269">
        <f>'EV Dep Sch Y1'!C120+'EV Dep Sch Y2'!C112+'EV Dep Sch Y3'!C100+'EV Dep Sch Y4'!C88+'EV Dep Sch Y5'!C76+'EV Dep Sch Y6'!C64+'EV Dep Sch Y7'!C52</f>
        <v>8708567.9148199037</v>
      </c>
      <c r="D120" s="269">
        <f>'EV Dep Sch Y1'!D120+'EV Dep Sch Y2'!D112+'EV Dep Sch Y3'!D100+'EV Dep Sch Y4'!D88+'EV Dep Sch Y5'!D76+'EV Dep Sch Y6'!D64+'EV Dep Sch Y7'!D52</f>
        <v>27790.769504160373</v>
      </c>
      <c r="E120" s="269">
        <f>'EV Dep Sch Y1'!E120+'EV Dep Sch Y2'!E112+'EV Dep Sch Y3'!E100+'EV Dep Sch Y4'!E88+'EV Dep Sch Y5'!E76+'EV Dep Sch Y6'!E64+'EV Dep Sch Y7'!E52</f>
        <v>40530.02306926404</v>
      </c>
      <c r="F120" s="269">
        <f>'EV Dep Sch Y1'!F120+'EV Dep Sch Y2'!F112+'EV Dep Sch Y3'!F100+'EV Dep Sch Y4'!F88+'EV Dep Sch Y5'!F76+'EV Dep Sch Y6'!F64+'EV Dep Sch Y7'!F52</f>
        <v>-7784696.530599921</v>
      </c>
      <c r="G120" s="269">
        <f>'EV Dep Sch Y1'!G120+'EV Dep Sch Y2'!G112+'EV Dep Sch Y3'!G100+'EV Dep Sch Y4'!G88+'EV Dep Sch Y5'!G76+'EV Dep Sch Y6'!G64+'EV Dep Sch Y7'!G52</f>
        <v>-7782462.7108663833</v>
      </c>
      <c r="H120" s="269">
        <f>'EV Dep Sch Y1'!H120+'EV Dep Sch Y2'!H112+'EV Dep Sch Y3'!H100+'EV Dep Sch Y4'!H88+'EV Dep Sch Y5'!H76+'EV Dep Sch Y6'!H64+'EV Dep Sch Y7'!H52</f>
        <v>923871.38421998871</v>
      </c>
      <c r="I120" s="269">
        <f>'EV Dep Sch Y1'!I120+'EV Dep Sch Y2'!I112+'EV Dep Sch Y3'!I100+'EV Dep Sch Y4'!I88+'EV Dep Sch Y5'!I76+'EV Dep Sch Y6'!I64+'EV Dep Sch Y7'!I52</f>
        <v>926105.20395351923</v>
      </c>
      <c r="J120" s="269">
        <f>'EV Dep Sch Y1'!J120+'EV Dep Sch Y2'!J112+'EV Dep Sch Y3'!J100+'EV Dep Sch Y4'!J88+'EV Dep Sch Y5'!J76+'EV Dep Sch Y6'!J64+'EV Dep Sch Y7'!J52</f>
        <v>2233.8197335305595</v>
      </c>
      <c r="K120" s="269">
        <f>'EV Dep Sch Y1'!K120+'EV Dep Sch Y2'!K112+'EV Dep Sch Y3'!K100+'EV Dep Sch Y4'!K88+'EV Dep Sch Y5'!K76+'EV Dep Sch Y6'!K64+'EV Dep Sch Y7'!K52</f>
        <v>-469.10214404141516</v>
      </c>
      <c r="L120" s="269">
        <f>'EV Dep Sch Y1'!L120+'EV Dep Sch Y2'!L112+'EV Dep Sch Y3'!L100+'EV Dep Sch Y4'!L88+'EV Dep Sch Y5'!L76+'EV Dep Sch Y6'!L64+'EV Dep Sch Y7'!L52</f>
        <v>-2675.2432486717616</v>
      </c>
      <c r="M120" s="270">
        <f t="shared" si="4"/>
        <v>925636.10180947778</v>
      </c>
      <c r="N120" s="97"/>
      <c r="O120" s="271"/>
      <c r="P120" s="271"/>
      <c r="Q120" s="271"/>
      <c r="R120" s="271"/>
      <c r="S120" s="271"/>
      <c r="T120" s="271"/>
    </row>
    <row r="121" spans="1:20" s="230" customFormat="1" ht="15">
      <c r="A121" s="267">
        <f t="shared" si="5"/>
        <v>46691</v>
      </c>
      <c r="B121" s="269">
        <f>'EV Dep Sch Y1'!B121+'EV Dep Sch Y2'!B113+'EV Dep Sch Y3'!B101+'EV Dep Sch Y4'!B89+'EV Dep Sch Y5'!B77+'EV Dep Sch Y6'!B65+'EV Dep Sch Y7'!B53</f>
        <v>8708567.9148199037</v>
      </c>
      <c r="C121" s="269">
        <f>'EV Dep Sch Y1'!C121+'EV Dep Sch Y2'!C113+'EV Dep Sch Y3'!C101+'EV Dep Sch Y4'!C89+'EV Dep Sch Y5'!C77+'EV Dep Sch Y6'!C65+'EV Dep Sch Y7'!C53</f>
        <v>8708567.9148199037</v>
      </c>
      <c r="D121" s="269">
        <f>'EV Dep Sch Y1'!D121+'EV Dep Sch Y2'!D113+'EV Dep Sch Y3'!D101+'EV Dep Sch Y4'!D89+'EV Dep Sch Y5'!D77+'EV Dep Sch Y6'!D65+'EV Dep Sch Y7'!D53</f>
        <v>27790.769504160373</v>
      </c>
      <c r="E121" s="269">
        <f>'EV Dep Sch Y1'!E121+'EV Dep Sch Y2'!E113+'EV Dep Sch Y3'!E101+'EV Dep Sch Y4'!E89+'EV Dep Sch Y5'!E77+'EV Dep Sch Y6'!E65+'EV Dep Sch Y7'!E53</f>
        <v>40530.02306926404</v>
      </c>
      <c r="F121" s="269">
        <f>'EV Dep Sch Y1'!F121+'EV Dep Sch Y2'!F113+'EV Dep Sch Y3'!F101+'EV Dep Sch Y4'!F89+'EV Dep Sch Y5'!F77+'EV Dep Sch Y6'!F65+'EV Dep Sch Y7'!F53</f>
        <v>-7812487.3001040798</v>
      </c>
      <c r="G121" s="269">
        <f>'EV Dep Sch Y1'!G121+'EV Dep Sch Y2'!G113+'EV Dep Sch Y3'!G101+'EV Dep Sch Y4'!G89+'EV Dep Sch Y5'!G77+'EV Dep Sch Y6'!G65+'EV Dep Sch Y7'!G53</f>
        <v>-7822992.7339356486</v>
      </c>
      <c r="H121" s="269">
        <f>'EV Dep Sch Y1'!H121+'EV Dep Sch Y2'!H113+'EV Dep Sch Y3'!H101+'EV Dep Sch Y4'!H89+'EV Dep Sch Y5'!H77+'EV Dep Sch Y6'!H65+'EV Dep Sch Y7'!H53</f>
        <v>896080.61471582833</v>
      </c>
      <c r="I121" s="269">
        <f>'EV Dep Sch Y1'!I121+'EV Dep Sch Y2'!I113+'EV Dep Sch Y3'!I101+'EV Dep Sch Y4'!I89+'EV Dep Sch Y5'!I77+'EV Dep Sch Y6'!I65+'EV Dep Sch Y7'!I53</f>
        <v>885575.18088425533</v>
      </c>
      <c r="J121" s="269">
        <f>'EV Dep Sch Y1'!J121+'EV Dep Sch Y2'!J113+'EV Dep Sch Y3'!J101+'EV Dep Sch Y4'!J89+'EV Dep Sch Y5'!J77+'EV Dep Sch Y6'!J65+'EV Dep Sch Y7'!J53</f>
        <v>-10505.433831573057</v>
      </c>
      <c r="K121" s="269">
        <f>'EV Dep Sch Y1'!K121+'EV Dep Sch Y2'!K113+'EV Dep Sch Y3'!K101+'EV Dep Sch Y4'!K89+'EV Dep Sch Y5'!K77+'EV Dep Sch Y6'!K65+'EV Dep Sch Y7'!K53</f>
        <v>2206.1411046303438</v>
      </c>
      <c r="L121" s="269">
        <f>'EV Dep Sch Y1'!L121+'EV Dep Sch Y2'!L113+'EV Dep Sch Y3'!L101+'EV Dep Sch Y4'!L89+'EV Dep Sch Y5'!L77+'EV Dep Sch Y6'!L65+'EV Dep Sch Y7'!L53</f>
        <v>-2675.2432486717598</v>
      </c>
      <c r="M121" s="270">
        <f t="shared" si="4"/>
        <v>887781.32198888564</v>
      </c>
      <c r="N121" s="97"/>
      <c r="O121" s="271"/>
      <c r="P121" s="271"/>
      <c r="Q121" s="271"/>
      <c r="R121" s="271"/>
      <c r="S121" s="271"/>
      <c r="T121" s="271"/>
    </row>
    <row r="122" spans="1:20" s="230" customFormat="1" ht="15">
      <c r="A122" s="267">
        <f t="shared" si="5"/>
        <v>46721</v>
      </c>
      <c r="B122" s="269">
        <f>'EV Dep Sch Y1'!B122+'EV Dep Sch Y2'!B114+'EV Dep Sch Y3'!B102+'EV Dep Sch Y4'!B90+'EV Dep Sch Y5'!B78+'EV Dep Sch Y6'!B66+'EV Dep Sch Y7'!B54</f>
        <v>8708567.9148199037</v>
      </c>
      <c r="C122" s="269">
        <f>'EV Dep Sch Y1'!C122+'EV Dep Sch Y2'!C114+'EV Dep Sch Y3'!C102+'EV Dep Sch Y4'!C90+'EV Dep Sch Y5'!C78+'EV Dep Sch Y6'!C66+'EV Dep Sch Y7'!C54</f>
        <v>8708567.9148199037</v>
      </c>
      <c r="D122" s="269">
        <f>'EV Dep Sch Y1'!D122+'EV Dep Sch Y2'!D114+'EV Dep Sch Y3'!D102+'EV Dep Sch Y4'!D90+'EV Dep Sch Y5'!D78+'EV Dep Sch Y6'!D66+'EV Dep Sch Y7'!D54</f>
        <v>27790.769504160373</v>
      </c>
      <c r="E122" s="269">
        <f>'EV Dep Sch Y1'!E122+'EV Dep Sch Y2'!E114+'EV Dep Sch Y3'!E102+'EV Dep Sch Y4'!E90+'EV Dep Sch Y5'!E78+'EV Dep Sch Y6'!E66+'EV Dep Sch Y7'!E54</f>
        <v>40530.02306926404</v>
      </c>
      <c r="F122" s="269">
        <f>'EV Dep Sch Y1'!F122+'EV Dep Sch Y2'!F114+'EV Dep Sch Y3'!F102+'EV Dep Sch Y4'!F90+'EV Dep Sch Y5'!F78+'EV Dep Sch Y6'!F66+'EV Dep Sch Y7'!F54</f>
        <v>-7840278.0696082413</v>
      </c>
      <c r="G122" s="269">
        <f>'EV Dep Sch Y1'!G122+'EV Dep Sch Y2'!G114+'EV Dep Sch Y3'!G102+'EV Dep Sch Y4'!G90+'EV Dep Sch Y5'!G78+'EV Dep Sch Y6'!G66+'EV Dep Sch Y7'!G54</f>
        <v>-7863522.757004912</v>
      </c>
      <c r="H122" s="269">
        <f>'EV Dep Sch Y1'!H122+'EV Dep Sch Y2'!H114+'EV Dep Sch Y3'!H102+'EV Dep Sch Y4'!H90+'EV Dep Sch Y5'!H78+'EV Dep Sch Y6'!H66+'EV Dep Sch Y7'!H54</f>
        <v>868289.84521166794</v>
      </c>
      <c r="I122" s="269">
        <f>'EV Dep Sch Y1'!I122+'EV Dep Sch Y2'!I114+'EV Dep Sch Y3'!I102+'EV Dep Sch Y4'!I90+'EV Dep Sch Y5'!I78+'EV Dep Sch Y6'!I66+'EV Dep Sch Y7'!I54</f>
        <v>845045.15781499119</v>
      </c>
      <c r="J122" s="269">
        <f>'EV Dep Sch Y1'!J122+'EV Dep Sch Y2'!J114+'EV Dep Sch Y3'!J102+'EV Dep Sch Y4'!J90+'EV Dep Sch Y5'!J78+'EV Dep Sch Y6'!J66+'EV Dep Sch Y7'!J54</f>
        <v>-23244.687396676687</v>
      </c>
      <c r="K122" s="269">
        <f>'EV Dep Sch Y1'!K122+'EV Dep Sch Y2'!K114+'EV Dep Sch Y3'!K102+'EV Dep Sch Y4'!K90+'EV Dep Sch Y5'!K78+'EV Dep Sch Y6'!K66+'EV Dep Sch Y7'!K54</f>
        <v>4881.3843533021045</v>
      </c>
      <c r="L122" s="269">
        <f>'EV Dep Sch Y1'!L122+'EV Dep Sch Y2'!L114+'EV Dep Sch Y3'!L102+'EV Dep Sch Y4'!L90+'EV Dep Sch Y5'!L78+'EV Dep Sch Y6'!L66+'EV Dep Sch Y7'!L54</f>
        <v>-2675.2432486717603</v>
      </c>
      <c r="M122" s="270">
        <f t="shared" si="4"/>
        <v>849926.54216829326</v>
      </c>
      <c r="N122" s="97"/>
      <c r="O122" s="271"/>
      <c r="P122" s="271"/>
      <c r="Q122" s="271"/>
      <c r="R122" s="271"/>
      <c r="S122" s="271"/>
      <c r="T122" s="271"/>
    </row>
    <row r="123" spans="1:20" s="230" customFormat="1" ht="15">
      <c r="A123" s="267">
        <f t="shared" si="5"/>
        <v>46752</v>
      </c>
      <c r="B123" s="269">
        <f>'EV Dep Sch Y1'!B123+'EV Dep Sch Y2'!B115+'EV Dep Sch Y3'!B103+'EV Dep Sch Y4'!B91+'EV Dep Sch Y5'!B79+'EV Dep Sch Y6'!B67+'EV Dep Sch Y7'!B55</f>
        <v>8708567.9148199037</v>
      </c>
      <c r="C123" s="269">
        <f>'EV Dep Sch Y1'!C123+'EV Dep Sch Y2'!C115+'EV Dep Sch Y3'!C103+'EV Dep Sch Y4'!C91+'EV Dep Sch Y5'!C79+'EV Dep Sch Y6'!C67+'EV Dep Sch Y7'!C55</f>
        <v>8708567.9148199037</v>
      </c>
      <c r="D123" s="269">
        <f>'EV Dep Sch Y1'!D123+'EV Dep Sch Y2'!D115+'EV Dep Sch Y3'!D103+'EV Dep Sch Y4'!D91+'EV Dep Sch Y5'!D79+'EV Dep Sch Y6'!D67+'EV Dep Sch Y7'!D55</f>
        <v>27790.769504160373</v>
      </c>
      <c r="E123" s="269">
        <f>'EV Dep Sch Y1'!E123+'EV Dep Sch Y2'!E115+'EV Dep Sch Y3'!E103+'EV Dep Sch Y4'!E91+'EV Dep Sch Y5'!E79+'EV Dep Sch Y6'!E67+'EV Dep Sch Y7'!E55</f>
        <v>40530.02306926404</v>
      </c>
      <c r="F123" s="269">
        <f>'EV Dep Sch Y1'!F123+'EV Dep Sch Y2'!F115+'EV Dep Sch Y3'!F103+'EV Dep Sch Y4'!F91+'EV Dep Sch Y5'!F79+'EV Dep Sch Y6'!F67+'EV Dep Sch Y7'!F55</f>
        <v>-7868068.8391123991</v>
      </c>
      <c r="G123" s="269">
        <f>'EV Dep Sch Y1'!G123+'EV Dep Sch Y2'!G115+'EV Dep Sch Y3'!G103+'EV Dep Sch Y4'!G91+'EV Dep Sch Y5'!G79+'EV Dep Sch Y6'!G67+'EV Dep Sch Y7'!G55</f>
        <v>-7904052.7800741764</v>
      </c>
      <c r="H123" s="269">
        <f>'EV Dep Sch Y1'!H123+'EV Dep Sch Y2'!H115+'EV Dep Sch Y3'!H103+'EV Dep Sch Y4'!H91+'EV Dep Sch Y5'!H79+'EV Dep Sch Y6'!H67+'EV Dep Sch Y7'!H55</f>
        <v>840499.07570750755</v>
      </c>
      <c r="I123" s="269">
        <f>'EV Dep Sch Y1'!I123+'EV Dep Sch Y2'!I115+'EV Dep Sch Y3'!I103+'EV Dep Sch Y4'!I91+'EV Dep Sch Y5'!I79+'EV Dep Sch Y6'!I67+'EV Dep Sch Y7'!I55</f>
        <v>804515.13474572729</v>
      </c>
      <c r="J123" s="269">
        <f>'EV Dep Sch Y1'!J123+'EV Dep Sch Y2'!J115+'EV Dep Sch Y3'!J103+'EV Dep Sch Y4'!J91+'EV Dep Sch Y5'!J79+'EV Dep Sch Y6'!J67+'EV Dep Sch Y7'!J55</f>
        <v>-35983.940961780318</v>
      </c>
      <c r="K123" s="269">
        <f>'EV Dep Sch Y1'!K123+'EV Dep Sch Y2'!K115+'EV Dep Sch Y3'!K103+'EV Dep Sch Y4'!K91+'EV Dep Sch Y5'!K79+'EV Dep Sch Y6'!K67+'EV Dep Sch Y7'!K55</f>
        <v>7556.6276019738616</v>
      </c>
      <c r="L123" s="269">
        <f>'EV Dep Sch Y1'!L123+'EV Dep Sch Y2'!L115+'EV Dep Sch Y3'!L103+'EV Dep Sch Y4'!L91+'EV Dep Sch Y5'!L79+'EV Dep Sch Y6'!L67+'EV Dep Sch Y7'!L55</f>
        <v>-2675.2432486717616</v>
      </c>
      <c r="M123" s="270">
        <f t="shared" si="4"/>
        <v>812071.76234770112</v>
      </c>
      <c r="N123" s="97"/>
      <c r="O123" s="271"/>
      <c r="P123" s="271"/>
      <c r="Q123" s="271"/>
      <c r="R123" s="271"/>
      <c r="S123" s="271"/>
      <c r="T123" s="271"/>
    </row>
    <row r="124" spans="1:20" s="230" customFormat="1" ht="15">
      <c r="A124" s="267">
        <f t="shared" si="5"/>
        <v>46783</v>
      </c>
      <c r="B124" s="269">
        <f>'EV Dep Sch Y1'!B124+'EV Dep Sch Y2'!B116+'EV Dep Sch Y3'!B104+'EV Dep Sch Y4'!B92+'EV Dep Sch Y5'!B80+'EV Dep Sch Y6'!B68+'EV Dep Sch Y7'!B56</f>
        <v>8708567.9148199037</v>
      </c>
      <c r="C124" s="269">
        <f>'EV Dep Sch Y1'!C124+'EV Dep Sch Y2'!C116+'EV Dep Sch Y3'!C104+'EV Dep Sch Y4'!C92+'EV Dep Sch Y5'!C80+'EV Dep Sch Y6'!C68+'EV Dep Sch Y7'!C56</f>
        <v>8708567.9148199037</v>
      </c>
      <c r="D124" s="269">
        <f>'EV Dep Sch Y1'!D124+'EV Dep Sch Y2'!D116+'EV Dep Sch Y3'!D104+'EV Dep Sch Y4'!D92+'EV Dep Sch Y5'!D80+'EV Dep Sch Y6'!D68+'EV Dep Sch Y7'!D56</f>
        <v>27790.769504160373</v>
      </c>
      <c r="E124" s="269">
        <f>'EV Dep Sch Y1'!E124+'EV Dep Sch Y2'!E116+'EV Dep Sch Y3'!E104+'EV Dep Sch Y4'!E92+'EV Dep Sch Y5'!E80+'EV Dep Sch Y6'!E68+'EV Dep Sch Y7'!E56</f>
        <v>40530.02306926404</v>
      </c>
      <c r="F124" s="269">
        <f>'EV Dep Sch Y1'!F124+'EV Dep Sch Y2'!F116+'EV Dep Sch Y3'!F104+'EV Dep Sch Y4'!F92+'EV Dep Sch Y5'!F80+'EV Dep Sch Y6'!F68+'EV Dep Sch Y7'!F56</f>
        <v>-7895859.6086165607</v>
      </c>
      <c r="G124" s="269">
        <f>'EV Dep Sch Y1'!G124+'EV Dep Sch Y2'!G116+'EV Dep Sch Y3'!G104+'EV Dep Sch Y4'!G92+'EV Dep Sch Y5'!G80+'EV Dep Sch Y6'!G68+'EV Dep Sch Y7'!G56</f>
        <v>-7944582.8031434398</v>
      </c>
      <c r="H124" s="269">
        <f>'EV Dep Sch Y1'!H124+'EV Dep Sch Y2'!H116+'EV Dep Sch Y3'!H104+'EV Dep Sch Y4'!H92+'EV Dep Sch Y5'!H80+'EV Dep Sch Y6'!H68+'EV Dep Sch Y7'!H56</f>
        <v>812708.30620334717</v>
      </c>
      <c r="I124" s="269">
        <f>'EV Dep Sch Y1'!I124+'EV Dep Sch Y2'!I116+'EV Dep Sch Y3'!I104+'EV Dep Sch Y4'!I92+'EV Dep Sch Y5'!I80+'EV Dep Sch Y6'!I68+'EV Dep Sch Y7'!I56</f>
        <v>763985.11167646316</v>
      </c>
      <c r="J124" s="269">
        <f>'EV Dep Sch Y1'!J124+'EV Dep Sch Y2'!J116+'EV Dep Sch Y3'!J104+'EV Dep Sch Y4'!J92+'EV Dep Sch Y5'!J80+'EV Dep Sch Y6'!J68+'EV Dep Sch Y7'!J56</f>
        <v>-48723.194526883934</v>
      </c>
      <c r="K124" s="269">
        <f>'EV Dep Sch Y1'!K124+'EV Dep Sch Y2'!K116+'EV Dep Sch Y3'!K104+'EV Dep Sch Y4'!K92+'EV Dep Sch Y5'!K80+'EV Dep Sch Y6'!K68+'EV Dep Sch Y7'!K56</f>
        <v>10231.870850645622</v>
      </c>
      <c r="L124" s="269">
        <f>'EV Dep Sch Y1'!L124+'EV Dep Sch Y2'!L116+'EV Dep Sch Y3'!L104+'EV Dep Sch Y4'!L92+'EV Dep Sch Y5'!L80+'EV Dep Sch Y6'!L68+'EV Dep Sch Y7'!L56</f>
        <v>-2675.2432486717598</v>
      </c>
      <c r="M124" s="270">
        <f t="shared" si="4"/>
        <v>774216.98252710875</v>
      </c>
      <c r="N124" s="97"/>
      <c r="O124" s="271"/>
      <c r="P124" s="271"/>
      <c r="Q124" s="271"/>
      <c r="R124" s="271"/>
      <c r="S124" s="271"/>
      <c r="T124" s="271"/>
    </row>
    <row r="125" spans="1:20" s="230" customFormat="1" ht="15">
      <c r="A125" s="267">
        <f t="shared" si="5"/>
        <v>46812</v>
      </c>
      <c r="B125" s="269">
        <f>'EV Dep Sch Y1'!B125+'EV Dep Sch Y2'!B117+'EV Dep Sch Y3'!B105+'EV Dep Sch Y4'!B93+'EV Dep Sch Y5'!B81+'EV Dep Sch Y6'!B69+'EV Dep Sch Y7'!B57</f>
        <v>8708567.9148199037</v>
      </c>
      <c r="C125" s="269">
        <f>'EV Dep Sch Y1'!C125+'EV Dep Sch Y2'!C117+'EV Dep Sch Y3'!C105+'EV Dep Sch Y4'!C93+'EV Dep Sch Y5'!C81+'EV Dep Sch Y6'!C69+'EV Dep Sch Y7'!C57</f>
        <v>8708567.9148199037</v>
      </c>
      <c r="D125" s="269">
        <f>'EV Dep Sch Y1'!D125+'EV Dep Sch Y2'!D117+'EV Dep Sch Y3'!D105+'EV Dep Sch Y4'!D93+'EV Dep Sch Y5'!D81+'EV Dep Sch Y6'!D69+'EV Dep Sch Y7'!D57</f>
        <v>27790.769504160373</v>
      </c>
      <c r="E125" s="269">
        <f>'EV Dep Sch Y1'!E125+'EV Dep Sch Y2'!E117+'EV Dep Sch Y3'!E105+'EV Dep Sch Y4'!E93+'EV Dep Sch Y5'!E81+'EV Dep Sch Y6'!E69+'EV Dep Sch Y7'!E57</f>
        <v>40530.02306926404</v>
      </c>
      <c r="F125" s="269">
        <f>'EV Dep Sch Y1'!F125+'EV Dep Sch Y2'!F117+'EV Dep Sch Y3'!F105+'EV Dep Sch Y4'!F93+'EV Dep Sch Y5'!F81+'EV Dep Sch Y6'!F69+'EV Dep Sch Y7'!F57</f>
        <v>-7923650.3781207213</v>
      </c>
      <c r="G125" s="269">
        <f>'EV Dep Sch Y1'!G125+'EV Dep Sch Y2'!G117+'EV Dep Sch Y3'!G105+'EV Dep Sch Y4'!G93+'EV Dep Sch Y5'!G81+'EV Dep Sch Y6'!G69+'EV Dep Sch Y7'!G57</f>
        <v>-7985112.8262127051</v>
      </c>
      <c r="H125" s="269">
        <f>'EV Dep Sch Y1'!H125+'EV Dep Sch Y2'!H117+'EV Dep Sch Y3'!H105+'EV Dep Sch Y4'!H93+'EV Dep Sch Y5'!H81+'EV Dep Sch Y6'!H69+'EV Dep Sch Y7'!H57</f>
        <v>784917.53669918666</v>
      </c>
      <c r="I125" s="269">
        <f>'EV Dep Sch Y1'!I125+'EV Dep Sch Y2'!I117+'EV Dep Sch Y3'!I105+'EV Dep Sch Y4'!I93+'EV Dep Sch Y5'!I81+'EV Dep Sch Y6'!I69+'EV Dep Sch Y7'!I57</f>
        <v>723455.08860719926</v>
      </c>
      <c r="J125" s="269">
        <f>'EV Dep Sch Y1'!J125+'EV Dep Sch Y2'!J117+'EV Dep Sch Y3'!J105+'EV Dep Sch Y4'!J93+'EV Dep Sch Y5'!J81+'EV Dep Sch Y6'!J69+'EV Dep Sch Y7'!J57</f>
        <v>-61462.448091987491</v>
      </c>
      <c r="K125" s="269">
        <f>'EV Dep Sch Y1'!K125+'EV Dep Sch Y2'!K117+'EV Dep Sch Y3'!K105+'EV Dep Sch Y4'!K93+'EV Dep Sch Y5'!K81+'EV Dep Sch Y6'!K69+'EV Dep Sch Y7'!K57</f>
        <v>12907.11409931737</v>
      </c>
      <c r="L125" s="269">
        <f>'EV Dep Sch Y1'!L125+'EV Dep Sch Y2'!L117+'EV Dep Sch Y3'!L105+'EV Dep Sch Y4'!L93+'EV Dep Sch Y5'!L81+'EV Dep Sch Y6'!L69+'EV Dep Sch Y7'!L57</f>
        <v>-2675.243248671748</v>
      </c>
      <c r="M125" s="270">
        <f t="shared" si="4"/>
        <v>736362.2027065166</v>
      </c>
      <c r="N125" s="97"/>
      <c r="O125" s="271"/>
      <c r="P125" s="271"/>
      <c r="Q125" s="271"/>
      <c r="R125" s="271"/>
      <c r="S125" s="271"/>
      <c r="T125" s="271"/>
    </row>
    <row r="126" spans="1:20" s="230" customFormat="1" ht="15">
      <c r="A126" s="267">
        <f t="shared" si="5"/>
        <v>46843</v>
      </c>
      <c r="B126" s="269">
        <f>'EV Dep Sch Y1'!B126+'EV Dep Sch Y2'!B118+'EV Dep Sch Y3'!B106+'EV Dep Sch Y4'!B94+'EV Dep Sch Y5'!B82+'EV Dep Sch Y6'!B70+'EV Dep Sch Y7'!B58</f>
        <v>8708567.9148199037</v>
      </c>
      <c r="C126" s="269">
        <f>'EV Dep Sch Y1'!C126+'EV Dep Sch Y2'!C118+'EV Dep Sch Y3'!C106+'EV Dep Sch Y4'!C94+'EV Dep Sch Y5'!C82+'EV Dep Sch Y6'!C70+'EV Dep Sch Y7'!C58</f>
        <v>8708567.9148199037</v>
      </c>
      <c r="D126" s="269">
        <f>'EV Dep Sch Y1'!D126+'EV Dep Sch Y2'!D118+'EV Dep Sch Y3'!D106+'EV Dep Sch Y4'!D94+'EV Dep Sch Y5'!D82+'EV Dep Sch Y6'!D70+'EV Dep Sch Y7'!D58</f>
        <v>26186.561190210101</v>
      </c>
      <c r="E126" s="269">
        <f>'EV Dep Sch Y1'!E126+'EV Dep Sch Y2'!E118+'EV Dep Sch Y3'!E106+'EV Dep Sch Y4'!E94+'EV Dep Sch Y5'!E82+'EV Dep Sch Y6'!E70+'EV Dep Sch Y7'!E58</f>
        <v>40530.02306926404</v>
      </c>
      <c r="F126" s="269">
        <f>'EV Dep Sch Y1'!F126+'EV Dep Sch Y2'!F118+'EV Dep Sch Y3'!F106+'EV Dep Sch Y4'!F94+'EV Dep Sch Y5'!F82+'EV Dep Sch Y6'!F70+'EV Dep Sch Y7'!F58</f>
        <v>-7949836.9393109316</v>
      </c>
      <c r="G126" s="269">
        <f>'EV Dep Sch Y1'!G126+'EV Dep Sch Y2'!G118+'EV Dep Sch Y3'!G106+'EV Dep Sch Y4'!G94+'EV Dep Sch Y5'!G82+'EV Dep Sch Y6'!G70+'EV Dep Sch Y7'!G58</f>
        <v>-8025642.8492819685</v>
      </c>
      <c r="H126" s="269">
        <f>'EV Dep Sch Y1'!H126+'EV Dep Sch Y2'!H118+'EV Dep Sch Y3'!H106+'EV Dep Sch Y4'!H94+'EV Dep Sch Y5'!H82+'EV Dep Sch Y6'!H70+'EV Dep Sch Y7'!H58</f>
        <v>758730.97550897661</v>
      </c>
      <c r="I126" s="269">
        <f>'EV Dep Sch Y1'!I126+'EV Dep Sch Y2'!I118+'EV Dep Sch Y3'!I106+'EV Dep Sch Y4'!I94+'EV Dep Sch Y5'!I82+'EV Dep Sch Y6'!I70+'EV Dep Sch Y7'!I58</f>
        <v>682925.06553793512</v>
      </c>
      <c r="J126" s="269">
        <f>'EV Dep Sch Y1'!J126+'EV Dep Sch Y2'!J118+'EV Dep Sch Y3'!J106+'EV Dep Sch Y4'!J94+'EV Dep Sch Y5'!J82+'EV Dep Sch Y6'!J70+'EV Dep Sch Y7'!J58</f>
        <v>-75805.909971041459</v>
      </c>
      <c r="K126" s="269">
        <f>'EV Dep Sch Y1'!K126+'EV Dep Sch Y2'!K118+'EV Dep Sch Y3'!K106+'EV Dep Sch Y4'!K94+'EV Dep Sch Y5'!K82+'EV Dep Sch Y6'!K70+'EV Dep Sch Y7'!K58</f>
        <v>15919.241093918707</v>
      </c>
      <c r="L126" s="269">
        <f>'EV Dep Sch Y1'!L126+'EV Dep Sch Y2'!L118+'EV Dep Sch Y3'!L106+'EV Dep Sch Y4'!L94+'EV Dep Sch Y5'!L82+'EV Dep Sch Y6'!L70+'EV Dep Sch Y7'!L58</f>
        <v>-3012.1269946013317</v>
      </c>
      <c r="M126" s="270">
        <f t="shared" si="4"/>
        <v>698844.3066318538</v>
      </c>
      <c r="N126" s="97"/>
      <c r="O126" s="271"/>
      <c r="P126" s="271"/>
      <c r="Q126" s="271"/>
      <c r="R126" s="271"/>
      <c r="S126" s="271"/>
      <c r="T126" s="271"/>
    </row>
    <row r="127" spans="1:20" s="230" customFormat="1" ht="15">
      <c r="A127" s="267">
        <f t="shared" si="5"/>
        <v>46873</v>
      </c>
      <c r="B127" s="269">
        <f>'EV Dep Sch Y1'!B127+'EV Dep Sch Y2'!B119+'EV Dep Sch Y3'!B107+'EV Dep Sch Y4'!B95+'EV Dep Sch Y5'!B83+'EV Dep Sch Y6'!B71+'EV Dep Sch Y7'!B59</f>
        <v>8708567.9148199037</v>
      </c>
      <c r="C127" s="269">
        <f>'EV Dep Sch Y1'!C127+'EV Dep Sch Y2'!C119+'EV Dep Sch Y3'!C107+'EV Dep Sch Y4'!C95+'EV Dep Sch Y5'!C83+'EV Dep Sch Y6'!C71+'EV Dep Sch Y7'!C59</f>
        <v>8708567.9148199037</v>
      </c>
      <c r="D127" s="269">
        <f>'EV Dep Sch Y1'!D127+'EV Dep Sch Y2'!D119+'EV Dep Sch Y3'!D107+'EV Dep Sch Y4'!D95+'EV Dep Sch Y5'!D83+'EV Dep Sch Y6'!D71+'EV Dep Sch Y7'!D59</f>
        <v>21359.51639835308</v>
      </c>
      <c r="E127" s="269">
        <f>'EV Dep Sch Y1'!E127+'EV Dep Sch Y2'!E119+'EV Dep Sch Y3'!E107+'EV Dep Sch Y4'!E95+'EV Dep Sch Y5'!E83+'EV Dep Sch Y6'!E71+'EV Dep Sch Y7'!E59</f>
        <v>40530.02306926404</v>
      </c>
      <c r="F127" s="269">
        <f>'EV Dep Sch Y1'!F127+'EV Dep Sch Y2'!F119+'EV Dep Sch Y3'!F107+'EV Dep Sch Y4'!F95+'EV Dep Sch Y5'!F83+'EV Dep Sch Y6'!F71+'EV Dep Sch Y7'!F59</f>
        <v>-7971196.4557092842</v>
      </c>
      <c r="G127" s="269">
        <f>'EV Dep Sch Y1'!G127+'EV Dep Sch Y2'!G119+'EV Dep Sch Y3'!G107+'EV Dep Sch Y4'!G95+'EV Dep Sch Y5'!G83+'EV Dep Sch Y6'!G71+'EV Dep Sch Y7'!G59</f>
        <v>-8066172.872351232</v>
      </c>
      <c r="H127" s="269">
        <f>'EV Dep Sch Y1'!H127+'EV Dep Sch Y2'!H119+'EV Dep Sch Y3'!H107+'EV Dep Sch Y4'!H95+'EV Dep Sch Y5'!H83+'EV Dep Sch Y6'!H71+'EV Dep Sch Y7'!H59</f>
        <v>737371.45911062357</v>
      </c>
      <c r="I127" s="269">
        <f>'EV Dep Sch Y1'!I127+'EV Dep Sch Y2'!I119+'EV Dep Sch Y3'!I107+'EV Dep Sch Y4'!I95+'EV Dep Sch Y5'!I83+'EV Dep Sch Y6'!I71+'EV Dep Sch Y7'!I59</f>
        <v>642395.04246867122</v>
      </c>
      <c r="J127" s="269">
        <f>'EV Dep Sch Y1'!J127+'EV Dep Sch Y2'!J119+'EV Dep Sch Y3'!J107+'EV Dep Sch Y4'!J95+'EV Dep Sch Y5'!J83+'EV Dep Sch Y6'!J71+'EV Dep Sch Y7'!J59</f>
        <v>-94976.416641952441</v>
      </c>
      <c r="K127" s="269">
        <f>'EV Dep Sch Y1'!K127+'EV Dep Sch Y2'!K119+'EV Dep Sch Y3'!K107+'EV Dep Sch Y4'!K95+'EV Dep Sch Y5'!K83+'EV Dep Sch Y6'!K71+'EV Dep Sch Y7'!K59</f>
        <v>19945.047494810009</v>
      </c>
      <c r="L127" s="269">
        <f>'EV Dep Sch Y1'!L127+'EV Dep Sch Y2'!L119+'EV Dep Sch Y3'!L107+'EV Dep Sch Y4'!L95+'EV Dep Sch Y5'!L83+'EV Dep Sch Y6'!L71+'EV Dep Sch Y7'!L59</f>
        <v>-4025.8064008913052</v>
      </c>
      <c r="M127" s="270">
        <f t="shared" si="4"/>
        <v>662340.08996348118</v>
      </c>
      <c r="N127" s="97"/>
      <c r="O127" s="271"/>
      <c r="P127" s="271"/>
      <c r="Q127" s="271"/>
      <c r="R127" s="271"/>
      <c r="S127" s="271"/>
      <c r="T127" s="271"/>
    </row>
    <row r="128" spans="1:20" s="230" customFormat="1" ht="15">
      <c r="A128" s="267">
        <f t="shared" si="5"/>
        <v>46904</v>
      </c>
      <c r="B128" s="269">
        <f>'EV Dep Sch Y1'!B128+'EV Dep Sch Y2'!B120+'EV Dep Sch Y3'!B108+'EV Dep Sch Y4'!B96+'EV Dep Sch Y5'!B84+'EV Dep Sch Y6'!B72+'EV Dep Sch Y7'!B60</f>
        <v>8708567.9148199037</v>
      </c>
      <c r="C128" s="269">
        <f>'EV Dep Sch Y1'!C128+'EV Dep Sch Y2'!C120+'EV Dep Sch Y3'!C108+'EV Dep Sch Y4'!C96+'EV Dep Sch Y5'!C84+'EV Dep Sch Y6'!C72+'EV Dep Sch Y7'!C60</f>
        <v>8708567.9148199037</v>
      </c>
      <c r="D128" s="269">
        <f>'EV Dep Sch Y1'!D128+'EV Dep Sch Y2'!D120+'EV Dep Sch Y3'!D108+'EV Dep Sch Y4'!D96+'EV Dep Sch Y5'!D84+'EV Dep Sch Y6'!D72+'EV Dep Sch Y7'!D60</f>
        <v>21359.51639835308</v>
      </c>
      <c r="E128" s="269">
        <f>'EV Dep Sch Y1'!E128+'EV Dep Sch Y2'!E120+'EV Dep Sch Y3'!E108+'EV Dep Sch Y4'!E96+'EV Dep Sch Y5'!E84+'EV Dep Sch Y6'!E72+'EV Dep Sch Y7'!E60</f>
        <v>40530.02306926404</v>
      </c>
      <c r="F128" s="269">
        <f>'EV Dep Sch Y1'!F128+'EV Dep Sch Y2'!F120+'EV Dep Sch Y3'!F108+'EV Dep Sch Y4'!F96+'EV Dep Sch Y5'!F84+'EV Dep Sch Y6'!F72+'EV Dep Sch Y7'!F60</f>
        <v>-7992555.9721076386</v>
      </c>
      <c r="G128" s="269">
        <f>'EV Dep Sch Y1'!G128+'EV Dep Sch Y2'!G120+'EV Dep Sch Y3'!G108+'EV Dep Sch Y4'!G96+'EV Dep Sch Y5'!G84+'EV Dep Sch Y6'!G72+'EV Dep Sch Y7'!G60</f>
        <v>-8106702.8954204973</v>
      </c>
      <c r="H128" s="269">
        <f>'EV Dep Sch Y1'!H128+'EV Dep Sch Y2'!H120+'EV Dep Sch Y3'!H108+'EV Dep Sch Y4'!H96+'EV Dep Sch Y5'!H84+'EV Dep Sch Y6'!H72+'EV Dep Sch Y7'!H60</f>
        <v>716011.94271227054</v>
      </c>
      <c r="I128" s="269">
        <f>'EV Dep Sch Y1'!I128+'EV Dep Sch Y2'!I120+'EV Dep Sch Y3'!I108+'EV Dep Sch Y4'!I96+'EV Dep Sch Y5'!I84+'EV Dep Sch Y6'!I72+'EV Dep Sch Y7'!I60</f>
        <v>601865.01939940709</v>
      </c>
      <c r="J128" s="269">
        <f>'EV Dep Sch Y1'!J128+'EV Dep Sch Y2'!J120+'EV Dep Sch Y3'!J108+'EV Dep Sch Y4'!J96+'EV Dep Sch Y5'!J84+'EV Dep Sch Y6'!J72+'EV Dep Sch Y7'!J60</f>
        <v>-114146.92331286339</v>
      </c>
      <c r="K128" s="269">
        <f>'EV Dep Sch Y1'!K128+'EV Dep Sch Y2'!K120+'EV Dep Sch Y3'!K108+'EV Dep Sch Y4'!K96+'EV Dep Sch Y5'!K84+'EV Dep Sch Y6'!K72+'EV Dep Sch Y7'!K60</f>
        <v>23970.853895701315</v>
      </c>
      <c r="L128" s="269">
        <f>'EV Dep Sch Y1'!L128+'EV Dep Sch Y2'!L120+'EV Dep Sch Y3'!L108+'EV Dep Sch Y4'!L96+'EV Dep Sch Y5'!L84+'EV Dep Sch Y6'!L72+'EV Dep Sch Y7'!L60</f>
        <v>-4025.8064008913029</v>
      </c>
      <c r="M128" s="270">
        <f t="shared" si="4"/>
        <v>625835.87329510844</v>
      </c>
      <c r="N128" s="97"/>
      <c r="O128" s="271"/>
      <c r="P128" s="271"/>
      <c r="Q128" s="271"/>
      <c r="R128" s="271"/>
      <c r="S128" s="271"/>
      <c r="T128" s="271"/>
    </row>
    <row r="129" spans="1:20" s="230" customFormat="1" ht="15">
      <c r="A129" s="267">
        <f t="shared" si="5"/>
        <v>46934</v>
      </c>
      <c r="B129" s="269">
        <f>'EV Dep Sch Y1'!B129+'EV Dep Sch Y2'!B121+'EV Dep Sch Y3'!B109+'EV Dep Sch Y4'!B97+'EV Dep Sch Y5'!B85+'EV Dep Sch Y6'!B73+'EV Dep Sch Y7'!B61</f>
        <v>8708567.9148199037</v>
      </c>
      <c r="C129" s="269">
        <f>'EV Dep Sch Y1'!C129+'EV Dep Sch Y2'!C121+'EV Dep Sch Y3'!C109+'EV Dep Sch Y4'!C97+'EV Dep Sch Y5'!C85+'EV Dep Sch Y6'!C73+'EV Dep Sch Y7'!C61</f>
        <v>8708567.9148199037</v>
      </c>
      <c r="D129" s="269">
        <f>'EV Dep Sch Y1'!D129+'EV Dep Sch Y2'!D121+'EV Dep Sch Y3'!D109+'EV Dep Sch Y4'!D97+'EV Dep Sch Y5'!D85+'EV Dep Sch Y6'!D73+'EV Dep Sch Y7'!D61</f>
        <v>21359.51639835308</v>
      </c>
      <c r="E129" s="269">
        <f>'EV Dep Sch Y1'!E129+'EV Dep Sch Y2'!E121+'EV Dep Sch Y3'!E109+'EV Dep Sch Y4'!E97+'EV Dep Sch Y5'!E85+'EV Dep Sch Y6'!E73+'EV Dep Sch Y7'!E61</f>
        <v>37187.322180760122</v>
      </c>
      <c r="F129" s="269">
        <f>'EV Dep Sch Y1'!F129+'EV Dep Sch Y2'!F121+'EV Dep Sch Y3'!F109+'EV Dep Sch Y4'!F97+'EV Dep Sch Y5'!F85+'EV Dep Sch Y6'!F73+'EV Dep Sch Y7'!F61</f>
        <v>-8013915.4885059912</v>
      </c>
      <c r="G129" s="269">
        <f>'EV Dep Sch Y1'!G129+'EV Dep Sch Y2'!G121+'EV Dep Sch Y3'!G109+'EV Dep Sch Y4'!G97+'EV Dep Sch Y5'!G85+'EV Dep Sch Y6'!G73+'EV Dep Sch Y7'!G61</f>
        <v>-8143890.2176012564</v>
      </c>
      <c r="H129" s="269">
        <f>'EV Dep Sch Y1'!H129+'EV Dep Sch Y2'!H121+'EV Dep Sch Y3'!H109+'EV Dep Sch Y4'!H97+'EV Dep Sch Y5'!H85+'EV Dep Sch Y6'!H73+'EV Dep Sch Y7'!H61</f>
        <v>694652.4263139175</v>
      </c>
      <c r="I129" s="269">
        <f>'EV Dep Sch Y1'!I129+'EV Dep Sch Y2'!I121+'EV Dep Sch Y3'!I109+'EV Dep Sch Y4'!I97+'EV Dep Sch Y5'!I85+'EV Dep Sch Y6'!I73+'EV Dep Sch Y7'!I61</f>
        <v>564677.69721864699</v>
      </c>
      <c r="J129" s="269">
        <f>'EV Dep Sch Y1'!J129+'EV Dep Sch Y2'!J121+'EV Dep Sch Y3'!J109+'EV Dep Sch Y4'!J97+'EV Dep Sch Y5'!J85+'EV Dep Sch Y6'!J73+'EV Dep Sch Y7'!J61</f>
        <v>-129974.72909527051</v>
      </c>
      <c r="K129" s="269">
        <f>'EV Dep Sch Y1'!K129+'EV Dep Sch Y2'!K121+'EV Dep Sch Y3'!K109+'EV Dep Sch Y4'!K97+'EV Dep Sch Y5'!K85+'EV Dep Sch Y6'!K73+'EV Dep Sch Y7'!K61</f>
        <v>27294.69311000681</v>
      </c>
      <c r="L129" s="269">
        <f>'EV Dep Sch Y1'!L129+'EV Dep Sch Y2'!L121+'EV Dep Sch Y3'!L109+'EV Dep Sch Y4'!L97+'EV Dep Sch Y5'!L85+'EV Dep Sch Y6'!L73+'EV Dep Sch Y7'!L61</f>
        <v>-3323.839214305493</v>
      </c>
      <c r="M129" s="270">
        <f t="shared" si="4"/>
        <v>591972.39032865386</v>
      </c>
      <c r="N129" s="97"/>
      <c r="O129" s="271"/>
      <c r="P129" s="271"/>
      <c r="Q129" s="271"/>
      <c r="R129" s="271"/>
      <c r="S129" s="271"/>
      <c r="T129" s="271"/>
    </row>
    <row r="130" spans="1:20" s="230" customFormat="1" ht="15">
      <c r="A130" s="267">
        <f t="shared" si="5"/>
        <v>46965</v>
      </c>
      <c r="B130" s="269">
        <f>'EV Dep Sch Y1'!B130+'EV Dep Sch Y2'!B122+'EV Dep Sch Y3'!B110+'EV Dep Sch Y4'!B98+'EV Dep Sch Y5'!B86+'EV Dep Sch Y6'!B74+'EV Dep Sch Y7'!B62</f>
        <v>8708567.9148199037</v>
      </c>
      <c r="C130" s="269">
        <f>'EV Dep Sch Y1'!C130+'EV Dep Sch Y2'!C122+'EV Dep Sch Y3'!C110+'EV Dep Sch Y4'!C98+'EV Dep Sch Y5'!C86+'EV Dep Sch Y6'!C74+'EV Dep Sch Y7'!C62</f>
        <v>8708567.9148199037</v>
      </c>
      <c r="D130" s="269">
        <f>'EV Dep Sch Y1'!D130+'EV Dep Sch Y2'!D122+'EV Dep Sch Y3'!D110+'EV Dep Sch Y4'!D98+'EV Dep Sch Y5'!D86+'EV Dep Sch Y6'!D74+'EV Dep Sch Y7'!D62</f>
        <v>21359.51639835308</v>
      </c>
      <c r="E130" s="269">
        <f>'EV Dep Sch Y1'!E130+'EV Dep Sch Y2'!E122+'EV Dep Sch Y3'!E110+'EV Dep Sch Y4'!E98+'EV Dep Sch Y5'!E86+'EV Dep Sch Y6'!E74+'EV Dep Sch Y7'!E62</f>
        <v>33844.621292256954</v>
      </c>
      <c r="F130" s="269">
        <f>'EV Dep Sch Y1'!F130+'EV Dep Sch Y2'!F122+'EV Dep Sch Y3'!F110+'EV Dep Sch Y4'!F98+'EV Dep Sch Y5'!F86+'EV Dep Sch Y6'!F74+'EV Dep Sch Y7'!F62</f>
        <v>-8035275.0049043437</v>
      </c>
      <c r="G130" s="269">
        <f>'EV Dep Sch Y1'!G130+'EV Dep Sch Y2'!G122+'EV Dep Sch Y3'!G110+'EV Dep Sch Y4'!G98+'EV Dep Sch Y5'!G86+'EV Dep Sch Y6'!G74+'EV Dep Sch Y7'!G62</f>
        <v>-8177734.8388935141</v>
      </c>
      <c r="H130" s="269">
        <f>'EV Dep Sch Y1'!H130+'EV Dep Sch Y2'!H122+'EV Dep Sch Y3'!H110+'EV Dep Sch Y4'!H98+'EV Dep Sch Y5'!H86+'EV Dep Sch Y6'!H74+'EV Dep Sch Y7'!H62</f>
        <v>673292.90991556447</v>
      </c>
      <c r="I130" s="269">
        <f>'EV Dep Sch Y1'!I130+'EV Dep Sch Y2'!I122+'EV Dep Sch Y3'!I110+'EV Dep Sch Y4'!I98+'EV Dep Sch Y5'!I86+'EV Dep Sch Y6'!I74+'EV Dep Sch Y7'!I62</f>
        <v>530833.07592639001</v>
      </c>
      <c r="J130" s="269">
        <f>'EV Dep Sch Y1'!J130+'EV Dep Sch Y2'!J122+'EV Dep Sch Y3'!J110+'EV Dep Sch Y4'!J98+'EV Dep Sch Y5'!J86+'EV Dep Sch Y6'!J74+'EV Dep Sch Y7'!J62</f>
        <v>-142459.83398917445</v>
      </c>
      <c r="K130" s="269">
        <f>'EV Dep Sch Y1'!K130+'EV Dep Sch Y2'!K122+'EV Dep Sch Y3'!K110+'EV Dep Sch Y4'!K98+'EV Dep Sch Y5'!K86+'EV Dep Sch Y6'!K74+'EV Dep Sch Y7'!K62</f>
        <v>29916.56513772664</v>
      </c>
      <c r="L130" s="269">
        <f>'EV Dep Sch Y1'!L130+'EV Dep Sch Y2'!L122+'EV Dep Sch Y3'!L110+'EV Dep Sch Y4'!L98+'EV Dep Sch Y5'!L86+'EV Dep Sch Y6'!L74+'EV Dep Sch Y7'!L62</f>
        <v>-2621.8720277198304</v>
      </c>
      <c r="M130" s="270">
        <f t="shared" si="4"/>
        <v>560749.64106411661</v>
      </c>
      <c r="N130" s="97"/>
      <c r="O130" s="271"/>
      <c r="P130" s="271"/>
      <c r="Q130" s="271"/>
      <c r="R130" s="271"/>
      <c r="S130" s="271"/>
      <c r="T130" s="271"/>
    </row>
    <row r="131" spans="1:20" s="230" customFormat="1" ht="15">
      <c r="A131" s="267">
        <f t="shared" si="5"/>
        <v>46996</v>
      </c>
      <c r="B131" s="269">
        <f>'EV Dep Sch Y1'!B131+'EV Dep Sch Y2'!B123+'EV Dep Sch Y3'!B111+'EV Dep Sch Y4'!B99+'EV Dep Sch Y5'!B87+'EV Dep Sch Y6'!B75+'EV Dep Sch Y7'!B63</f>
        <v>8708567.9148199037</v>
      </c>
      <c r="C131" s="269">
        <f>'EV Dep Sch Y1'!C131+'EV Dep Sch Y2'!C123+'EV Dep Sch Y3'!C111+'EV Dep Sch Y4'!C99+'EV Dep Sch Y5'!C87+'EV Dep Sch Y6'!C75+'EV Dep Sch Y7'!C63</f>
        <v>8708567.9148199037</v>
      </c>
      <c r="D131" s="269">
        <f>'EV Dep Sch Y1'!D131+'EV Dep Sch Y2'!D123+'EV Dep Sch Y3'!D111+'EV Dep Sch Y4'!D99+'EV Dep Sch Y5'!D87+'EV Dep Sch Y6'!D75+'EV Dep Sch Y7'!D63</f>
        <v>21359.51639835308</v>
      </c>
      <c r="E131" s="269">
        <f>'EV Dep Sch Y1'!E131+'EV Dep Sch Y2'!E123+'EV Dep Sch Y3'!E111+'EV Dep Sch Y4'!E99+'EV Dep Sch Y5'!E87+'EV Dep Sch Y6'!E75+'EV Dep Sch Y7'!E63</f>
        <v>33844.621292256954</v>
      </c>
      <c r="F131" s="269">
        <f>'EV Dep Sch Y1'!F131+'EV Dep Sch Y2'!F123+'EV Dep Sch Y3'!F111+'EV Dep Sch Y4'!F99+'EV Dep Sch Y5'!F87+'EV Dep Sch Y6'!F75+'EV Dep Sch Y7'!F63</f>
        <v>-8056634.5213026963</v>
      </c>
      <c r="G131" s="269">
        <f>'EV Dep Sch Y1'!G131+'EV Dep Sch Y2'!G123+'EV Dep Sch Y3'!G111+'EV Dep Sch Y4'!G99+'EV Dep Sch Y5'!G87+'EV Dep Sch Y6'!G75+'EV Dep Sch Y7'!G63</f>
        <v>-8211579.4601857699</v>
      </c>
      <c r="H131" s="269">
        <f>'EV Dep Sch Y1'!H131+'EV Dep Sch Y2'!H123+'EV Dep Sch Y3'!H111+'EV Dep Sch Y4'!H99+'EV Dep Sch Y5'!H87+'EV Dep Sch Y6'!H75+'EV Dep Sch Y7'!H63</f>
        <v>651933.39351721143</v>
      </c>
      <c r="I131" s="269">
        <f>'EV Dep Sch Y1'!I131+'EV Dep Sch Y2'!I123+'EV Dep Sch Y3'!I111+'EV Dep Sch Y4'!I99+'EV Dep Sch Y5'!I87+'EV Dep Sch Y6'!I75+'EV Dep Sch Y7'!I63</f>
        <v>496988.45463413303</v>
      </c>
      <c r="J131" s="269">
        <f>'EV Dep Sch Y1'!J131+'EV Dep Sch Y2'!J123+'EV Dep Sch Y3'!J111+'EV Dep Sch Y4'!J99+'EV Dep Sch Y5'!J87+'EV Dep Sch Y6'!J75+'EV Dep Sch Y7'!J63</f>
        <v>-154944.9388830784</v>
      </c>
      <c r="K131" s="269">
        <f>'EV Dep Sch Y1'!K131+'EV Dep Sch Y2'!K123+'EV Dep Sch Y3'!K111+'EV Dep Sch Y4'!K99+'EV Dep Sch Y5'!K87+'EV Dep Sch Y6'!K75+'EV Dep Sch Y7'!K63</f>
        <v>32538.437165446463</v>
      </c>
      <c r="L131" s="269">
        <f>'EV Dep Sch Y1'!L131+'EV Dep Sch Y2'!L123+'EV Dep Sch Y3'!L111+'EV Dep Sch Y4'!L99+'EV Dep Sch Y5'!L87+'EV Dep Sch Y6'!L75+'EV Dep Sch Y7'!L63</f>
        <v>-2621.8720277198258</v>
      </c>
      <c r="M131" s="270">
        <f t="shared" si="4"/>
        <v>529526.89179957949</v>
      </c>
      <c r="N131" s="97"/>
      <c r="O131" s="271"/>
      <c r="P131" s="271"/>
      <c r="Q131" s="271"/>
      <c r="R131" s="271"/>
      <c r="S131" s="271"/>
      <c r="T131" s="271"/>
    </row>
    <row r="132" spans="1:20" s="230" customFormat="1" ht="15">
      <c r="A132" s="267">
        <f t="shared" si="5"/>
        <v>47026</v>
      </c>
      <c r="B132" s="269">
        <f>'EV Dep Sch Y1'!B132+'EV Dep Sch Y2'!B124+'EV Dep Sch Y3'!B112+'EV Dep Sch Y4'!B100+'EV Dep Sch Y5'!B88+'EV Dep Sch Y6'!B76+'EV Dep Sch Y7'!B64</f>
        <v>8708567.9148199037</v>
      </c>
      <c r="C132" s="269">
        <f>'EV Dep Sch Y1'!C132+'EV Dep Sch Y2'!C124+'EV Dep Sch Y3'!C112+'EV Dep Sch Y4'!C100+'EV Dep Sch Y5'!C88+'EV Dep Sch Y6'!C76+'EV Dep Sch Y7'!C64</f>
        <v>8708567.9148199037</v>
      </c>
      <c r="D132" s="269">
        <f>'EV Dep Sch Y1'!D132+'EV Dep Sch Y2'!D124+'EV Dep Sch Y3'!D112+'EV Dep Sch Y4'!D100+'EV Dep Sch Y5'!D88+'EV Dep Sch Y6'!D76+'EV Dep Sch Y7'!D64</f>
        <v>18493.542179705975</v>
      </c>
      <c r="E132" s="269">
        <f>'EV Dep Sch Y1'!E132+'EV Dep Sch Y2'!E124+'EV Dep Sch Y3'!E112+'EV Dep Sch Y4'!E100+'EV Dep Sch Y5'!E88+'EV Dep Sch Y6'!E76+'EV Dep Sch Y7'!E64</f>
        <v>33844.621292256954</v>
      </c>
      <c r="F132" s="269">
        <f>'EV Dep Sch Y1'!F132+'EV Dep Sch Y2'!F124+'EV Dep Sch Y3'!F112+'EV Dep Sch Y4'!F100+'EV Dep Sch Y5'!F88+'EV Dep Sch Y6'!F76+'EV Dep Sch Y7'!F64</f>
        <v>-8075128.0634824028</v>
      </c>
      <c r="G132" s="269">
        <f>'EV Dep Sch Y1'!G132+'EV Dep Sch Y2'!G124+'EV Dep Sch Y3'!G112+'EV Dep Sch Y4'!G100+'EV Dep Sch Y5'!G88+'EV Dep Sch Y6'!G76+'EV Dep Sch Y7'!G64</f>
        <v>-8245424.0814780276</v>
      </c>
      <c r="H132" s="269">
        <f>'EV Dep Sch Y1'!H132+'EV Dep Sch Y2'!H124+'EV Dep Sch Y3'!H112+'EV Dep Sch Y4'!H100+'EV Dep Sch Y5'!H88+'EV Dep Sch Y6'!H76+'EV Dep Sch Y7'!H64</f>
        <v>633439.85133750539</v>
      </c>
      <c r="I132" s="269">
        <f>'EV Dep Sch Y1'!I132+'EV Dep Sch Y2'!I124+'EV Dep Sch Y3'!I112+'EV Dep Sch Y4'!I100+'EV Dep Sch Y5'!I88+'EV Dep Sch Y6'!I76+'EV Dep Sch Y7'!I64</f>
        <v>463143.83334187604</v>
      </c>
      <c r="J132" s="269">
        <f>'EV Dep Sch Y1'!J132+'EV Dep Sch Y2'!J124+'EV Dep Sch Y3'!J112+'EV Dep Sch Y4'!J100+'EV Dep Sch Y5'!J88+'EV Dep Sch Y6'!J76+'EV Dep Sch Y7'!J64</f>
        <v>-170296.01799562937</v>
      </c>
      <c r="K132" s="269">
        <f>'EV Dep Sch Y1'!K132+'EV Dep Sch Y2'!K124+'EV Dep Sch Y3'!K112+'EV Dep Sch Y4'!K100+'EV Dep Sch Y5'!K88+'EV Dep Sch Y6'!K76+'EV Dep Sch Y7'!K64</f>
        <v>35762.16377908217</v>
      </c>
      <c r="L132" s="269">
        <f>'EV Dep Sch Y1'!L132+'EV Dep Sch Y2'!L124+'EV Dep Sch Y3'!L112+'EV Dep Sch Y4'!L100+'EV Dep Sch Y5'!L88+'EV Dep Sch Y6'!L76+'EV Dep Sch Y7'!L64</f>
        <v>-3223.7266136357048</v>
      </c>
      <c r="M132" s="270">
        <f t="shared" si="4"/>
        <v>498905.99712095823</v>
      </c>
      <c r="N132" s="97"/>
      <c r="O132" s="271"/>
      <c r="P132" s="271"/>
      <c r="Q132" s="271"/>
      <c r="R132" s="271"/>
      <c r="S132" s="271"/>
      <c r="T132" s="271"/>
    </row>
    <row r="133" spans="1:20" s="230" customFormat="1" ht="15">
      <c r="A133" s="267">
        <f t="shared" si="5"/>
        <v>47057</v>
      </c>
      <c r="B133" s="269">
        <f>'EV Dep Sch Y1'!B133+'EV Dep Sch Y2'!B125+'EV Dep Sch Y3'!B113+'EV Dep Sch Y4'!B101+'EV Dep Sch Y5'!B89+'EV Dep Sch Y6'!B77+'EV Dep Sch Y7'!B65</f>
        <v>8708567.9148199037</v>
      </c>
      <c r="C133" s="269">
        <f>'EV Dep Sch Y1'!C133+'EV Dep Sch Y2'!C125+'EV Dep Sch Y3'!C113+'EV Dep Sch Y4'!C101+'EV Dep Sch Y5'!C89+'EV Dep Sch Y6'!C77+'EV Dep Sch Y7'!C65</f>
        <v>8708567.9148199037</v>
      </c>
      <c r="D133" s="269">
        <f>'EV Dep Sch Y1'!D133+'EV Dep Sch Y2'!D125+'EV Dep Sch Y3'!D113+'EV Dep Sch Y4'!D101+'EV Dep Sch Y5'!D89+'EV Dep Sch Y6'!D77+'EV Dep Sch Y7'!D65</f>
        <v>18493.542179705975</v>
      </c>
      <c r="E133" s="269">
        <f>'EV Dep Sch Y1'!E133+'EV Dep Sch Y2'!E125+'EV Dep Sch Y3'!E113+'EV Dep Sch Y4'!E101+'EV Dep Sch Y5'!E89+'EV Dep Sch Y6'!E77+'EV Dep Sch Y7'!E65</f>
        <v>33844.621292256954</v>
      </c>
      <c r="F133" s="269">
        <f>'EV Dep Sch Y1'!F133+'EV Dep Sch Y2'!F125+'EV Dep Sch Y3'!F113+'EV Dep Sch Y4'!F101+'EV Dep Sch Y5'!F89+'EV Dep Sch Y6'!F77+'EV Dep Sch Y7'!F65</f>
        <v>-8093621.6056621084</v>
      </c>
      <c r="G133" s="269">
        <f>'EV Dep Sch Y1'!G133+'EV Dep Sch Y2'!G125+'EV Dep Sch Y3'!G113+'EV Dep Sch Y4'!G101+'EV Dep Sch Y5'!G89+'EV Dep Sch Y6'!G77+'EV Dep Sch Y7'!G65</f>
        <v>-8279268.7027702853</v>
      </c>
      <c r="H133" s="269">
        <f>'EV Dep Sch Y1'!H133+'EV Dep Sch Y2'!H125+'EV Dep Sch Y3'!H113+'EV Dep Sch Y4'!H101+'EV Dep Sch Y5'!H89+'EV Dep Sch Y6'!H77+'EV Dep Sch Y7'!H65</f>
        <v>614946.30915779946</v>
      </c>
      <c r="I133" s="269">
        <f>'EV Dep Sch Y1'!I133+'EV Dep Sch Y2'!I125+'EV Dep Sch Y3'!I113+'EV Dep Sch Y4'!I101+'EV Dep Sch Y5'!I89+'EV Dep Sch Y6'!I77+'EV Dep Sch Y7'!I65</f>
        <v>429299.21204961906</v>
      </c>
      <c r="J133" s="269">
        <f>'EV Dep Sch Y1'!J133+'EV Dep Sch Y2'!J125+'EV Dep Sch Y3'!J113+'EV Dep Sch Y4'!J101+'EV Dep Sch Y5'!J89+'EV Dep Sch Y6'!J77+'EV Dep Sch Y7'!J65</f>
        <v>-185647.09710818034</v>
      </c>
      <c r="K133" s="269">
        <f>'EV Dep Sch Y1'!K133+'EV Dep Sch Y2'!K125+'EV Dep Sch Y3'!K113+'EV Dep Sch Y4'!K101+'EV Dep Sch Y5'!K89+'EV Dep Sch Y6'!K77+'EV Dep Sch Y7'!K65</f>
        <v>38985.890392717869</v>
      </c>
      <c r="L133" s="269">
        <f>'EV Dep Sch Y1'!L133+'EV Dep Sch Y2'!L125+'EV Dep Sch Y3'!L113+'EV Dep Sch Y4'!L101+'EV Dep Sch Y5'!L89+'EV Dep Sch Y6'!L77+'EV Dep Sch Y7'!L65</f>
        <v>-3223.7266136357048</v>
      </c>
      <c r="M133" s="270">
        <f t="shared" si="4"/>
        <v>468285.10244233691</v>
      </c>
      <c r="N133" s="97"/>
      <c r="O133" s="271"/>
      <c r="P133" s="271"/>
      <c r="Q133" s="271"/>
      <c r="R133" s="271"/>
      <c r="S133" s="271"/>
      <c r="T133" s="271"/>
    </row>
    <row r="134" spans="1:20" s="230" customFormat="1" ht="15">
      <c r="A134" s="267">
        <f t="shared" si="5"/>
        <v>47087</v>
      </c>
      <c r="B134" s="269">
        <f>'EV Dep Sch Y1'!B134+'EV Dep Sch Y2'!B126+'EV Dep Sch Y3'!B114+'EV Dep Sch Y4'!B102+'EV Dep Sch Y5'!B90+'EV Dep Sch Y6'!B78+'EV Dep Sch Y7'!B66</f>
        <v>8708567.9148199037</v>
      </c>
      <c r="C134" s="269">
        <f>'EV Dep Sch Y1'!C134+'EV Dep Sch Y2'!C126+'EV Dep Sch Y3'!C114+'EV Dep Sch Y4'!C102+'EV Dep Sch Y5'!C90+'EV Dep Sch Y6'!C78+'EV Dep Sch Y7'!C66</f>
        <v>8708567.9148199037</v>
      </c>
      <c r="D134" s="269">
        <f>'EV Dep Sch Y1'!D134+'EV Dep Sch Y2'!D126+'EV Dep Sch Y3'!D114+'EV Dep Sch Y4'!D102+'EV Dep Sch Y5'!D90+'EV Dep Sch Y6'!D78+'EV Dep Sch Y7'!D66</f>
        <v>18493.542179705975</v>
      </c>
      <c r="E134" s="269">
        <f>'EV Dep Sch Y1'!E134+'EV Dep Sch Y2'!E126+'EV Dep Sch Y3'!E114+'EV Dep Sch Y4'!E102+'EV Dep Sch Y5'!E90+'EV Dep Sch Y6'!E78+'EV Dep Sch Y7'!E66</f>
        <v>33844.621292256954</v>
      </c>
      <c r="F134" s="269">
        <f>'EV Dep Sch Y1'!F134+'EV Dep Sch Y2'!F126+'EV Dep Sch Y3'!F114+'EV Dep Sch Y4'!F102+'EV Dep Sch Y5'!F90+'EV Dep Sch Y6'!F78+'EV Dep Sch Y7'!F66</f>
        <v>-8112115.1478418149</v>
      </c>
      <c r="G134" s="269">
        <f>'EV Dep Sch Y1'!G134+'EV Dep Sch Y2'!G126+'EV Dep Sch Y3'!G114+'EV Dep Sch Y4'!G102+'EV Dep Sch Y5'!G90+'EV Dep Sch Y6'!G78+'EV Dep Sch Y7'!G66</f>
        <v>-8313113.3240625411</v>
      </c>
      <c r="H134" s="269">
        <f>'EV Dep Sch Y1'!H134+'EV Dep Sch Y2'!H126+'EV Dep Sch Y3'!H114+'EV Dep Sch Y4'!H102+'EV Dep Sch Y5'!H90+'EV Dep Sch Y6'!H78+'EV Dep Sch Y7'!H66</f>
        <v>596452.76697809342</v>
      </c>
      <c r="I134" s="269">
        <f>'EV Dep Sch Y1'!I134+'EV Dep Sch Y2'!I126+'EV Dep Sch Y3'!I114+'EV Dep Sch Y4'!I102+'EV Dep Sch Y5'!I90+'EV Dep Sch Y6'!I78+'EV Dep Sch Y7'!I66</f>
        <v>395454.59075736208</v>
      </c>
      <c r="J134" s="269">
        <f>'EV Dep Sch Y1'!J134+'EV Dep Sch Y2'!J126+'EV Dep Sch Y3'!J114+'EV Dep Sch Y4'!J102+'EV Dep Sch Y5'!J90+'EV Dep Sch Y6'!J78+'EV Dep Sch Y7'!J66</f>
        <v>-200998.17622073134</v>
      </c>
      <c r="K134" s="269">
        <f>'EV Dep Sch Y1'!K134+'EV Dep Sch Y2'!K126+'EV Dep Sch Y3'!K114+'EV Dep Sch Y4'!K102+'EV Dep Sch Y5'!K90+'EV Dep Sch Y6'!K78+'EV Dep Sch Y7'!K66</f>
        <v>42209.617006353576</v>
      </c>
      <c r="L134" s="269">
        <f>'EV Dep Sch Y1'!L134+'EV Dep Sch Y2'!L126+'EV Dep Sch Y3'!L114+'EV Dep Sch Y4'!L102+'EV Dep Sch Y5'!L90+'EV Dep Sch Y6'!L78+'EV Dep Sch Y7'!L66</f>
        <v>-3223.7266136357066</v>
      </c>
      <c r="M134" s="270">
        <f t="shared" si="4"/>
        <v>437664.20776371565</v>
      </c>
      <c r="N134" s="97"/>
      <c r="O134" s="271"/>
      <c r="P134" s="271"/>
      <c r="Q134" s="271"/>
      <c r="R134" s="271"/>
      <c r="S134" s="271"/>
      <c r="T134" s="271"/>
    </row>
    <row r="135" spans="1:20" s="230" customFormat="1" ht="15">
      <c r="A135" s="267">
        <f t="shared" si="5"/>
        <v>47118</v>
      </c>
      <c r="B135" s="269">
        <f>'EV Dep Sch Y1'!B135+'EV Dep Sch Y2'!B127+'EV Dep Sch Y3'!B115+'EV Dep Sch Y4'!B103+'EV Dep Sch Y5'!B91+'EV Dep Sch Y6'!B79+'EV Dep Sch Y7'!B67</f>
        <v>8708567.9148199037</v>
      </c>
      <c r="C135" s="269">
        <f>'EV Dep Sch Y1'!C135+'EV Dep Sch Y2'!C127+'EV Dep Sch Y3'!C115+'EV Dep Sch Y4'!C103+'EV Dep Sch Y5'!C91+'EV Dep Sch Y6'!C79+'EV Dep Sch Y7'!C67</f>
        <v>8708567.9148199037</v>
      </c>
      <c r="D135" s="269">
        <f>'EV Dep Sch Y1'!D135+'EV Dep Sch Y2'!D127+'EV Dep Sch Y3'!D115+'EV Dep Sch Y4'!D103+'EV Dep Sch Y5'!D91+'EV Dep Sch Y6'!D79+'EV Dep Sch Y7'!D67</f>
        <v>18493.542179705975</v>
      </c>
      <c r="E135" s="269">
        <f>'EV Dep Sch Y1'!E135+'EV Dep Sch Y2'!E127+'EV Dep Sch Y3'!E115+'EV Dep Sch Y4'!E103+'EV Dep Sch Y5'!E91+'EV Dep Sch Y6'!E79+'EV Dep Sch Y7'!E67</f>
        <v>33844.621292256954</v>
      </c>
      <c r="F135" s="269">
        <f>'EV Dep Sch Y1'!F135+'EV Dep Sch Y2'!F127+'EV Dep Sch Y3'!F115+'EV Dep Sch Y4'!F103+'EV Dep Sch Y5'!F91+'EV Dep Sch Y6'!F79+'EV Dep Sch Y7'!F67</f>
        <v>-8130608.6900215205</v>
      </c>
      <c r="G135" s="269">
        <f>'EV Dep Sch Y1'!G135+'EV Dep Sch Y2'!G127+'EV Dep Sch Y3'!G115+'EV Dep Sch Y4'!G103+'EV Dep Sch Y5'!G91+'EV Dep Sch Y6'!G79+'EV Dep Sch Y7'!G67</f>
        <v>-8346957.9453547988</v>
      </c>
      <c r="H135" s="269">
        <f>'EV Dep Sch Y1'!H135+'EV Dep Sch Y2'!H127+'EV Dep Sch Y3'!H115+'EV Dep Sch Y4'!H103+'EV Dep Sch Y5'!H91+'EV Dep Sch Y6'!H79+'EV Dep Sch Y7'!H67</f>
        <v>577959.22479838738</v>
      </c>
      <c r="I135" s="269">
        <f>'EV Dep Sch Y1'!I135+'EV Dep Sch Y2'!I127+'EV Dep Sch Y3'!I115+'EV Dep Sch Y4'!I103+'EV Dep Sch Y5'!I91+'EV Dep Sch Y6'!I79+'EV Dep Sch Y7'!I67</f>
        <v>361609.9694651051</v>
      </c>
      <c r="J135" s="269">
        <f>'EV Dep Sch Y1'!J135+'EV Dep Sch Y2'!J127+'EV Dep Sch Y3'!J115+'EV Dep Sch Y4'!J103+'EV Dep Sch Y5'!J91+'EV Dep Sch Y6'!J79+'EV Dep Sch Y7'!J67</f>
        <v>-216349.25533328232</v>
      </c>
      <c r="K135" s="269">
        <f>'EV Dep Sch Y1'!K135+'EV Dep Sch Y2'!K127+'EV Dep Sch Y3'!K115+'EV Dep Sch Y4'!K103+'EV Dep Sch Y5'!K91+'EV Dep Sch Y6'!K79+'EV Dep Sch Y7'!K67</f>
        <v>45433.343619989289</v>
      </c>
      <c r="L135" s="269">
        <f>'EV Dep Sch Y1'!L135+'EV Dep Sch Y2'!L127+'EV Dep Sch Y3'!L115+'EV Dep Sch Y4'!L103+'EV Dep Sch Y5'!L91+'EV Dep Sch Y6'!L79+'EV Dep Sch Y7'!L67</f>
        <v>-3223.7266136357048</v>
      </c>
      <c r="M135" s="270">
        <f t="shared" si="4"/>
        <v>407043.31308509439</v>
      </c>
      <c r="N135" s="97"/>
      <c r="O135" s="271"/>
      <c r="P135" s="271"/>
      <c r="Q135" s="271"/>
      <c r="R135" s="271"/>
      <c r="S135" s="271"/>
      <c r="T135" s="271"/>
    </row>
    <row r="136" spans="1:20" s="230" customFormat="1" ht="15">
      <c r="A136" s="267">
        <f t="shared" si="5"/>
        <v>47149</v>
      </c>
      <c r="B136" s="269">
        <f>'EV Dep Sch Y1'!B136+'EV Dep Sch Y2'!B128+'EV Dep Sch Y3'!B116+'EV Dep Sch Y4'!B104+'EV Dep Sch Y5'!B92+'EV Dep Sch Y6'!B80+'EV Dep Sch Y7'!B68</f>
        <v>8708567.9148199037</v>
      </c>
      <c r="C136" s="269">
        <f>'EV Dep Sch Y1'!C136+'EV Dep Sch Y2'!C128+'EV Dep Sch Y3'!C116+'EV Dep Sch Y4'!C104+'EV Dep Sch Y5'!C92+'EV Dep Sch Y6'!C80+'EV Dep Sch Y7'!C68</f>
        <v>8708567.9148199037</v>
      </c>
      <c r="D136" s="269">
        <f>'EV Dep Sch Y1'!D136+'EV Dep Sch Y2'!D128+'EV Dep Sch Y3'!D116+'EV Dep Sch Y4'!D104+'EV Dep Sch Y5'!D92+'EV Dep Sch Y6'!D80+'EV Dep Sch Y7'!D68</f>
        <v>18493.542179705975</v>
      </c>
      <c r="E136" s="269">
        <f>'EV Dep Sch Y1'!E136+'EV Dep Sch Y2'!E128+'EV Dep Sch Y3'!E116+'EV Dep Sch Y4'!E104+'EV Dep Sch Y5'!E92+'EV Dep Sch Y6'!E80+'EV Dep Sch Y7'!E68</f>
        <v>33844.621292256954</v>
      </c>
      <c r="F136" s="269">
        <f>'EV Dep Sch Y1'!F136+'EV Dep Sch Y2'!F128+'EV Dep Sch Y3'!F116+'EV Dep Sch Y4'!F104+'EV Dep Sch Y5'!F92+'EV Dep Sch Y6'!F80+'EV Dep Sch Y7'!F68</f>
        <v>-8149102.232201227</v>
      </c>
      <c r="G136" s="269">
        <f>'EV Dep Sch Y1'!G136+'EV Dep Sch Y2'!G128+'EV Dep Sch Y3'!G116+'EV Dep Sch Y4'!G104+'EV Dep Sch Y5'!G92+'EV Dep Sch Y6'!G80+'EV Dep Sch Y7'!G68</f>
        <v>-8380802.5666470556</v>
      </c>
      <c r="H136" s="269">
        <f>'EV Dep Sch Y1'!H136+'EV Dep Sch Y2'!H128+'EV Dep Sch Y3'!H116+'EV Dep Sch Y4'!H104+'EV Dep Sch Y5'!H92+'EV Dep Sch Y6'!H80+'EV Dep Sch Y7'!H68</f>
        <v>559465.68261868134</v>
      </c>
      <c r="I136" s="269">
        <f>'EV Dep Sch Y1'!I136+'EV Dep Sch Y2'!I128+'EV Dep Sch Y3'!I116+'EV Dep Sch Y4'!I104+'EV Dep Sch Y5'!I92+'EV Dep Sch Y6'!I80+'EV Dep Sch Y7'!I68</f>
        <v>327765.34817284811</v>
      </c>
      <c r="J136" s="269">
        <f>'EV Dep Sch Y1'!J136+'EV Dep Sch Y2'!J128+'EV Dep Sch Y3'!J116+'EV Dep Sch Y4'!J104+'EV Dep Sch Y5'!J92+'EV Dep Sch Y6'!J80+'EV Dep Sch Y7'!J68</f>
        <v>-231700.33444583329</v>
      </c>
      <c r="K136" s="269">
        <f>'EV Dep Sch Y1'!K136+'EV Dep Sch Y2'!K128+'EV Dep Sch Y3'!K116+'EV Dep Sch Y4'!K104+'EV Dep Sch Y5'!K92+'EV Dep Sch Y6'!K80+'EV Dep Sch Y7'!K68</f>
        <v>48657.070233624981</v>
      </c>
      <c r="L136" s="269">
        <f>'EV Dep Sch Y1'!L136+'EV Dep Sch Y2'!L128+'EV Dep Sch Y3'!L116+'EV Dep Sch Y4'!L104+'EV Dep Sch Y5'!L92+'EV Dep Sch Y6'!L80+'EV Dep Sch Y7'!L68</f>
        <v>-3223.7266136357011</v>
      </c>
      <c r="M136" s="270">
        <f t="shared" si="4"/>
        <v>376422.41840647312</v>
      </c>
      <c r="N136" s="97"/>
      <c r="O136" s="271"/>
      <c r="P136" s="271"/>
      <c r="Q136" s="271"/>
      <c r="R136" s="271"/>
      <c r="S136" s="271"/>
      <c r="T136" s="271"/>
    </row>
    <row r="137" spans="1:20" s="230" customFormat="1" ht="15">
      <c r="A137" s="267">
        <f t="shared" si="5"/>
        <v>47177</v>
      </c>
      <c r="B137" s="269">
        <f>'EV Dep Sch Y1'!B137+'EV Dep Sch Y2'!B129+'EV Dep Sch Y3'!B117+'EV Dep Sch Y4'!B105+'EV Dep Sch Y5'!B93+'EV Dep Sch Y6'!B81+'EV Dep Sch Y7'!B69</f>
        <v>8708567.9148199037</v>
      </c>
      <c r="C137" s="269">
        <f>'EV Dep Sch Y1'!C137+'EV Dep Sch Y2'!C129+'EV Dep Sch Y3'!C117+'EV Dep Sch Y4'!C105+'EV Dep Sch Y5'!C93+'EV Dep Sch Y6'!C81+'EV Dep Sch Y7'!C69</f>
        <v>8708567.9148199037</v>
      </c>
      <c r="D137" s="269">
        <f>'EV Dep Sch Y1'!D137+'EV Dep Sch Y2'!D129+'EV Dep Sch Y3'!D117+'EV Dep Sch Y4'!D105+'EV Dep Sch Y5'!D93+'EV Dep Sch Y6'!D81+'EV Dep Sch Y7'!D69</f>
        <v>18493.542179705975</v>
      </c>
      <c r="E137" s="269">
        <f>'EV Dep Sch Y1'!E137+'EV Dep Sch Y2'!E129+'EV Dep Sch Y3'!E117+'EV Dep Sch Y4'!E105+'EV Dep Sch Y5'!E93+'EV Dep Sch Y6'!E81+'EV Dep Sch Y7'!E69</f>
        <v>33844.621292256954</v>
      </c>
      <c r="F137" s="269">
        <f>'EV Dep Sch Y1'!F137+'EV Dep Sch Y2'!F129+'EV Dep Sch Y3'!F117+'EV Dep Sch Y4'!F105+'EV Dep Sch Y5'!F93+'EV Dep Sch Y6'!F81+'EV Dep Sch Y7'!F69</f>
        <v>-8167595.7743809326</v>
      </c>
      <c r="G137" s="269">
        <f>'EV Dep Sch Y1'!G137+'EV Dep Sch Y2'!G129+'EV Dep Sch Y3'!G117+'EV Dep Sch Y4'!G105+'EV Dep Sch Y5'!G93+'EV Dep Sch Y6'!G81+'EV Dep Sch Y7'!G69</f>
        <v>-8414647.1879393123</v>
      </c>
      <c r="H137" s="269">
        <f>'EV Dep Sch Y1'!H137+'EV Dep Sch Y2'!H129+'EV Dep Sch Y3'!H117+'EV Dep Sch Y4'!H105+'EV Dep Sch Y5'!H93+'EV Dep Sch Y6'!H81+'EV Dep Sch Y7'!H69</f>
        <v>540972.14043897542</v>
      </c>
      <c r="I137" s="269">
        <f>'EV Dep Sch Y1'!I137+'EV Dep Sch Y2'!I129+'EV Dep Sch Y3'!I117+'EV Dep Sch Y4'!I105+'EV Dep Sch Y5'!I93+'EV Dep Sch Y6'!I81+'EV Dep Sch Y7'!I69</f>
        <v>293920.72688059101</v>
      </c>
      <c r="J137" s="269">
        <f>'EV Dep Sch Y1'!J137+'EV Dep Sch Y2'!J129+'EV Dep Sch Y3'!J117+'EV Dep Sch Y4'!J105+'EV Dep Sch Y5'!J93+'EV Dep Sch Y6'!J81+'EV Dep Sch Y7'!J69</f>
        <v>-247051.41355838437</v>
      </c>
      <c r="K137" s="269">
        <f>'EV Dep Sch Y1'!K137+'EV Dep Sch Y2'!K129+'EV Dep Sch Y3'!K117+'EV Dep Sch Y4'!K105+'EV Dep Sch Y5'!K93+'EV Dep Sch Y6'!K81+'EV Dep Sch Y7'!K69</f>
        <v>51880.796847260717</v>
      </c>
      <c r="L137" s="269">
        <f>'EV Dep Sch Y1'!L137+'EV Dep Sch Y2'!L129+'EV Dep Sch Y3'!L117+'EV Dep Sch Y4'!L105+'EV Dep Sch Y5'!L93+'EV Dep Sch Y6'!L81+'EV Dep Sch Y7'!L69</f>
        <v>-3223.7266136357289</v>
      </c>
      <c r="M137" s="270">
        <f t="shared" si="4"/>
        <v>345801.52372785175</v>
      </c>
      <c r="N137" s="97"/>
      <c r="O137" s="271"/>
      <c r="P137" s="271"/>
      <c r="Q137" s="271"/>
      <c r="R137" s="271"/>
      <c r="S137" s="271"/>
      <c r="T137" s="271"/>
    </row>
    <row r="138" spans="1:20" s="230" customFormat="1" ht="15">
      <c r="A138" s="267">
        <f t="shared" si="5"/>
        <v>47208</v>
      </c>
      <c r="B138" s="269">
        <f>'EV Dep Sch Y1'!B138+'EV Dep Sch Y2'!B130+'EV Dep Sch Y3'!B118+'EV Dep Sch Y4'!B106+'EV Dep Sch Y5'!B94+'EV Dep Sch Y6'!B82+'EV Dep Sch Y7'!B70</f>
        <v>8708567.9148199037</v>
      </c>
      <c r="C138" s="269">
        <f>'EV Dep Sch Y1'!C138+'EV Dep Sch Y2'!C130+'EV Dep Sch Y3'!C118+'EV Dep Sch Y4'!C106+'EV Dep Sch Y5'!C94+'EV Dep Sch Y6'!C82+'EV Dep Sch Y7'!C70</f>
        <v>8708567.9148199037</v>
      </c>
      <c r="D138" s="269">
        <f>'EV Dep Sch Y1'!D138+'EV Dep Sch Y2'!D130+'EV Dep Sch Y3'!D118+'EV Dep Sch Y4'!D106+'EV Dep Sch Y5'!D94+'EV Dep Sch Y6'!D82+'EV Dep Sch Y7'!D70</f>
        <v>18456.103404071247</v>
      </c>
      <c r="E138" s="269">
        <f>'EV Dep Sch Y1'!E138+'EV Dep Sch Y2'!E130+'EV Dep Sch Y3'!E118+'EV Dep Sch Y4'!E106+'EV Dep Sch Y5'!E94+'EV Dep Sch Y6'!E82+'EV Dep Sch Y7'!E70</f>
        <v>33844.621292256954</v>
      </c>
      <c r="F138" s="269">
        <f>'EV Dep Sch Y1'!F138+'EV Dep Sch Y2'!F130+'EV Dep Sch Y3'!F118+'EV Dep Sch Y4'!F106+'EV Dep Sch Y5'!F94+'EV Dep Sch Y6'!F82+'EV Dep Sch Y7'!F70</f>
        <v>-8186051.8777850037</v>
      </c>
      <c r="G138" s="269">
        <f>'EV Dep Sch Y1'!G138+'EV Dep Sch Y2'!G130+'EV Dep Sch Y3'!G118+'EV Dep Sch Y4'!G106+'EV Dep Sch Y5'!G94+'EV Dep Sch Y6'!G82+'EV Dep Sch Y7'!G70</f>
        <v>-8448491.80923157</v>
      </c>
      <c r="H138" s="269">
        <f>'EV Dep Sch Y1'!H138+'EV Dep Sch Y2'!H130+'EV Dep Sch Y3'!H118+'EV Dep Sch Y4'!H106+'EV Dep Sch Y5'!H94+'EV Dep Sch Y6'!H82+'EV Dep Sch Y7'!H70</f>
        <v>522516.03703490412</v>
      </c>
      <c r="I138" s="269">
        <f>'EV Dep Sch Y1'!I138+'EV Dep Sch Y2'!I130+'EV Dep Sch Y3'!I118+'EV Dep Sch Y4'!I106+'EV Dep Sch Y5'!I94+'EV Dep Sch Y6'!I82+'EV Dep Sch Y7'!I70</f>
        <v>260076.10558833391</v>
      </c>
      <c r="J138" s="269">
        <f>'EV Dep Sch Y1'!J138+'EV Dep Sch Y2'!J130+'EV Dep Sch Y3'!J118+'EV Dep Sch Y4'!J106+'EV Dep Sch Y5'!J94+'EV Dep Sch Y6'!J82+'EV Dep Sch Y7'!J70</f>
        <v>-262439.9314465702</v>
      </c>
      <c r="K138" s="269">
        <f>'EV Dep Sch Y1'!K138+'EV Dep Sch Y2'!K130+'EV Dep Sch Y3'!K118+'EV Dep Sch Y4'!K106+'EV Dep Sch Y5'!K94+'EV Dep Sch Y6'!K82+'EV Dep Sch Y7'!K70</f>
        <v>55112.385603779738</v>
      </c>
      <c r="L138" s="269">
        <f>'EV Dep Sch Y1'!L138+'EV Dep Sch Y2'!L130+'EV Dep Sch Y3'!L118+'EV Dep Sch Y4'!L106+'EV Dep Sch Y5'!L94+'EV Dep Sch Y6'!L82+'EV Dep Sch Y7'!L70</f>
        <v>-3231.5887565190237</v>
      </c>
      <c r="M138" s="270">
        <f t="shared" si="4"/>
        <v>315188.49119211367</v>
      </c>
      <c r="N138" s="97"/>
      <c r="O138" s="271"/>
      <c r="P138" s="271"/>
      <c r="Q138" s="271"/>
      <c r="R138" s="271"/>
      <c r="S138" s="271"/>
      <c r="T138" s="271"/>
    </row>
    <row r="139" spans="1:20" s="230" customFormat="1" ht="15">
      <c r="A139" s="267">
        <f t="shared" si="5"/>
        <v>47238</v>
      </c>
      <c r="B139" s="269">
        <f>'EV Dep Sch Y1'!B139+'EV Dep Sch Y2'!B131+'EV Dep Sch Y3'!B119+'EV Dep Sch Y4'!B107+'EV Dep Sch Y5'!B95+'EV Dep Sch Y6'!B83+'EV Dep Sch Y7'!B71</f>
        <v>8708567.9148199037</v>
      </c>
      <c r="C139" s="269">
        <f>'EV Dep Sch Y1'!C139+'EV Dep Sch Y2'!C131+'EV Dep Sch Y3'!C119+'EV Dep Sch Y4'!C107+'EV Dep Sch Y5'!C95+'EV Dep Sch Y6'!C83+'EV Dep Sch Y7'!C71</f>
        <v>8708567.9148199037</v>
      </c>
      <c r="D139" s="269">
        <f>'EV Dep Sch Y1'!D139+'EV Dep Sch Y2'!D131+'EV Dep Sch Y3'!D119+'EV Dep Sch Y4'!D107+'EV Dep Sch Y5'!D95+'EV Dep Sch Y6'!D83+'EV Dep Sch Y7'!D71</f>
        <v>18343.450548846602</v>
      </c>
      <c r="E139" s="269">
        <f>'EV Dep Sch Y1'!E139+'EV Dep Sch Y2'!E131+'EV Dep Sch Y3'!E119+'EV Dep Sch Y4'!E107+'EV Dep Sch Y5'!E95+'EV Dep Sch Y6'!E83+'EV Dep Sch Y7'!E71</f>
        <v>33844.621292256954</v>
      </c>
      <c r="F139" s="269">
        <f>'EV Dep Sch Y1'!F139+'EV Dep Sch Y2'!F131+'EV Dep Sch Y3'!F119+'EV Dep Sch Y4'!F107+'EV Dep Sch Y5'!F95+'EV Dep Sch Y6'!F83+'EV Dep Sch Y7'!F71</f>
        <v>-8204395.328333851</v>
      </c>
      <c r="G139" s="269">
        <f>'EV Dep Sch Y1'!G139+'EV Dep Sch Y2'!G131+'EV Dep Sch Y3'!G119+'EV Dep Sch Y4'!G107+'EV Dep Sch Y5'!G95+'EV Dep Sch Y6'!G83+'EV Dep Sch Y7'!G71</f>
        <v>-8482336.4305238277</v>
      </c>
      <c r="H139" s="269">
        <f>'EV Dep Sch Y1'!H139+'EV Dep Sch Y2'!H131+'EV Dep Sch Y3'!H119+'EV Dep Sch Y4'!H107+'EV Dep Sch Y5'!H95+'EV Dep Sch Y6'!H83+'EV Dep Sch Y7'!H71</f>
        <v>504172.58648605749</v>
      </c>
      <c r="I139" s="269">
        <f>'EV Dep Sch Y1'!I139+'EV Dep Sch Y2'!I131+'EV Dep Sch Y3'!I119+'EV Dep Sch Y4'!I107+'EV Dep Sch Y5'!I95+'EV Dep Sch Y6'!I83+'EV Dep Sch Y7'!I71</f>
        <v>226231.48429607681</v>
      </c>
      <c r="J139" s="269">
        <f>'EV Dep Sch Y1'!J139+'EV Dep Sch Y2'!J131+'EV Dep Sch Y3'!J119+'EV Dep Sch Y4'!J107+'EV Dep Sch Y5'!J95+'EV Dep Sch Y6'!J83+'EV Dep Sch Y7'!J71</f>
        <v>-277941.10218998068</v>
      </c>
      <c r="K139" s="269">
        <f>'EV Dep Sch Y1'!K139+'EV Dep Sch Y2'!K131+'EV Dep Sch Y3'!K119+'EV Dep Sch Y4'!K107+'EV Dep Sch Y5'!K95+'EV Dep Sch Y6'!K83+'EV Dep Sch Y7'!K71</f>
        <v>58367.631459895929</v>
      </c>
      <c r="L139" s="269">
        <f>'EV Dep Sch Y1'!L139+'EV Dep Sch Y2'!L131+'EV Dep Sch Y3'!L119+'EV Dep Sch Y4'!L107+'EV Dep Sch Y5'!L95+'EV Dep Sch Y6'!L83+'EV Dep Sch Y7'!L71</f>
        <v>-3255.2458561161966</v>
      </c>
      <c r="M139" s="270">
        <f t="shared" si="4"/>
        <v>284599.11575597274</v>
      </c>
      <c r="N139" s="97"/>
      <c r="O139" s="271"/>
      <c r="P139" s="271"/>
      <c r="Q139" s="271"/>
      <c r="R139" s="271"/>
      <c r="S139" s="271"/>
      <c r="T139" s="271"/>
    </row>
    <row r="140" spans="1:20" s="230" customFormat="1" ht="15">
      <c r="A140" s="267">
        <f t="shared" si="5"/>
        <v>47269</v>
      </c>
      <c r="B140" s="269">
        <f>'EV Dep Sch Y1'!B140+'EV Dep Sch Y2'!B132+'EV Dep Sch Y3'!B120+'EV Dep Sch Y4'!B108+'EV Dep Sch Y5'!B96+'EV Dep Sch Y6'!B84+'EV Dep Sch Y7'!B72</f>
        <v>8708567.9148199037</v>
      </c>
      <c r="C140" s="269">
        <f>'EV Dep Sch Y1'!C140+'EV Dep Sch Y2'!C132+'EV Dep Sch Y3'!C120+'EV Dep Sch Y4'!C108+'EV Dep Sch Y5'!C96+'EV Dep Sch Y6'!C84+'EV Dep Sch Y7'!C72</f>
        <v>8708567.9148199037</v>
      </c>
      <c r="D140" s="269">
        <f>'EV Dep Sch Y1'!D140+'EV Dep Sch Y2'!D132+'EV Dep Sch Y3'!D120+'EV Dep Sch Y4'!D108+'EV Dep Sch Y5'!D96+'EV Dep Sch Y6'!D84+'EV Dep Sch Y7'!D72</f>
        <v>18343.450548846602</v>
      </c>
      <c r="E140" s="269">
        <f>'EV Dep Sch Y1'!E140+'EV Dep Sch Y2'!E132+'EV Dep Sch Y3'!E120+'EV Dep Sch Y4'!E108+'EV Dep Sch Y5'!E96+'EV Dep Sch Y6'!E84+'EV Dep Sch Y7'!E72</f>
        <v>33844.621292256954</v>
      </c>
      <c r="F140" s="269">
        <f>'EV Dep Sch Y1'!F140+'EV Dep Sch Y2'!F132+'EV Dep Sch Y3'!F120+'EV Dep Sch Y4'!F108+'EV Dep Sch Y5'!F96+'EV Dep Sch Y6'!F84+'EV Dep Sch Y7'!F72</f>
        <v>-8222738.7788826972</v>
      </c>
      <c r="G140" s="269">
        <f>'EV Dep Sch Y1'!G140+'EV Dep Sch Y2'!G132+'EV Dep Sch Y3'!G120+'EV Dep Sch Y4'!G108+'EV Dep Sch Y5'!G96+'EV Dep Sch Y6'!G84+'EV Dep Sch Y7'!G72</f>
        <v>-8516181.0518160854</v>
      </c>
      <c r="H140" s="269">
        <f>'EV Dep Sch Y1'!H140+'EV Dep Sch Y2'!H132+'EV Dep Sch Y3'!H120+'EV Dep Sch Y4'!H108+'EV Dep Sch Y5'!H96+'EV Dep Sch Y6'!H84+'EV Dep Sch Y7'!H72</f>
        <v>485829.13593721081</v>
      </c>
      <c r="I140" s="269">
        <f>'EV Dep Sch Y1'!I140+'EV Dep Sch Y2'!I132+'EV Dep Sch Y3'!I120+'EV Dep Sch Y4'!I108+'EV Dep Sch Y5'!I96+'EV Dep Sch Y6'!I84+'EV Dep Sch Y7'!I72</f>
        <v>192386.86300381972</v>
      </c>
      <c r="J140" s="269">
        <f>'EV Dep Sch Y1'!J140+'EV Dep Sch Y2'!J132+'EV Dep Sch Y3'!J120+'EV Dep Sch Y4'!J108+'EV Dep Sch Y5'!J96+'EV Dep Sch Y6'!J84+'EV Dep Sch Y7'!J72</f>
        <v>-293442.2729333911</v>
      </c>
      <c r="K140" s="269">
        <f>'EV Dep Sch Y1'!K140+'EV Dep Sch Y2'!K132+'EV Dep Sch Y3'!K120+'EV Dep Sch Y4'!K108+'EV Dep Sch Y5'!K96+'EV Dep Sch Y6'!K84+'EV Dep Sch Y7'!K72</f>
        <v>61622.877316012135</v>
      </c>
      <c r="L140" s="269">
        <f>'EV Dep Sch Y1'!L140+'EV Dep Sch Y2'!L132+'EV Dep Sch Y3'!L120+'EV Dep Sch Y4'!L108+'EV Dep Sch Y5'!L96+'EV Dep Sch Y6'!L84+'EV Dep Sch Y7'!L72</f>
        <v>-3255.2458561161975</v>
      </c>
      <c r="M140" s="270">
        <f t="shared" si="4"/>
        <v>254009.74031983185</v>
      </c>
      <c r="N140" s="97"/>
      <c r="O140" s="271"/>
      <c r="P140" s="271"/>
      <c r="Q140" s="271"/>
      <c r="R140" s="271"/>
      <c r="S140" s="271"/>
      <c r="T140" s="271"/>
    </row>
    <row r="141" spans="1:20" s="230" customFormat="1" ht="15">
      <c r="A141" s="267">
        <f t="shared" si="5"/>
        <v>47299</v>
      </c>
      <c r="B141" s="269">
        <f>'EV Dep Sch Y1'!B141+'EV Dep Sch Y2'!B133+'EV Dep Sch Y3'!B121+'EV Dep Sch Y4'!B109+'EV Dep Sch Y5'!B97+'EV Dep Sch Y6'!B85+'EV Dep Sch Y7'!B73</f>
        <v>8708567.9148199037</v>
      </c>
      <c r="C141" s="269">
        <f>'EV Dep Sch Y1'!C141+'EV Dep Sch Y2'!C133+'EV Dep Sch Y3'!C121+'EV Dep Sch Y4'!C109+'EV Dep Sch Y5'!C97+'EV Dep Sch Y6'!C85+'EV Dep Sch Y7'!C73</f>
        <v>8708567.9148199037</v>
      </c>
      <c r="D141" s="269">
        <f>'EV Dep Sch Y1'!D141+'EV Dep Sch Y2'!D133+'EV Dep Sch Y3'!D121+'EV Dep Sch Y4'!D109+'EV Dep Sch Y5'!D97+'EV Dep Sch Y6'!D85+'EV Dep Sch Y7'!D73</f>
        <v>18343.450548846602</v>
      </c>
      <c r="E141" s="269">
        <f>'EV Dep Sch Y1'!E141+'EV Dep Sch Y2'!E133+'EV Dep Sch Y3'!E121+'EV Dep Sch Y4'!E109+'EV Dep Sch Y5'!E97+'EV Dep Sch Y6'!E85+'EV Dep Sch Y7'!E73</f>
        <v>24233.333661032673</v>
      </c>
      <c r="F141" s="269">
        <f>'EV Dep Sch Y1'!F141+'EV Dep Sch Y2'!F133+'EV Dep Sch Y3'!F121+'EV Dep Sch Y4'!F109+'EV Dep Sch Y5'!F97+'EV Dep Sch Y6'!F85+'EV Dep Sch Y7'!F73</f>
        <v>-8241082.2294315444</v>
      </c>
      <c r="G141" s="269">
        <f>'EV Dep Sch Y1'!G141+'EV Dep Sch Y2'!G133+'EV Dep Sch Y3'!G121+'EV Dep Sch Y4'!G109+'EV Dep Sch Y5'!G97+'EV Dep Sch Y6'!G85+'EV Dep Sch Y7'!G73</f>
        <v>-8540414.3854771163</v>
      </c>
      <c r="H141" s="269">
        <f>'EV Dep Sch Y1'!H141+'EV Dep Sch Y2'!H133+'EV Dep Sch Y3'!H121+'EV Dep Sch Y4'!H109+'EV Dep Sch Y5'!H97+'EV Dep Sch Y6'!H85+'EV Dep Sch Y7'!H73</f>
        <v>467485.68538836419</v>
      </c>
      <c r="I141" s="269">
        <f>'EV Dep Sch Y1'!I141+'EV Dep Sch Y2'!I133+'EV Dep Sch Y3'!I121+'EV Dep Sch Y4'!I109+'EV Dep Sch Y5'!I97+'EV Dep Sch Y6'!I85+'EV Dep Sch Y7'!I73</f>
        <v>168153.52934278699</v>
      </c>
      <c r="J141" s="269">
        <f>'EV Dep Sch Y1'!J141+'EV Dep Sch Y2'!J133+'EV Dep Sch Y3'!J121+'EV Dep Sch Y4'!J109+'EV Dep Sch Y5'!J97+'EV Dep Sch Y6'!J85+'EV Dep Sch Y7'!J73</f>
        <v>-299332.1560455772</v>
      </c>
      <c r="K141" s="269">
        <f>'EV Dep Sch Y1'!K141+'EV Dep Sch Y2'!K133+'EV Dep Sch Y3'!K121+'EV Dep Sch Y4'!K109+'EV Dep Sch Y5'!K97+'EV Dep Sch Y6'!K85+'EV Dep Sch Y7'!K73</f>
        <v>62859.752769571212</v>
      </c>
      <c r="L141" s="269">
        <f>'EV Dep Sch Y1'!L141+'EV Dep Sch Y2'!L133+'EV Dep Sch Y3'!L121+'EV Dep Sch Y4'!L109+'EV Dep Sch Y5'!L97+'EV Dep Sch Y6'!L85+'EV Dep Sch Y7'!L73</f>
        <v>-1236.8754535590776</v>
      </c>
      <c r="M141" s="270">
        <f t="shared" si="4"/>
        <v>231013.2821123582</v>
      </c>
      <c r="N141" s="97"/>
      <c r="O141" s="271"/>
      <c r="P141" s="271"/>
      <c r="Q141" s="271"/>
      <c r="R141" s="271"/>
      <c r="S141" s="271"/>
      <c r="T141" s="271"/>
    </row>
    <row r="142" spans="1:20" s="230" customFormat="1" ht="15">
      <c r="A142" s="267">
        <f t="shared" si="5"/>
        <v>47330</v>
      </c>
      <c r="B142" s="269">
        <f>'EV Dep Sch Y1'!B142+'EV Dep Sch Y2'!B134+'EV Dep Sch Y3'!B122+'EV Dep Sch Y4'!B110+'EV Dep Sch Y5'!B98+'EV Dep Sch Y6'!B86+'EV Dep Sch Y7'!B74</f>
        <v>8708567.9148199037</v>
      </c>
      <c r="C142" s="269">
        <f>'EV Dep Sch Y1'!C142+'EV Dep Sch Y2'!C134+'EV Dep Sch Y3'!C122+'EV Dep Sch Y4'!C110+'EV Dep Sch Y5'!C98+'EV Dep Sch Y6'!C86+'EV Dep Sch Y7'!C74</f>
        <v>8708567.9148199037</v>
      </c>
      <c r="D142" s="269">
        <f>'EV Dep Sch Y1'!D142+'EV Dep Sch Y2'!D134+'EV Dep Sch Y3'!D122+'EV Dep Sch Y4'!D110+'EV Dep Sch Y5'!D98+'EV Dep Sch Y6'!D86+'EV Dep Sch Y7'!D74</f>
        <v>18343.450548846602</v>
      </c>
      <c r="E142" s="269">
        <f>'EV Dep Sch Y1'!E142+'EV Dep Sch Y2'!E134+'EV Dep Sch Y3'!E122+'EV Dep Sch Y4'!E110+'EV Dep Sch Y5'!E98+'EV Dep Sch Y6'!E86+'EV Dep Sch Y7'!E74</f>
        <v>14622.046029807601</v>
      </c>
      <c r="F142" s="269">
        <f>'EV Dep Sch Y1'!F142+'EV Dep Sch Y2'!F134+'EV Dep Sch Y3'!F122+'EV Dep Sch Y4'!F110+'EV Dep Sch Y5'!F98+'EV Dep Sch Y6'!F86+'EV Dep Sch Y7'!F74</f>
        <v>-8259425.6799803907</v>
      </c>
      <c r="G142" s="269">
        <f>'EV Dep Sch Y1'!G142+'EV Dep Sch Y2'!G134+'EV Dep Sch Y3'!G122+'EV Dep Sch Y4'!G110+'EV Dep Sch Y5'!G98+'EV Dep Sch Y6'!G86+'EV Dep Sch Y7'!G74</f>
        <v>-8555036.4315069243</v>
      </c>
      <c r="H142" s="269">
        <f>'EV Dep Sch Y1'!H142+'EV Dep Sch Y2'!H134+'EV Dep Sch Y3'!H122+'EV Dep Sch Y4'!H110+'EV Dep Sch Y5'!H98+'EV Dep Sch Y6'!H86+'EV Dep Sch Y7'!H74</f>
        <v>449142.23483951756</v>
      </c>
      <c r="I142" s="269">
        <f>'EV Dep Sch Y1'!I142+'EV Dep Sch Y2'!I134+'EV Dep Sch Y3'!I122+'EV Dep Sch Y4'!I110+'EV Dep Sch Y5'!I98+'EV Dep Sch Y6'!I86+'EV Dep Sch Y7'!I74</f>
        <v>153531.48331297934</v>
      </c>
      <c r="J142" s="269">
        <f>'EV Dep Sch Y1'!J142+'EV Dep Sch Y2'!J134+'EV Dep Sch Y3'!J122+'EV Dep Sch Y4'!J110+'EV Dep Sch Y5'!J98+'EV Dep Sch Y6'!J86+'EV Dep Sch Y7'!J74</f>
        <v>-295610.75152653822</v>
      </c>
      <c r="K142" s="269">
        <f>'EV Dep Sch Y1'!K142+'EV Dep Sch Y2'!K134+'EV Dep Sch Y3'!K122+'EV Dep Sch Y4'!K110+'EV Dep Sch Y5'!K98+'EV Dep Sch Y6'!K86+'EV Dep Sch Y7'!K74</f>
        <v>62078.257820573017</v>
      </c>
      <c r="L142" s="269">
        <f>'EV Dep Sch Y1'!L142+'EV Dep Sch Y2'!L134+'EV Dep Sch Y3'!L122+'EV Dep Sch Y4'!L110+'EV Dep Sch Y5'!L98+'EV Dep Sch Y6'!L86+'EV Dep Sch Y7'!L74</f>
        <v>781.4949489981891</v>
      </c>
      <c r="M142" s="270">
        <f t="shared" si="4"/>
        <v>215609.74113355236</v>
      </c>
      <c r="N142" s="97"/>
      <c r="O142" s="271"/>
      <c r="P142" s="271"/>
      <c r="Q142" s="271"/>
      <c r="R142" s="271"/>
      <c r="S142" s="271"/>
      <c r="T142" s="271"/>
    </row>
    <row r="143" spans="1:20" s="230" customFormat="1" ht="15">
      <c r="A143" s="267">
        <f t="shared" si="5"/>
        <v>47361</v>
      </c>
      <c r="B143" s="269">
        <f>'EV Dep Sch Y1'!B143+'EV Dep Sch Y2'!B135+'EV Dep Sch Y3'!B123+'EV Dep Sch Y4'!B111+'EV Dep Sch Y5'!B99+'EV Dep Sch Y6'!B87+'EV Dep Sch Y7'!B75</f>
        <v>8708567.9148199037</v>
      </c>
      <c r="C143" s="269">
        <f>'EV Dep Sch Y1'!C143+'EV Dep Sch Y2'!C135+'EV Dep Sch Y3'!C123+'EV Dep Sch Y4'!C111+'EV Dep Sch Y5'!C99+'EV Dep Sch Y6'!C87+'EV Dep Sch Y7'!C75</f>
        <v>8708567.9148199037</v>
      </c>
      <c r="D143" s="269">
        <f>'EV Dep Sch Y1'!D143+'EV Dep Sch Y2'!D135+'EV Dep Sch Y3'!D123+'EV Dep Sch Y4'!D111+'EV Dep Sch Y5'!D99+'EV Dep Sch Y6'!D87+'EV Dep Sch Y7'!D75</f>
        <v>18343.450548846602</v>
      </c>
      <c r="E143" s="269">
        <f>'EV Dep Sch Y1'!E143+'EV Dep Sch Y2'!E135+'EV Dep Sch Y3'!E123+'EV Dep Sch Y4'!E111+'EV Dep Sch Y5'!E99+'EV Dep Sch Y6'!E87+'EV Dep Sch Y7'!E75</f>
        <v>14622.046029807601</v>
      </c>
      <c r="F143" s="269">
        <f>'EV Dep Sch Y1'!F143+'EV Dep Sch Y2'!F135+'EV Dep Sch Y3'!F123+'EV Dep Sch Y4'!F111+'EV Dep Sch Y5'!F99+'EV Dep Sch Y6'!F87+'EV Dep Sch Y7'!F75</f>
        <v>-8277769.130529237</v>
      </c>
      <c r="G143" s="269">
        <f>'EV Dep Sch Y1'!G143+'EV Dep Sch Y2'!G135+'EV Dep Sch Y3'!G123+'EV Dep Sch Y4'!G111+'EV Dep Sch Y5'!G99+'EV Dep Sch Y6'!G87+'EV Dep Sch Y7'!G75</f>
        <v>-8569658.4775367323</v>
      </c>
      <c r="H143" s="269">
        <f>'EV Dep Sch Y1'!H143+'EV Dep Sch Y2'!H135+'EV Dep Sch Y3'!H123+'EV Dep Sch Y4'!H111+'EV Dep Sch Y5'!H99+'EV Dep Sch Y6'!H87+'EV Dep Sch Y7'!H75</f>
        <v>430798.78429067088</v>
      </c>
      <c r="I143" s="269">
        <f>'EV Dep Sch Y1'!I143+'EV Dep Sch Y2'!I135+'EV Dep Sch Y3'!I123+'EV Dep Sch Y4'!I111+'EV Dep Sch Y5'!I99+'EV Dep Sch Y6'!I87+'EV Dep Sch Y7'!I75</f>
        <v>138909.43728317169</v>
      </c>
      <c r="J143" s="269">
        <f>'EV Dep Sch Y1'!J143+'EV Dep Sch Y2'!J135+'EV Dep Sch Y3'!J123+'EV Dep Sch Y4'!J111+'EV Dep Sch Y5'!J99+'EV Dep Sch Y6'!J87+'EV Dep Sch Y7'!J75</f>
        <v>-291889.34700749919</v>
      </c>
      <c r="K143" s="269">
        <f>'EV Dep Sch Y1'!K143+'EV Dep Sch Y2'!K135+'EV Dep Sch Y3'!K123+'EV Dep Sch Y4'!K111+'EV Dep Sch Y5'!K99+'EV Dep Sch Y6'!K87+'EV Dep Sch Y7'!K75</f>
        <v>61296.762871574829</v>
      </c>
      <c r="L143" s="269">
        <f>'EV Dep Sch Y1'!L143+'EV Dep Sch Y2'!L135+'EV Dep Sch Y3'!L123+'EV Dep Sch Y4'!L111+'EV Dep Sch Y5'!L99+'EV Dep Sch Y6'!L87+'EV Dep Sch Y7'!L75</f>
        <v>781.49494899818819</v>
      </c>
      <c r="M143" s="270">
        <f t="shared" si="4"/>
        <v>200206.20015474653</v>
      </c>
      <c r="N143" s="97"/>
      <c r="O143" s="271"/>
      <c r="P143" s="271"/>
      <c r="Q143" s="271"/>
      <c r="R143" s="271"/>
      <c r="S143" s="271"/>
      <c r="T143" s="271"/>
    </row>
    <row r="144" spans="1:20" s="230" customFormat="1" ht="15">
      <c r="A144" s="267">
        <f t="shared" si="5"/>
        <v>47391</v>
      </c>
      <c r="B144" s="269">
        <f>'EV Dep Sch Y1'!B144+'EV Dep Sch Y2'!B136+'EV Dep Sch Y3'!B124+'EV Dep Sch Y4'!B112+'EV Dep Sch Y5'!B100+'EV Dep Sch Y6'!B88+'EV Dep Sch Y7'!B76</f>
        <v>8708567.9148199037</v>
      </c>
      <c r="C144" s="269">
        <f>'EV Dep Sch Y1'!C144+'EV Dep Sch Y2'!C136+'EV Dep Sch Y3'!C124+'EV Dep Sch Y4'!C112+'EV Dep Sch Y5'!C100+'EV Dep Sch Y6'!C88+'EV Dep Sch Y7'!C76</f>
        <v>8708567.9148199037</v>
      </c>
      <c r="D144" s="269">
        <f>'EV Dep Sch Y1'!D144+'EV Dep Sch Y2'!D136+'EV Dep Sch Y3'!D124+'EV Dep Sch Y4'!D112+'EV Dep Sch Y5'!D100+'EV Dep Sch Y6'!D88+'EV Dep Sch Y7'!D76</f>
        <v>16851.563516301838</v>
      </c>
      <c r="E144" s="269">
        <f>'EV Dep Sch Y1'!E144+'EV Dep Sch Y2'!E136+'EV Dep Sch Y3'!E124+'EV Dep Sch Y4'!E112+'EV Dep Sch Y5'!E100+'EV Dep Sch Y6'!E88+'EV Dep Sch Y7'!E76</f>
        <v>14622.046029807601</v>
      </c>
      <c r="F144" s="269">
        <f>'EV Dep Sch Y1'!F144+'EV Dep Sch Y2'!F136+'EV Dep Sch Y3'!F124+'EV Dep Sch Y4'!F112+'EV Dep Sch Y5'!F100+'EV Dep Sch Y6'!F88+'EV Dep Sch Y7'!F76</f>
        <v>-8294620.694045539</v>
      </c>
      <c r="G144" s="269">
        <f>'EV Dep Sch Y1'!G144+'EV Dep Sch Y2'!G136+'EV Dep Sch Y3'!G124+'EV Dep Sch Y4'!G112+'EV Dep Sch Y5'!G100+'EV Dep Sch Y6'!G88+'EV Dep Sch Y7'!G76</f>
        <v>-8584280.5235665403</v>
      </c>
      <c r="H144" s="269">
        <f>'EV Dep Sch Y1'!H144+'EV Dep Sch Y2'!H136+'EV Dep Sch Y3'!H124+'EV Dep Sch Y4'!H112+'EV Dep Sch Y5'!H100+'EV Dep Sch Y6'!H88+'EV Dep Sch Y7'!H76</f>
        <v>413947.22077436908</v>
      </c>
      <c r="I144" s="269">
        <f>'EV Dep Sch Y1'!I144+'EV Dep Sch Y2'!I136+'EV Dep Sch Y3'!I124+'EV Dep Sch Y4'!I112+'EV Dep Sch Y5'!I100+'EV Dep Sch Y6'!I88+'EV Dep Sch Y7'!I76</f>
        <v>124287.39125336404</v>
      </c>
      <c r="J144" s="269">
        <f>'EV Dep Sch Y1'!J144+'EV Dep Sch Y2'!J136+'EV Dep Sch Y3'!J124+'EV Dep Sch Y4'!J112+'EV Dep Sch Y5'!J100+'EV Dep Sch Y6'!J88+'EV Dep Sch Y7'!J76</f>
        <v>-289659.82952100504</v>
      </c>
      <c r="K144" s="269">
        <f>'EV Dep Sch Y1'!K144+'EV Dep Sch Y2'!K136+'EV Dep Sch Y3'!K124+'EV Dep Sch Y4'!K112+'EV Dep Sch Y5'!K100+'EV Dep Sch Y6'!K88+'EV Dep Sch Y7'!K76</f>
        <v>60828.564199411063</v>
      </c>
      <c r="L144" s="269">
        <f>'EV Dep Sch Y1'!L144+'EV Dep Sch Y2'!L136+'EV Dep Sch Y3'!L124+'EV Dep Sch Y4'!L112+'EV Dep Sch Y5'!L100+'EV Dep Sch Y6'!L88+'EV Dep Sch Y7'!L76</f>
        <v>468.19867216376861</v>
      </c>
      <c r="M144" s="270">
        <f t="shared" si="4"/>
        <v>185115.95545277512</v>
      </c>
      <c r="N144" s="97"/>
      <c r="O144" s="271"/>
      <c r="P144" s="271"/>
      <c r="Q144" s="271"/>
      <c r="R144" s="271"/>
      <c r="S144" s="271"/>
      <c r="T144" s="271"/>
    </row>
    <row r="145" spans="1:20" s="230" customFormat="1" ht="15">
      <c r="A145" s="267">
        <f t="shared" si="5"/>
        <v>47422</v>
      </c>
      <c r="B145" s="269">
        <f>'EV Dep Sch Y1'!B145+'EV Dep Sch Y2'!B137+'EV Dep Sch Y3'!B125+'EV Dep Sch Y4'!B113+'EV Dep Sch Y5'!B101+'EV Dep Sch Y6'!B89+'EV Dep Sch Y7'!B77</f>
        <v>8708567.9148199037</v>
      </c>
      <c r="C145" s="269">
        <f>'EV Dep Sch Y1'!C145+'EV Dep Sch Y2'!C137+'EV Dep Sch Y3'!C125+'EV Dep Sch Y4'!C113+'EV Dep Sch Y5'!C101+'EV Dep Sch Y6'!C89+'EV Dep Sch Y7'!C77</f>
        <v>8708567.9148199037</v>
      </c>
      <c r="D145" s="269">
        <f>'EV Dep Sch Y1'!D145+'EV Dep Sch Y2'!D137+'EV Dep Sch Y3'!D125+'EV Dep Sch Y4'!D113+'EV Dep Sch Y5'!D101+'EV Dep Sch Y6'!D89+'EV Dep Sch Y7'!D77</f>
        <v>16851.563516301838</v>
      </c>
      <c r="E145" s="269">
        <f>'EV Dep Sch Y1'!E145+'EV Dep Sch Y2'!E137+'EV Dep Sch Y3'!E125+'EV Dep Sch Y4'!E113+'EV Dep Sch Y5'!E101+'EV Dep Sch Y6'!E89+'EV Dep Sch Y7'!E77</f>
        <v>14622.046029807601</v>
      </c>
      <c r="F145" s="269">
        <f>'EV Dep Sch Y1'!F145+'EV Dep Sch Y2'!F137+'EV Dep Sch Y3'!F125+'EV Dep Sch Y4'!F113+'EV Dep Sch Y5'!F101+'EV Dep Sch Y6'!F89+'EV Dep Sch Y7'!F77</f>
        <v>-8311472.2575618401</v>
      </c>
      <c r="G145" s="269">
        <f>'EV Dep Sch Y1'!G145+'EV Dep Sch Y2'!G137+'EV Dep Sch Y3'!G125+'EV Dep Sch Y4'!G113+'EV Dep Sch Y5'!G101+'EV Dep Sch Y6'!G89+'EV Dep Sch Y7'!G77</f>
        <v>-8598902.5695963483</v>
      </c>
      <c r="H145" s="269">
        <f>'EV Dep Sch Y1'!H145+'EV Dep Sch Y2'!H137+'EV Dep Sch Y3'!H125+'EV Dep Sch Y4'!H113+'EV Dep Sch Y5'!H101+'EV Dep Sch Y6'!H89+'EV Dep Sch Y7'!H77</f>
        <v>397095.65725806728</v>
      </c>
      <c r="I145" s="269">
        <f>'EV Dep Sch Y1'!I145+'EV Dep Sch Y2'!I137+'EV Dep Sch Y3'!I125+'EV Dep Sch Y4'!I113+'EV Dep Sch Y5'!I101+'EV Dep Sch Y6'!I89+'EV Dep Sch Y7'!I77</f>
        <v>109665.34522355639</v>
      </c>
      <c r="J145" s="269">
        <f>'EV Dep Sch Y1'!J145+'EV Dep Sch Y2'!J137+'EV Dep Sch Y3'!J125+'EV Dep Sch Y4'!J113+'EV Dep Sch Y5'!J101+'EV Dep Sch Y6'!J89+'EV Dep Sch Y7'!J77</f>
        <v>-287430.31203451089</v>
      </c>
      <c r="K145" s="269">
        <f>'EV Dep Sch Y1'!K145+'EV Dep Sch Y2'!K137+'EV Dep Sch Y3'!K125+'EV Dep Sch Y4'!K113+'EV Dep Sch Y5'!K101+'EV Dep Sch Y6'!K89+'EV Dep Sch Y7'!K77</f>
        <v>60360.365527247282</v>
      </c>
      <c r="L145" s="269">
        <f>'EV Dep Sch Y1'!L145+'EV Dep Sch Y2'!L137+'EV Dep Sch Y3'!L125+'EV Dep Sch Y4'!L113+'EV Dep Sch Y5'!L101+'EV Dep Sch Y6'!L89+'EV Dep Sch Y7'!L77</f>
        <v>468.19867216377588</v>
      </c>
      <c r="M145" s="270">
        <f t="shared" si="4"/>
        <v>170025.71075080367</v>
      </c>
      <c r="N145" s="97"/>
      <c r="O145" s="271"/>
      <c r="P145" s="271"/>
      <c r="Q145" s="271"/>
      <c r="R145" s="271"/>
      <c r="S145" s="271"/>
      <c r="T145" s="271"/>
    </row>
    <row r="146" spans="1:20" s="230" customFormat="1" ht="15">
      <c r="A146" s="267">
        <f t="shared" si="5"/>
        <v>47452</v>
      </c>
      <c r="B146" s="269">
        <f>'EV Dep Sch Y1'!B146+'EV Dep Sch Y2'!B138+'EV Dep Sch Y3'!B126+'EV Dep Sch Y4'!B114+'EV Dep Sch Y5'!B102+'EV Dep Sch Y6'!B90+'EV Dep Sch Y7'!B78</f>
        <v>8708567.9148199037</v>
      </c>
      <c r="C146" s="269">
        <f>'EV Dep Sch Y1'!C146+'EV Dep Sch Y2'!C138+'EV Dep Sch Y3'!C126+'EV Dep Sch Y4'!C114+'EV Dep Sch Y5'!C102+'EV Dep Sch Y6'!C90+'EV Dep Sch Y7'!C78</f>
        <v>8708567.9148199037</v>
      </c>
      <c r="D146" s="269">
        <f>'EV Dep Sch Y1'!D146+'EV Dep Sch Y2'!D138+'EV Dep Sch Y3'!D126+'EV Dep Sch Y4'!D114+'EV Dep Sch Y5'!D102+'EV Dep Sch Y6'!D90+'EV Dep Sch Y7'!D78</f>
        <v>16851.563516301838</v>
      </c>
      <c r="E146" s="269">
        <f>'EV Dep Sch Y1'!E146+'EV Dep Sch Y2'!E138+'EV Dep Sch Y3'!E126+'EV Dep Sch Y4'!E114+'EV Dep Sch Y5'!E102+'EV Dep Sch Y6'!E90+'EV Dep Sch Y7'!E78</f>
        <v>14622.046029807601</v>
      </c>
      <c r="F146" s="269">
        <f>'EV Dep Sch Y1'!F146+'EV Dep Sch Y2'!F138+'EV Dep Sch Y3'!F126+'EV Dep Sch Y4'!F114+'EV Dep Sch Y5'!F102+'EV Dep Sch Y6'!F90+'EV Dep Sch Y7'!F78</f>
        <v>-8328323.8210781422</v>
      </c>
      <c r="G146" s="269">
        <f>'EV Dep Sch Y1'!G146+'EV Dep Sch Y2'!G138+'EV Dep Sch Y3'!G126+'EV Dep Sch Y4'!G114+'EV Dep Sch Y5'!G102+'EV Dep Sch Y6'!G90+'EV Dep Sch Y7'!G78</f>
        <v>-8613524.6156261545</v>
      </c>
      <c r="H146" s="269">
        <f>'EV Dep Sch Y1'!H146+'EV Dep Sch Y2'!H138+'EV Dep Sch Y3'!H126+'EV Dep Sch Y4'!H114+'EV Dep Sch Y5'!H102+'EV Dep Sch Y6'!H90+'EV Dep Sch Y7'!H78</f>
        <v>380244.09374176548</v>
      </c>
      <c r="I146" s="269">
        <f>'EV Dep Sch Y1'!I146+'EV Dep Sch Y2'!I138+'EV Dep Sch Y3'!I126+'EV Dep Sch Y4'!I114+'EV Dep Sch Y5'!I102+'EV Dep Sch Y6'!I90+'EV Dep Sch Y7'!I78</f>
        <v>95043.299193748739</v>
      </c>
      <c r="J146" s="269">
        <f>'EV Dep Sch Y1'!J146+'EV Dep Sch Y2'!J138+'EV Dep Sch Y3'!J126+'EV Dep Sch Y4'!J114+'EV Dep Sch Y5'!J102+'EV Dep Sch Y6'!J90+'EV Dep Sch Y7'!J78</f>
        <v>-285200.79454801674</v>
      </c>
      <c r="K146" s="269">
        <f>'EV Dep Sch Y1'!K146+'EV Dep Sch Y2'!K138+'EV Dep Sch Y3'!K126+'EV Dep Sch Y4'!K114+'EV Dep Sch Y5'!K102+'EV Dep Sch Y6'!K90+'EV Dep Sch Y7'!K78</f>
        <v>59892.166855083509</v>
      </c>
      <c r="L146" s="269">
        <f>'EV Dep Sch Y1'!L146+'EV Dep Sch Y2'!L138+'EV Dep Sch Y3'!L126+'EV Dep Sch Y4'!L114+'EV Dep Sch Y5'!L102+'EV Dep Sch Y6'!L90+'EV Dep Sch Y7'!L78</f>
        <v>468.19867216377952</v>
      </c>
      <c r="M146" s="270">
        <f t="shared" si="4"/>
        <v>154935.46604883226</v>
      </c>
      <c r="N146" s="97"/>
      <c r="O146" s="271"/>
      <c r="P146" s="271"/>
      <c r="Q146" s="271"/>
      <c r="R146" s="271"/>
      <c r="S146" s="271"/>
      <c r="T146" s="271"/>
    </row>
    <row r="147" spans="1:20" s="230" customFormat="1" ht="15">
      <c r="A147" s="267">
        <f t="shared" si="5"/>
        <v>47483</v>
      </c>
      <c r="B147" s="269">
        <f>'EV Dep Sch Y1'!B147+'EV Dep Sch Y2'!B139+'EV Dep Sch Y3'!B127+'EV Dep Sch Y4'!B115+'EV Dep Sch Y5'!B103+'EV Dep Sch Y6'!B91+'EV Dep Sch Y7'!B79</f>
        <v>8708567.9148199037</v>
      </c>
      <c r="C147" s="269">
        <f>'EV Dep Sch Y1'!C147+'EV Dep Sch Y2'!C139+'EV Dep Sch Y3'!C127+'EV Dep Sch Y4'!C115+'EV Dep Sch Y5'!C103+'EV Dep Sch Y6'!C91+'EV Dep Sch Y7'!C79</f>
        <v>8708567.9148199037</v>
      </c>
      <c r="D147" s="269">
        <f>'EV Dep Sch Y1'!D147+'EV Dep Sch Y2'!D139+'EV Dep Sch Y3'!D127+'EV Dep Sch Y4'!D115+'EV Dep Sch Y5'!D103+'EV Dep Sch Y6'!D91+'EV Dep Sch Y7'!D79</f>
        <v>16851.563516301838</v>
      </c>
      <c r="E147" s="269">
        <f>'EV Dep Sch Y1'!E147+'EV Dep Sch Y2'!E139+'EV Dep Sch Y3'!E127+'EV Dep Sch Y4'!E115+'EV Dep Sch Y5'!E103+'EV Dep Sch Y6'!E91+'EV Dep Sch Y7'!E79</f>
        <v>14622.046029807601</v>
      </c>
      <c r="F147" s="269">
        <f>'EV Dep Sch Y1'!F147+'EV Dep Sch Y2'!F139+'EV Dep Sch Y3'!F127+'EV Dep Sch Y4'!F115+'EV Dep Sch Y5'!F103+'EV Dep Sch Y6'!F91+'EV Dep Sch Y7'!F79</f>
        <v>-8345175.3845944451</v>
      </c>
      <c r="G147" s="269">
        <f>'EV Dep Sch Y1'!G147+'EV Dep Sch Y2'!G139+'EV Dep Sch Y3'!G127+'EV Dep Sch Y4'!G115+'EV Dep Sch Y5'!G103+'EV Dep Sch Y6'!G91+'EV Dep Sch Y7'!G79</f>
        <v>-8628146.6616559625</v>
      </c>
      <c r="H147" s="269">
        <f>'EV Dep Sch Y1'!H147+'EV Dep Sch Y2'!H139+'EV Dep Sch Y3'!H127+'EV Dep Sch Y4'!H115+'EV Dep Sch Y5'!H103+'EV Dep Sch Y6'!H91+'EV Dep Sch Y7'!H79</f>
        <v>363392.53022546368</v>
      </c>
      <c r="I147" s="269">
        <f>'EV Dep Sch Y1'!I147+'EV Dep Sch Y2'!I139+'EV Dep Sch Y3'!I127+'EV Dep Sch Y4'!I115+'EV Dep Sch Y5'!I103+'EV Dep Sch Y6'!I91+'EV Dep Sch Y7'!I79</f>
        <v>80421.253163941088</v>
      </c>
      <c r="J147" s="269">
        <f>'EV Dep Sch Y1'!J147+'EV Dep Sch Y2'!J139+'EV Dep Sch Y3'!J127+'EV Dep Sch Y4'!J115+'EV Dep Sch Y5'!J103+'EV Dep Sch Y6'!J91+'EV Dep Sch Y7'!J79</f>
        <v>-282971.27706152259</v>
      </c>
      <c r="K147" s="269">
        <f>'EV Dep Sch Y1'!K147+'EV Dep Sch Y2'!K139+'EV Dep Sch Y3'!K127+'EV Dep Sch Y4'!K115+'EV Dep Sch Y5'!K103+'EV Dep Sch Y6'!K91+'EV Dep Sch Y7'!K79</f>
        <v>59423.968182919736</v>
      </c>
      <c r="L147" s="269">
        <f>'EV Dep Sch Y1'!L147+'EV Dep Sch Y2'!L139+'EV Dep Sch Y3'!L127+'EV Dep Sch Y4'!L115+'EV Dep Sch Y5'!L103+'EV Dep Sch Y6'!L91+'EV Dep Sch Y7'!L79</f>
        <v>468.19867216377133</v>
      </c>
      <c r="M147" s="270">
        <f t="shared" si="4"/>
        <v>139845.22134686081</v>
      </c>
      <c r="N147" s="97"/>
      <c r="O147" s="271"/>
      <c r="P147" s="271"/>
      <c r="Q147" s="271"/>
      <c r="R147" s="271"/>
      <c r="S147" s="271"/>
      <c r="T147" s="271"/>
    </row>
    <row r="148" spans="1:20" s="230" customFormat="1" ht="15">
      <c r="A148" s="267">
        <f t="shared" si="5"/>
        <v>47514</v>
      </c>
      <c r="B148" s="269">
        <f>'EV Dep Sch Y1'!B148+'EV Dep Sch Y2'!B140+'EV Dep Sch Y3'!B128+'EV Dep Sch Y4'!B116+'EV Dep Sch Y5'!B104+'EV Dep Sch Y6'!B92+'EV Dep Sch Y7'!B80</f>
        <v>8708567.9148199037</v>
      </c>
      <c r="C148" s="269">
        <f>'EV Dep Sch Y1'!C148+'EV Dep Sch Y2'!C140+'EV Dep Sch Y3'!C128+'EV Dep Sch Y4'!C116+'EV Dep Sch Y5'!C104+'EV Dep Sch Y6'!C92+'EV Dep Sch Y7'!C80</f>
        <v>8708567.9148199037</v>
      </c>
      <c r="D148" s="269">
        <f>'EV Dep Sch Y1'!D148+'EV Dep Sch Y2'!D140+'EV Dep Sch Y3'!D128+'EV Dep Sch Y4'!D116+'EV Dep Sch Y5'!D104+'EV Dep Sch Y6'!D92+'EV Dep Sch Y7'!D80</f>
        <v>16851.563516301838</v>
      </c>
      <c r="E148" s="269">
        <f>'EV Dep Sch Y1'!E148+'EV Dep Sch Y2'!E140+'EV Dep Sch Y3'!E128+'EV Dep Sch Y4'!E116+'EV Dep Sch Y5'!E104+'EV Dep Sch Y6'!E92+'EV Dep Sch Y7'!E80</f>
        <v>14622.046029807601</v>
      </c>
      <c r="F148" s="269">
        <f>'EV Dep Sch Y1'!F148+'EV Dep Sch Y2'!F140+'EV Dep Sch Y3'!F128+'EV Dep Sch Y4'!F116+'EV Dep Sch Y5'!F104+'EV Dep Sch Y6'!F92+'EV Dep Sch Y7'!F80</f>
        <v>-8362026.9481107462</v>
      </c>
      <c r="G148" s="269">
        <f>'EV Dep Sch Y1'!G148+'EV Dep Sch Y2'!G140+'EV Dep Sch Y3'!G128+'EV Dep Sch Y4'!G116+'EV Dep Sch Y5'!G104+'EV Dep Sch Y6'!G92+'EV Dep Sch Y7'!G80</f>
        <v>-8642768.7076857705</v>
      </c>
      <c r="H148" s="269">
        <f>'EV Dep Sch Y1'!H148+'EV Dep Sch Y2'!H140+'EV Dep Sch Y3'!H128+'EV Dep Sch Y4'!H116+'EV Dep Sch Y5'!H104+'EV Dep Sch Y6'!H92+'EV Dep Sch Y7'!H80</f>
        <v>346540.96670916182</v>
      </c>
      <c r="I148" s="269">
        <f>'EV Dep Sch Y1'!I148+'EV Dep Sch Y2'!I140+'EV Dep Sch Y3'!I128+'EV Dep Sch Y4'!I116+'EV Dep Sch Y5'!I104+'EV Dep Sch Y6'!I92+'EV Dep Sch Y7'!I80</f>
        <v>65799.207134133438</v>
      </c>
      <c r="J148" s="269">
        <f>'EV Dep Sch Y1'!J148+'EV Dep Sch Y2'!J140+'EV Dep Sch Y3'!J128+'EV Dep Sch Y4'!J116+'EV Dep Sch Y5'!J104+'EV Dep Sch Y6'!J92+'EV Dep Sch Y7'!J80</f>
        <v>-280741.75957502838</v>
      </c>
      <c r="K148" s="269">
        <f>'EV Dep Sch Y1'!K148+'EV Dep Sch Y2'!K140+'EV Dep Sch Y3'!K128+'EV Dep Sch Y4'!K116+'EV Dep Sch Y5'!K104+'EV Dep Sch Y6'!K92+'EV Dep Sch Y7'!K80</f>
        <v>58955.769510755963</v>
      </c>
      <c r="L148" s="269">
        <f>'EV Dep Sch Y1'!L148+'EV Dep Sch Y2'!L140+'EV Dep Sch Y3'!L128+'EV Dep Sch Y4'!L116+'EV Dep Sch Y5'!L104+'EV Dep Sch Y6'!L92+'EV Dep Sch Y7'!L80</f>
        <v>468.19867216377224</v>
      </c>
      <c r="M148" s="270">
        <f t="shared" si="4"/>
        <v>124754.97664488939</v>
      </c>
      <c r="N148" s="97"/>
      <c r="O148" s="271"/>
      <c r="P148" s="271"/>
      <c r="Q148" s="271"/>
      <c r="R148" s="271"/>
      <c r="S148" s="271"/>
      <c r="T148" s="271"/>
    </row>
    <row r="149" spans="1:20" s="230" customFormat="1" ht="15">
      <c r="A149" s="267">
        <f t="shared" si="5"/>
        <v>47542</v>
      </c>
      <c r="B149" s="269">
        <f>'EV Dep Sch Y1'!B149+'EV Dep Sch Y2'!B141+'EV Dep Sch Y3'!B129+'EV Dep Sch Y4'!B117+'EV Dep Sch Y5'!B105+'EV Dep Sch Y6'!B93+'EV Dep Sch Y7'!B81</f>
        <v>8708567.9148199037</v>
      </c>
      <c r="C149" s="269">
        <f>'EV Dep Sch Y1'!C149+'EV Dep Sch Y2'!C141+'EV Dep Sch Y3'!C129+'EV Dep Sch Y4'!C117+'EV Dep Sch Y5'!C105+'EV Dep Sch Y6'!C93+'EV Dep Sch Y7'!C81</f>
        <v>8708567.9148199037</v>
      </c>
      <c r="D149" s="269">
        <f>'EV Dep Sch Y1'!D149+'EV Dep Sch Y2'!D141+'EV Dep Sch Y3'!D129+'EV Dep Sch Y4'!D117+'EV Dep Sch Y5'!D105+'EV Dep Sch Y6'!D93+'EV Dep Sch Y7'!D81</f>
        <v>16851.563516301838</v>
      </c>
      <c r="E149" s="269">
        <f>'EV Dep Sch Y1'!E149+'EV Dep Sch Y2'!E141+'EV Dep Sch Y3'!E129+'EV Dep Sch Y4'!E117+'EV Dep Sch Y5'!E105+'EV Dep Sch Y6'!E93+'EV Dep Sch Y7'!E81</f>
        <v>14622.046029807601</v>
      </c>
      <c r="F149" s="269">
        <f>'EV Dep Sch Y1'!F149+'EV Dep Sch Y2'!F141+'EV Dep Sch Y3'!F129+'EV Dep Sch Y4'!F117+'EV Dep Sch Y5'!F105+'EV Dep Sch Y6'!F93+'EV Dep Sch Y7'!F81</f>
        <v>-8378878.5116270483</v>
      </c>
      <c r="G149" s="269">
        <f>'EV Dep Sch Y1'!G149+'EV Dep Sch Y2'!G141+'EV Dep Sch Y3'!G129+'EV Dep Sch Y4'!G117+'EV Dep Sch Y5'!G105+'EV Dep Sch Y6'!G93+'EV Dep Sch Y7'!G81</f>
        <v>-8657390.7537155785</v>
      </c>
      <c r="H149" s="269">
        <f>'EV Dep Sch Y1'!H149+'EV Dep Sch Y2'!H141+'EV Dep Sch Y3'!H129+'EV Dep Sch Y4'!H117+'EV Dep Sch Y5'!H105+'EV Dep Sch Y6'!H93+'EV Dep Sch Y7'!H81</f>
        <v>329689.40319286002</v>
      </c>
      <c r="I149" s="269">
        <f>'EV Dep Sch Y1'!I149+'EV Dep Sch Y2'!I141+'EV Dep Sch Y3'!I129+'EV Dep Sch Y4'!I117+'EV Dep Sch Y5'!I105+'EV Dep Sch Y6'!I93+'EV Dep Sch Y7'!I81</f>
        <v>51177.161104325787</v>
      </c>
      <c r="J149" s="269">
        <f>'EV Dep Sch Y1'!J149+'EV Dep Sch Y2'!J141+'EV Dep Sch Y3'!J129+'EV Dep Sch Y4'!J117+'EV Dep Sch Y5'!J105+'EV Dep Sch Y6'!J93+'EV Dep Sch Y7'!J81</f>
        <v>-278512.24208853423</v>
      </c>
      <c r="K149" s="269">
        <f>'EV Dep Sch Y1'!K149+'EV Dep Sch Y2'!K141+'EV Dep Sch Y3'!K129+'EV Dep Sch Y4'!K117+'EV Dep Sch Y5'!K105+'EV Dep Sch Y6'!K93+'EV Dep Sch Y7'!K81</f>
        <v>58487.570838592183</v>
      </c>
      <c r="L149" s="269">
        <f>'EV Dep Sch Y1'!L149+'EV Dep Sch Y2'!L141+'EV Dep Sch Y3'!L129+'EV Dep Sch Y4'!L117+'EV Dep Sch Y5'!L105+'EV Dep Sch Y6'!L93+'EV Dep Sch Y7'!L81</f>
        <v>468.19867216377952</v>
      </c>
      <c r="M149" s="270">
        <f t="shared" ref="M149:M186" si="6">I149+K149</f>
        <v>109664.73194291798</v>
      </c>
      <c r="N149" s="97"/>
      <c r="O149" s="271"/>
      <c r="P149" s="271"/>
      <c r="Q149" s="271"/>
      <c r="R149" s="271"/>
      <c r="S149" s="271"/>
      <c r="T149" s="271"/>
    </row>
    <row r="150" spans="1:20" s="230" customFormat="1" ht="15">
      <c r="A150" s="267">
        <f t="shared" ref="A150:A186" si="7">EOMONTH(A149,1)</f>
        <v>47573</v>
      </c>
      <c r="B150" s="269">
        <f>'EV Dep Sch Y1'!B150+'EV Dep Sch Y2'!B142+'EV Dep Sch Y3'!B130+'EV Dep Sch Y4'!B118+'EV Dep Sch Y5'!B106+'EV Dep Sch Y6'!B94+'EV Dep Sch Y7'!B82</f>
        <v>8708567.9148199037</v>
      </c>
      <c r="C150" s="269">
        <f>'EV Dep Sch Y1'!C150+'EV Dep Sch Y2'!C142+'EV Dep Sch Y3'!C130+'EV Dep Sch Y4'!C118+'EV Dep Sch Y5'!C106+'EV Dep Sch Y6'!C94+'EV Dep Sch Y7'!C82</f>
        <v>8708567.9148199037</v>
      </c>
      <c r="D150" s="269">
        <f>'EV Dep Sch Y1'!D150+'EV Dep Sch Y2'!D142+'EV Dep Sch Y3'!D130+'EV Dep Sch Y4'!D118+'EV Dep Sch Y5'!D106+'EV Dep Sch Y6'!D94+'EV Dep Sch Y7'!D82</f>
        <v>16787.605607925649</v>
      </c>
      <c r="E150" s="269">
        <f>'EV Dep Sch Y1'!E150+'EV Dep Sch Y2'!E142+'EV Dep Sch Y3'!E130+'EV Dep Sch Y4'!E118+'EV Dep Sch Y5'!E106+'EV Dep Sch Y6'!E94+'EV Dep Sch Y7'!E82</f>
        <v>14622.046029807601</v>
      </c>
      <c r="F150" s="269">
        <f>'EV Dep Sch Y1'!F150+'EV Dep Sch Y2'!F142+'EV Dep Sch Y3'!F130+'EV Dep Sch Y4'!F118+'EV Dep Sch Y5'!F106+'EV Dep Sch Y6'!F94+'EV Dep Sch Y7'!F82</f>
        <v>-8395666.1172349732</v>
      </c>
      <c r="G150" s="269">
        <f>'EV Dep Sch Y1'!G150+'EV Dep Sch Y2'!G142+'EV Dep Sch Y3'!G130+'EV Dep Sch Y4'!G118+'EV Dep Sch Y5'!G106+'EV Dep Sch Y6'!G94+'EV Dep Sch Y7'!G82</f>
        <v>-8672012.7997453865</v>
      </c>
      <c r="H150" s="269">
        <f>'EV Dep Sch Y1'!H150+'EV Dep Sch Y2'!H142+'EV Dep Sch Y3'!H130+'EV Dep Sch Y4'!H118+'EV Dep Sch Y5'!H106+'EV Dep Sch Y6'!H94+'EV Dep Sch Y7'!H82</f>
        <v>312901.79758493439</v>
      </c>
      <c r="I150" s="269">
        <f>'EV Dep Sch Y1'!I150+'EV Dep Sch Y2'!I142+'EV Dep Sch Y3'!I130+'EV Dep Sch Y4'!I118+'EV Dep Sch Y5'!I106+'EV Dep Sch Y6'!I94+'EV Dep Sch Y7'!I82</f>
        <v>36555.115074518137</v>
      </c>
      <c r="J150" s="269">
        <f>'EV Dep Sch Y1'!J150+'EV Dep Sch Y2'!J142+'EV Dep Sch Y3'!J130+'EV Dep Sch Y4'!J118+'EV Dep Sch Y5'!J106+'EV Dep Sch Y6'!J94+'EV Dep Sch Y7'!J82</f>
        <v>-276346.68251041626</v>
      </c>
      <c r="K150" s="269">
        <f>'EV Dep Sch Y1'!K150+'EV Dep Sch Y2'!K142+'EV Dep Sch Y3'!K130+'EV Dep Sch Y4'!K118+'EV Dep Sch Y5'!K106+'EV Dep Sch Y6'!K94+'EV Dep Sch Y7'!K82</f>
        <v>58032.803327187416</v>
      </c>
      <c r="L150" s="269">
        <f>'EV Dep Sch Y1'!L150+'EV Dep Sch Y2'!L142+'EV Dep Sch Y3'!L130+'EV Dep Sch Y4'!L118+'EV Dep Sch Y5'!L106+'EV Dep Sch Y6'!L94+'EV Dep Sch Y7'!L82</f>
        <v>454.76751140477199</v>
      </c>
      <c r="M150" s="270">
        <f t="shared" si="6"/>
        <v>94587.918401705552</v>
      </c>
      <c r="N150" s="97"/>
      <c r="O150" s="271"/>
      <c r="P150" s="271"/>
      <c r="Q150" s="271"/>
      <c r="R150" s="271"/>
      <c r="S150" s="271"/>
      <c r="T150" s="271"/>
    </row>
    <row r="151" spans="1:20" s="230" customFormat="1" ht="15">
      <c r="A151" s="267">
        <f t="shared" si="7"/>
        <v>47603</v>
      </c>
      <c r="B151" s="269">
        <f>'EV Dep Sch Y1'!B151+'EV Dep Sch Y2'!B143+'EV Dep Sch Y3'!B131+'EV Dep Sch Y4'!B119+'EV Dep Sch Y5'!B107+'EV Dep Sch Y6'!B95+'EV Dep Sch Y7'!B83</f>
        <v>8708567.9148199037</v>
      </c>
      <c r="C151" s="269">
        <f>'EV Dep Sch Y1'!C151+'EV Dep Sch Y2'!C143+'EV Dep Sch Y3'!C131+'EV Dep Sch Y4'!C119+'EV Dep Sch Y5'!C107+'EV Dep Sch Y6'!C95+'EV Dep Sch Y7'!C83</f>
        <v>8708567.9148199037</v>
      </c>
      <c r="D151" s="269">
        <f>'EV Dep Sch Y1'!D151+'EV Dep Sch Y2'!D143+'EV Dep Sch Y3'!D131+'EV Dep Sch Y4'!D119+'EV Dep Sch Y5'!D107+'EV Dep Sch Y6'!D95+'EV Dep Sch Y7'!D83</f>
        <v>16595.156980250405</v>
      </c>
      <c r="E151" s="269">
        <f>'EV Dep Sch Y1'!E151+'EV Dep Sch Y2'!E143+'EV Dep Sch Y3'!E131+'EV Dep Sch Y4'!E119+'EV Dep Sch Y5'!E107+'EV Dep Sch Y6'!E95+'EV Dep Sch Y7'!E83</f>
        <v>14622.046029807601</v>
      </c>
      <c r="F151" s="269">
        <f>'EV Dep Sch Y1'!F151+'EV Dep Sch Y2'!F143+'EV Dep Sch Y3'!F131+'EV Dep Sch Y4'!F119+'EV Dep Sch Y5'!F107+'EV Dep Sch Y6'!F95+'EV Dep Sch Y7'!F83</f>
        <v>-8412261.2742152251</v>
      </c>
      <c r="G151" s="269">
        <f>'EV Dep Sch Y1'!G151+'EV Dep Sch Y2'!G143+'EV Dep Sch Y3'!G131+'EV Dep Sch Y4'!G119+'EV Dep Sch Y5'!G107+'EV Dep Sch Y6'!G95+'EV Dep Sch Y7'!G83</f>
        <v>-8686634.8457751945</v>
      </c>
      <c r="H151" s="269">
        <f>'EV Dep Sch Y1'!H151+'EV Dep Sch Y2'!H143+'EV Dep Sch Y3'!H131+'EV Dep Sch Y4'!H119+'EV Dep Sch Y5'!H107+'EV Dep Sch Y6'!H95+'EV Dep Sch Y7'!H83</f>
        <v>296306.64060468401</v>
      </c>
      <c r="I151" s="269">
        <f>'EV Dep Sch Y1'!I151+'EV Dep Sch Y2'!I143+'EV Dep Sch Y3'!I131+'EV Dep Sch Y4'!I119+'EV Dep Sch Y5'!I107+'EV Dep Sch Y6'!I95+'EV Dep Sch Y7'!I83</f>
        <v>21933.069044710486</v>
      </c>
      <c r="J151" s="269">
        <f>'EV Dep Sch Y1'!J151+'EV Dep Sch Y2'!J143+'EV Dep Sch Y3'!J131+'EV Dep Sch Y4'!J119+'EV Dep Sch Y5'!J107+'EV Dep Sch Y6'!J95+'EV Dep Sch Y7'!J83</f>
        <v>-274373.57155997353</v>
      </c>
      <c r="K151" s="269">
        <f>'EV Dep Sch Y1'!K151+'EV Dep Sch Y2'!K143+'EV Dep Sch Y3'!K131+'EV Dep Sch Y4'!K119+'EV Dep Sch Y5'!K107+'EV Dep Sch Y6'!K95+'EV Dep Sch Y7'!K83</f>
        <v>57618.450027594445</v>
      </c>
      <c r="L151" s="269">
        <f>'EV Dep Sch Y1'!L151+'EV Dep Sch Y2'!L143+'EV Dep Sch Y3'!L131+'EV Dep Sch Y4'!L119+'EV Dep Sch Y5'!L107+'EV Dep Sch Y6'!L95+'EV Dep Sch Y7'!L83</f>
        <v>414.35329959297087</v>
      </c>
      <c r="M151" s="270">
        <f t="shared" si="6"/>
        <v>79551.519072304931</v>
      </c>
      <c r="N151" s="97"/>
      <c r="O151" s="271"/>
      <c r="P151" s="271"/>
      <c r="Q151" s="271"/>
      <c r="R151" s="271"/>
      <c r="S151" s="271"/>
      <c r="T151" s="271"/>
    </row>
    <row r="152" spans="1:20" s="230" customFormat="1" ht="15">
      <c r="A152" s="267">
        <f t="shared" si="7"/>
        <v>47634</v>
      </c>
      <c r="B152" s="269">
        <f>'EV Dep Sch Y1'!B152+'EV Dep Sch Y2'!B144+'EV Dep Sch Y3'!B132+'EV Dep Sch Y4'!B120+'EV Dep Sch Y5'!B108+'EV Dep Sch Y6'!B96+'EV Dep Sch Y7'!B84</f>
        <v>8708567.9148199037</v>
      </c>
      <c r="C152" s="269">
        <f>'EV Dep Sch Y1'!C152+'EV Dep Sch Y2'!C144+'EV Dep Sch Y3'!C132+'EV Dep Sch Y4'!C120+'EV Dep Sch Y5'!C108+'EV Dep Sch Y6'!C96+'EV Dep Sch Y7'!C84</f>
        <v>8708567.9148199037</v>
      </c>
      <c r="D152" s="269">
        <f>'EV Dep Sch Y1'!D152+'EV Dep Sch Y2'!D144+'EV Dep Sch Y3'!D132+'EV Dep Sch Y4'!D120+'EV Dep Sch Y5'!D108+'EV Dep Sch Y6'!D96+'EV Dep Sch Y7'!D84</f>
        <v>16595.156980250405</v>
      </c>
      <c r="E152" s="269">
        <f>'EV Dep Sch Y1'!E152+'EV Dep Sch Y2'!E144+'EV Dep Sch Y3'!E132+'EV Dep Sch Y4'!E120+'EV Dep Sch Y5'!E108+'EV Dep Sch Y6'!E96+'EV Dep Sch Y7'!E84</f>
        <v>14622.046029807601</v>
      </c>
      <c r="F152" s="269">
        <f>'EV Dep Sch Y1'!F152+'EV Dep Sch Y2'!F144+'EV Dep Sch Y3'!F132+'EV Dep Sch Y4'!F120+'EV Dep Sch Y5'!F108+'EV Dep Sch Y6'!F96+'EV Dep Sch Y7'!F84</f>
        <v>-8428856.4311954752</v>
      </c>
      <c r="G152" s="269">
        <f>'EV Dep Sch Y1'!G152+'EV Dep Sch Y2'!G144+'EV Dep Sch Y3'!G132+'EV Dep Sch Y4'!G120+'EV Dep Sch Y5'!G108+'EV Dep Sch Y6'!G96+'EV Dep Sch Y7'!G84</f>
        <v>-8701256.8918050006</v>
      </c>
      <c r="H152" s="269">
        <f>'EV Dep Sch Y1'!H152+'EV Dep Sch Y2'!H144+'EV Dep Sch Y3'!H132+'EV Dep Sch Y4'!H120+'EV Dep Sch Y5'!H108+'EV Dep Sch Y6'!H96+'EV Dep Sch Y7'!H84</f>
        <v>279711.48362443363</v>
      </c>
      <c r="I152" s="269">
        <f>'EV Dep Sch Y1'!I152+'EV Dep Sch Y2'!I144+'EV Dep Sch Y3'!I132+'EV Dep Sch Y4'!I120+'EV Dep Sch Y5'!I108+'EV Dep Sch Y6'!I96+'EV Dep Sch Y7'!I84</f>
        <v>7311.0230149028357</v>
      </c>
      <c r="J152" s="269">
        <f>'EV Dep Sch Y1'!J152+'EV Dep Sch Y2'!J144+'EV Dep Sch Y3'!J132+'EV Dep Sch Y4'!J120+'EV Dep Sch Y5'!J108+'EV Dep Sch Y6'!J96+'EV Dep Sch Y7'!J84</f>
        <v>-272400.4606095308</v>
      </c>
      <c r="K152" s="269">
        <f>'EV Dep Sch Y1'!K152+'EV Dep Sch Y2'!K144+'EV Dep Sch Y3'!K132+'EV Dep Sch Y4'!K120+'EV Dep Sch Y5'!K108+'EV Dep Sch Y6'!K96+'EV Dep Sch Y7'!K84</f>
        <v>57204.096728001467</v>
      </c>
      <c r="L152" s="269">
        <f>'EV Dep Sch Y1'!L152+'EV Dep Sch Y2'!L144+'EV Dep Sch Y3'!L132+'EV Dep Sch Y4'!L120+'EV Dep Sch Y5'!L108+'EV Dep Sch Y6'!L96+'EV Dep Sch Y7'!L84</f>
        <v>414.35329959297405</v>
      </c>
      <c r="M152" s="270">
        <f t="shared" si="6"/>
        <v>64515.119742904302</v>
      </c>
      <c r="N152" s="97"/>
      <c r="O152" s="271"/>
      <c r="P152" s="271"/>
      <c r="Q152" s="271"/>
      <c r="R152" s="271"/>
      <c r="S152" s="271"/>
      <c r="T152" s="271"/>
    </row>
    <row r="153" spans="1:20" s="230" customFormat="1" ht="15">
      <c r="A153" s="267">
        <f t="shared" si="7"/>
        <v>47664</v>
      </c>
      <c r="B153" s="269">
        <f>'EV Dep Sch Y1'!B153+'EV Dep Sch Y2'!B145+'EV Dep Sch Y3'!B133+'EV Dep Sch Y4'!B121+'EV Dep Sch Y5'!B109+'EV Dep Sch Y6'!B97+'EV Dep Sch Y7'!B85</f>
        <v>8708567.9148199037</v>
      </c>
      <c r="C153" s="269">
        <f>'EV Dep Sch Y1'!C153+'EV Dep Sch Y2'!C145+'EV Dep Sch Y3'!C133+'EV Dep Sch Y4'!C121+'EV Dep Sch Y5'!C109+'EV Dep Sch Y6'!C97+'EV Dep Sch Y7'!C85</f>
        <v>8708567.9148199037</v>
      </c>
      <c r="D153" s="269">
        <f>'EV Dep Sch Y1'!D153+'EV Dep Sch Y2'!D145+'EV Dep Sch Y3'!D133+'EV Dep Sch Y4'!D121+'EV Dep Sch Y5'!D109+'EV Dep Sch Y6'!D97+'EV Dep Sch Y7'!D85</f>
        <v>16595.156980250405</v>
      </c>
      <c r="E153" s="269">
        <f>'EV Dep Sch Y1'!E153+'EV Dep Sch Y2'!E145+'EV Dep Sch Y3'!E133+'EV Dep Sch Y4'!E121+'EV Dep Sch Y5'!E109+'EV Dep Sch Y6'!E97+'EV Dep Sch Y7'!E85</f>
        <v>7311.0230149028357</v>
      </c>
      <c r="F153" s="269">
        <f>'EV Dep Sch Y1'!F153+'EV Dep Sch Y2'!F145+'EV Dep Sch Y3'!F133+'EV Dep Sch Y4'!F121+'EV Dep Sch Y5'!F109+'EV Dep Sch Y6'!F97+'EV Dep Sch Y7'!F85</f>
        <v>-8445451.5881757252</v>
      </c>
      <c r="G153" s="269">
        <f>'EV Dep Sch Y1'!G153+'EV Dep Sch Y2'!G145+'EV Dep Sch Y3'!G133+'EV Dep Sch Y4'!G121+'EV Dep Sch Y5'!G109+'EV Dep Sch Y6'!G97+'EV Dep Sch Y7'!G85</f>
        <v>-8708567.9148199037</v>
      </c>
      <c r="H153" s="269">
        <f>'EV Dep Sch Y1'!H153+'EV Dep Sch Y2'!H145+'EV Dep Sch Y3'!H133+'EV Dep Sch Y4'!H121+'EV Dep Sch Y5'!H109+'EV Dep Sch Y6'!H97+'EV Dep Sch Y7'!H85</f>
        <v>263116.32664418337</v>
      </c>
      <c r="I153" s="269">
        <f>'EV Dep Sch Y1'!I153+'EV Dep Sch Y2'!I145+'EV Dep Sch Y3'!I133+'EV Dep Sch Y4'!I121+'EV Dep Sch Y5'!I109+'EV Dep Sch Y6'!I97+'EV Dep Sch Y7'!I85</f>
        <v>0</v>
      </c>
      <c r="J153" s="269">
        <f>'EV Dep Sch Y1'!J153+'EV Dep Sch Y2'!J145+'EV Dep Sch Y3'!J133+'EV Dep Sch Y4'!J121+'EV Dep Sch Y5'!J109+'EV Dep Sch Y6'!J97+'EV Dep Sch Y7'!J85</f>
        <v>-263116.32664418337</v>
      </c>
      <c r="K153" s="269">
        <f>'EV Dep Sch Y1'!K153+'EV Dep Sch Y2'!K145+'EV Dep Sch Y3'!K133+'EV Dep Sch Y4'!K121+'EV Dep Sch Y5'!K109+'EV Dep Sch Y6'!K97+'EV Dep Sch Y7'!K85</f>
        <v>55254.428595278499</v>
      </c>
      <c r="L153" s="269">
        <f>'EV Dep Sch Y1'!L153+'EV Dep Sch Y2'!L145+'EV Dep Sch Y3'!L133+'EV Dep Sch Y4'!L121+'EV Dep Sch Y5'!L109+'EV Dep Sch Y6'!L97+'EV Dep Sch Y7'!L85</f>
        <v>1949.6681327229635</v>
      </c>
      <c r="M153" s="270">
        <f t="shared" si="6"/>
        <v>55254.428595278499</v>
      </c>
      <c r="N153" s="97"/>
      <c r="O153" s="271"/>
      <c r="P153" s="271"/>
      <c r="Q153" s="271"/>
      <c r="R153" s="271"/>
      <c r="S153" s="271"/>
      <c r="T153" s="271"/>
    </row>
    <row r="154" spans="1:20" s="230" customFormat="1" ht="15">
      <c r="A154" s="267">
        <f t="shared" si="7"/>
        <v>47695</v>
      </c>
      <c r="B154" s="269">
        <f>'EV Dep Sch Y1'!B154+'EV Dep Sch Y2'!B146+'EV Dep Sch Y3'!B134+'EV Dep Sch Y4'!B122+'EV Dep Sch Y5'!B110+'EV Dep Sch Y6'!B98+'EV Dep Sch Y7'!B86</f>
        <v>8708567.9148199037</v>
      </c>
      <c r="C154" s="269">
        <f>'EV Dep Sch Y1'!C154+'EV Dep Sch Y2'!C146+'EV Dep Sch Y3'!C134+'EV Dep Sch Y4'!C122+'EV Dep Sch Y5'!C110+'EV Dep Sch Y6'!C98+'EV Dep Sch Y7'!C86</f>
        <v>8708567.9148199037</v>
      </c>
      <c r="D154" s="269">
        <f>'EV Dep Sch Y1'!D154+'EV Dep Sch Y2'!D146+'EV Dep Sch Y3'!D134+'EV Dep Sch Y4'!D122+'EV Dep Sch Y5'!D110+'EV Dep Sch Y6'!D98+'EV Dep Sch Y7'!D86</f>
        <v>16595.156980250405</v>
      </c>
      <c r="E154" s="269">
        <f>'EV Dep Sch Y1'!E154+'EV Dep Sch Y2'!E146+'EV Dep Sch Y3'!E134+'EV Dep Sch Y4'!E122+'EV Dep Sch Y5'!E110+'EV Dep Sch Y6'!E98+'EV Dep Sch Y7'!E86</f>
        <v>0</v>
      </c>
      <c r="F154" s="269">
        <f>'EV Dep Sch Y1'!F154+'EV Dep Sch Y2'!F146+'EV Dep Sch Y3'!F134+'EV Dep Sch Y4'!F122+'EV Dep Sch Y5'!F110+'EV Dep Sch Y6'!F98+'EV Dep Sch Y7'!F86</f>
        <v>-8462046.7451559752</v>
      </c>
      <c r="G154" s="269">
        <f>'EV Dep Sch Y1'!G154+'EV Dep Sch Y2'!G146+'EV Dep Sch Y3'!G134+'EV Dep Sch Y4'!G122+'EV Dep Sch Y5'!G110+'EV Dep Sch Y6'!G98+'EV Dep Sch Y7'!G86</f>
        <v>-8708567.9148199037</v>
      </c>
      <c r="H154" s="269">
        <f>'EV Dep Sch Y1'!H154+'EV Dep Sch Y2'!H146+'EV Dep Sch Y3'!H134+'EV Dep Sch Y4'!H122+'EV Dep Sch Y5'!H110+'EV Dep Sch Y6'!H98+'EV Dep Sch Y7'!H86</f>
        <v>246521.16966393311</v>
      </c>
      <c r="I154" s="269">
        <f>'EV Dep Sch Y1'!I154+'EV Dep Sch Y2'!I146+'EV Dep Sch Y3'!I134+'EV Dep Sch Y4'!I122+'EV Dep Sch Y5'!I110+'EV Dep Sch Y6'!I98+'EV Dep Sch Y7'!I86</f>
        <v>0</v>
      </c>
      <c r="J154" s="269">
        <f>'EV Dep Sch Y1'!J154+'EV Dep Sch Y2'!J146+'EV Dep Sch Y3'!J134+'EV Dep Sch Y4'!J122+'EV Dep Sch Y5'!J110+'EV Dep Sch Y6'!J98+'EV Dep Sch Y7'!J86</f>
        <v>-246521.16966393311</v>
      </c>
      <c r="K154" s="269">
        <f>'EV Dep Sch Y1'!K154+'EV Dep Sch Y2'!K146+'EV Dep Sch Y3'!K134+'EV Dep Sch Y4'!K122+'EV Dep Sch Y5'!K110+'EV Dep Sch Y6'!K98+'EV Dep Sch Y7'!K86</f>
        <v>51769.445629425951</v>
      </c>
      <c r="L154" s="269">
        <f>'EV Dep Sch Y1'!L154+'EV Dep Sch Y2'!L146+'EV Dep Sch Y3'!L134+'EV Dep Sch Y4'!L122+'EV Dep Sch Y5'!L110+'EV Dep Sch Y6'!L98+'EV Dep Sch Y7'!L86</f>
        <v>3484.9829658525523</v>
      </c>
      <c r="M154" s="270">
        <f t="shared" si="6"/>
        <v>51769.445629425951</v>
      </c>
      <c r="N154" s="97"/>
      <c r="O154" s="271"/>
      <c r="P154" s="271"/>
      <c r="Q154" s="271"/>
      <c r="R154" s="271"/>
      <c r="S154" s="271"/>
      <c r="T154" s="271"/>
    </row>
    <row r="155" spans="1:20" s="230" customFormat="1" ht="15">
      <c r="A155" s="267">
        <f t="shared" si="7"/>
        <v>47726</v>
      </c>
      <c r="B155" s="269">
        <f>'EV Dep Sch Y1'!B155+'EV Dep Sch Y2'!B147+'EV Dep Sch Y3'!B135+'EV Dep Sch Y4'!B123+'EV Dep Sch Y5'!B111+'EV Dep Sch Y6'!B99+'EV Dep Sch Y7'!B87</f>
        <v>8708567.9148199037</v>
      </c>
      <c r="C155" s="269">
        <f>'EV Dep Sch Y1'!C155+'EV Dep Sch Y2'!C147+'EV Dep Sch Y3'!C135+'EV Dep Sch Y4'!C123+'EV Dep Sch Y5'!C111+'EV Dep Sch Y6'!C99+'EV Dep Sch Y7'!C87</f>
        <v>8708567.9148199037</v>
      </c>
      <c r="D155" s="269">
        <f>'EV Dep Sch Y1'!D155+'EV Dep Sch Y2'!D147+'EV Dep Sch Y3'!D135+'EV Dep Sch Y4'!D123+'EV Dep Sch Y5'!D111+'EV Dep Sch Y6'!D99+'EV Dep Sch Y7'!D87</f>
        <v>16595.156980250405</v>
      </c>
      <c r="E155" s="269">
        <f>'EV Dep Sch Y1'!E155+'EV Dep Sch Y2'!E147+'EV Dep Sch Y3'!E135+'EV Dep Sch Y4'!E123+'EV Dep Sch Y5'!E111+'EV Dep Sch Y6'!E99+'EV Dep Sch Y7'!E87</f>
        <v>0</v>
      </c>
      <c r="F155" s="269">
        <f>'EV Dep Sch Y1'!F155+'EV Dep Sch Y2'!F147+'EV Dep Sch Y3'!F135+'EV Dep Sch Y4'!F123+'EV Dep Sch Y5'!F111+'EV Dep Sch Y6'!F99+'EV Dep Sch Y7'!F87</f>
        <v>-8478641.9021362253</v>
      </c>
      <c r="G155" s="269">
        <f>'EV Dep Sch Y1'!G155+'EV Dep Sch Y2'!G147+'EV Dep Sch Y3'!G135+'EV Dep Sch Y4'!G123+'EV Dep Sch Y5'!G111+'EV Dep Sch Y6'!G99+'EV Dep Sch Y7'!G87</f>
        <v>-8708567.9148199037</v>
      </c>
      <c r="H155" s="269">
        <f>'EV Dep Sch Y1'!H155+'EV Dep Sch Y2'!H147+'EV Dep Sch Y3'!H135+'EV Dep Sch Y4'!H123+'EV Dep Sch Y5'!H111+'EV Dep Sch Y6'!H99+'EV Dep Sch Y7'!H87</f>
        <v>229926.01268368284</v>
      </c>
      <c r="I155" s="269">
        <f>'EV Dep Sch Y1'!I155+'EV Dep Sch Y2'!I147+'EV Dep Sch Y3'!I135+'EV Dep Sch Y4'!I123+'EV Dep Sch Y5'!I111+'EV Dep Sch Y6'!I99+'EV Dep Sch Y7'!I87</f>
        <v>0</v>
      </c>
      <c r="J155" s="269">
        <f>'EV Dep Sch Y1'!J155+'EV Dep Sch Y2'!J147+'EV Dep Sch Y3'!J135+'EV Dep Sch Y4'!J123+'EV Dep Sch Y5'!J111+'EV Dep Sch Y6'!J99+'EV Dep Sch Y7'!J87</f>
        <v>-229926.01268368284</v>
      </c>
      <c r="K155" s="269">
        <f>'EV Dep Sch Y1'!K155+'EV Dep Sch Y2'!K147+'EV Dep Sch Y3'!K135+'EV Dep Sch Y4'!K123+'EV Dep Sch Y5'!K111+'EV Dep Sch Y6'!K99+'EV Dep Sch Y7'!K87</f>
        <v>48284.462663573395</v>
      </c>
      <c r="L155" s="269">
        <f>'EV Dep Sch Y1'!L155+'EV Dep Sch Y2'!L147+'EV Dep Sch Y3'!L135+'EV Dep Sch Y4'!L123+'EV Dep Sch Y5'!L111+'EV Dep Sch Y6'!L99+'EV Dep Sch Y7'!L87</f>
        <v>3484.9829658525555</v>
      </c>
      <c r="M155" s="270">
        <f t="shared" si="6"/>
        <v>48284.462663573395</v>
      </c>
      <c r="N155" s="97"/>
      <c r="O155" s="271"/>
      <c r="P155" s="271"/>
      <c r="Q155" s="271"/>
      <c r="R155" s="271"/>
      <c r="S155" s="271"/>
      <c r="T155" s="271"/>
    </row>
    <row r="156" spans="1:20" s="230" customFormat="1" ht="15">
      <c r="A156" s="267">
        <f t="shared" si="7"/>
        <v>47756</v>
      </c>
      <c r="B156" s="269">
        <f>'EV Dep Sch Y1'!B156+'EV Dep Sch Y2'!B148+'EV Dep Sch Y3'!B136+'EV Dep Sch Y4'!B124+'EV Dep Sch Y5'!B112+'EV Dep Sch Y6'!B100+'EV Dep Sch Y7'!B88</f>
        <v>8708567.9148199037</v>
      </c>
      <c r="C156" s="269">
        <f>'EV Dep Sch Y1'!C156+'EV Dep Sch Y2'!C148+'EV Dep Sch Y3'!C136+'EV Dep Sch Y4'!C124+'EV Dep Sch Y5'!C112+'EV Dep Sch Y6'!C100+'EV Dep Sch Y7'!C88</f>
        <v>8708567.9148199037</v>
      </c>
      <c r="D156" s="269">
        <f>'EV Dep Sch Y1'!D156+'EV Dep Sch Y2'!D148+'EV Dep Sch Y3'!D136+'EV Dep Sch Y4'!D124+'EV Dep Sch Y5'!D112+'EV Dep Sch Y6'!D100+'EV Dep Sch Y7'!D88</f>
        <v>12306.222432107879</v>
      </c>
      <c r="E156" s="269">
        <f>'EV Dep Sch Y1'!E156+'EV Dep Sch Y2'!E148+'EV Dep Sch Y3'!E136+'EV Dep Sch Y4'!E124+'EV Dep Sch Y5'!E112+'EV Dep Sch Y6'!E100+'EV Dep Sch Y7'!E88</f>
        <v>0</v>
      </c>
      <c r="F156" s="269">
        <f>'EV Dep Sch Y1'!F156+'EV Dep Sch Y2'!F148+'EV Dep Sch Y3'!F136+'EV Dep Sch Y4'!F124+'EV Dep Sch Y5'!F112+'EV Dep Sch Y6'!F100+'EV Dep Sch Y7'!F88</f>
        <v>-8490948.1245683338</v>
      </c>
      <c r="G156" s="269">
        <f>'EV Dep Sch Y1'!G156+'EV Dep Sch Y2'!G148+'EV Dep Sch Y3'!G136+'EV Dep Sch Y4'!G124+'EV Dep Sch Y5'!G112+'EV Dep Sch Y6'!G100+'EV Dep Sch Y7'!G88</f>
        <v>-8708567.9148199037</v>
      </c>
      <c r="H156" s="269">
        <f>'EV Dep Sch Y1'!H156+'EV Dep Sch Y2'!H148+'EV Dep Sch Y3'!H136+'EV Dep Sch Y4'!H124+'EV Dep Sch Y5'!H112+'EV Dep Sch Y6'!H100+'EV Dep Sch Y7'!H88</f>
        <v>217619.79025157506</v>
      </c>
      <c r="I156" s="269">
        <f>'EV Dep Sch Y1'!I156+'EV Dep Sch Y2'!I148+'EV Dep Sch Y3'!I136+'EV Dep Sch Y4'!I124+'EV Dep Sch Y5'!I112+'EV Dep Sch Y6'!I100+'EV Dep Sch Y7'!I88</f>
        <v>0</v>
      </c>
      <c r="J156" s="269">
        <f>'EV Dep Sch Y1'!J156+'EV Dep Sch Y2'!J148+'EV Dep Sch Y3'!J136+'EV Dep Sch Y4'!J124+'EV Dep Sch Y5'!J112+'EV Dep Sch Y6'!J100+'EV Dep Sch Y7'!J88</f>
        <v>-217619.79025157506</v>
      </c>
      <c r="K156" s="269">
        <f>'EV Dep Sch Y1'!K156+'EV Dep Sch Y2'!K148+'EV Dep Sch Y3'!K136+'EV Dep Sch Y4'!K124+'EV Dep Sch Y5'!K112+'EV Dep Sch Y6'!K100+'EV Dep Sch Y7'!K88</f>
        <v>45700.155952830763</v>
      </c>
      <c r="L156" s="269">
        <f>'EV Dep Sch Y1'!L156+'EV Dep Sch Y2'!L148+'EV Dep Sch Y3'!L136+'EV Dep Sch Y4'!L124+'EV Dep Sch Y5'!L112+'EV Dep Sch Y6'!L100+'EV Dep Sch Y7'!L88</f>
        <v>2584.3067107426323</v>
      </c>
      <c r="M156" s="270">
        <f t="shared" si="6"/>
        <v>45700.155952830763</v>
      </c>
      <c r="N156" s="97"/>
      <c r="O156" s="271"/>
      <c r="P156" s="271"/>
      <c r="Q156" s="271"/>
      <c r="R156" s="271"/>
      <c r="S156" s="271"/>
      <c r="T156" s="271"/>
    </row>
    <row r="157" spans="1:20" s="230" customFormat="1" ht="15">
      <c r="A157" s="267">
        <f t="shared" si="7"/>
        <v>47787</v>
      </c>
      <c r="B157" s="269">
        <f>'EV Dep Sch Y1'!B157+'EV Dep Sch Y2'!B149+'EV Dep Sch Y3'!B137+'EV Dep Sch Y4'!B125+'EV Dep Sch Y5'!B113+'EV Dep Sch Y6'!B101+'EV Dep Sch Y7'!B89</f>
        <v>8708567.9148199037</v>
      </c>
      <c r="C157" s="269">
        <f>'EV Dep Sch Y1'!C157+'EV Dep Sch Y2'!C149+'EV Dep Sch Y3'!C137+'EV Dep Sch Y4'!C125+'EV Dep Sch Y5'!C113+'EV Dep Sch Y6'!C101+'EV Dep Sch Y7'!C89</f>
        <v>8708567.9148199037</v>
      </c>
      <c r="D157" s="269">
        <f>'EV Dep Sch Y1'!D157+'EV Dep Sch Y2'!D149+'EV Dep Sch Y3'!D137+'EV Dep Sch Y4'!D125+'EV Dep Sch Y5'!D113+'EV Dep Sch Y6'!D101+'EV Dep Sch Y7'!D89</f>
        <v>12306.222432107879</v>
      </c>
      <c r="E157" s="269">
        <f>'EV Dep Sch Y1'!E157+'EV Dep Sch Y2'!E149+'EV Dep Sch Y3'!E137+'EV Dep Sch Y4'!E125+'EV Dep Sch Y5'!E113+'EV Dep Sch Y6'!E101+'EV Dep Sch Y7'!E89</f>
        <v>0</v>
      </c>
      <c r="F157" s="269">
        <f>'EV Dep Sch Y1'!F157+'EV Dep Sch Y2'!F149+'EV Dep Sch Y3'!F137+'EV Dep Sch Y4'!F125+'EV Dep Sch Y5'!F113+'EV Dep Sch Y6'!F101+'EV Dep Sch Y7'!F89</f>
        <v>-8503254.3470004406</v>
      </c>
      <c r="G157" s="269">
        <f>'EV Dep Sch Y1'!G157+'EV Dep Sch Y2'!G149+'EV Dep Sch Y3'!G137+'EV Dep Sch Y4'!G125+'EV Dep Sch Y5'!G113+'EV Dep Sch Y6'!G101+'EV Dep Sch Y7'!G89</f>
        <v>-8708567.9148199037</v>
      </c>
      <c r="H157" s="269">
        <f>'EV Dep Sch Y1'!H157+'EV Dep Sch Y2'!H149+'EV Dep Sch Y3'!H137+'EV Dep Sch Y4'!H125+'EV Dep Sch Y5'!H113+'EV Dep Sch Y6'!H101+'EV Dep Sch Y7'!H89</f>
        <v>205313.56781946728</v>
      </c>
      <c r="I157" s="269">
        <f>'EV Dep Sch Y1'!I157+'EV Dep Sch Y2'!I149+'EV Dep Sch Y3'!I137+'EV Dep Sch Y4'!I125+'EV Dep Sch Y5'!I113+'EV Dep Sch Y6'!I101+'EV Dep Sch Y7'!I89</f>
        <v>0</v>
      </c>
      <c r="J157" s="269">
        <f>'EV Dep Sch Y1'!J157+'EV Dep Sch Y2'!J149+'EV Dep Sch Y3'!J137+'EV Dep Sch Y4'!J125+'EV Dep Sch Y5'!J113+'EV Dep Sch Y6'!J101+'EV Dep Sch Y7'!J89</f>
        <v>-205313.56781946728</v>
      </c>
      <c r="K157" s="269">
        <f>'EV Dep Sch Y1'!K157+'EV Dep Sch Y2'!K149+'EV Dep Sch Y3'!K137+'EV Dep Sch Y4'!K125+'EV Dep Sch Y5'!K113+'EV Dep Sch Y6'!K101+'EV Dep Sch Y7'!K89</f>
        <v>43115.849242088123</v>
      </c>
      <c r="L157" s="269">
        <f>'EV Dep Sch Y1'!L157+'EV Dep Sch Y2'!L149+'EV Dep Sch Y3'!L137+'EV Dep Sch Y4'!L125+'EV Dep Sch Y5'!L113+'EV Dep Sch Y6'!L101+'EV Dep Sch Y7'!L89</f>
        <v>2584.3067107426359</v>
      </c>
      <c r="M157" s="270">
        <f t="shared" si="6"/>
        <v>43115.849242088123</v>
      </c>
      <c r="N157" s="97"/>
      <c r="O157" s="271"/>
      <c r="P157" s="271"/>
      <c r="Q157" s="271"/>
      <c r="R157" s="271"/>
      <c r="S157" s="271"/>
      <c r="T157" s="271"/>
    </row>
    <row r="158" spans="1:20" s="230" customFormat="1" ht="15">
      <c r="A158" s="267">
        <f t="shared" si="7"/>
        <v>47817</v>
      </c>
      <c r="B158" s="269">
        <f>'EV Dep Sch Y1'!B158+'EV Dep Sch Y2'!B150+'EV Dep Sch Y3'!B138+'EV Dep Sch Y4'!B126+'EV Dep Sch Y5'!B114+'EV Dep Sch Y6'!B102+'EV Dep Sch Y7'!B90</f>
        <v>8708567.9148199037</v>
      </c>
      <c r="C158" s="269">
        <f>'EV Dep Sch Y1'!C158+'EV Dep Sch Y2'!C150+'EV Dep Sch Y3'!C138+'EV Dep Sch Y4'!C126+'EV Dep Sch Y5'!C114+'EV Dep Sch Y6'!C102+'EV Dep Sch Y7'!C90</f>
        <v>8708567.9148199037</v>
      </c>
      <c r="D158" s="269">
        <f>'EV Dep Sch Y1'!D158+'EV Dep Sch Y2'!D150+'EV Dep Sch Y3'!D138+'EV Dep Sch Y4'!D126+'EV Dep Sch Y5'!D114+'EV Dep Sch Y6'!D102+'EV Dep Sch Y7'!D90</f>
        <v>12306.222432107879</v>
      </c>
      <c r="E158" s="269">
        <f>'EV Dep Sch Y1'!E158+'EV Dep Sch Y2'!E150+'EV Dep Sch Y3'!E138+'EV Dep Sch Y4'!E126+'EV Dep Sch Y5'!E114+'EV Dep Sch Y6'!E102+'EV Dep Sch Y7'!E90</f>
        <v>0</v>
      </c>
      <c r="F158" s="269">
        <f>'EV Dep Sch Y1'!F158+'EV Dep Sch Y2'!F150+'EV Dep Sch Y3'!F138+'EV Dep Sch Y4'!F126+'EV Dep Sch Y5'!F114+'EV Dep Sch Y6'!F102+'EV Dep Sch Y7'!F90</f>
        <v>-8515560.5694325473</v>
      </c>
      <c r="G158" s="269">
        <f>'EV Dep Sch Y1'!G158+'EV Dep Sch Y2'!G150+'EV Dep Sch Y3'!G138+'EV Dep Sch Y4'!G126+'EV Dep Sch Y5'!G114+'EV Dep Sch Y6'!G102+'EV Dep Sch Y7'!G90</f>
        <v>-8708567.9148199037</v>
      </c>
      <c r="H158" s="269">
        <f>'EV Dep Sch Y1'!H158+'EV Dep Sch Y2'!H150+'EV Dep Sch Y3'!H138+'EV Dep Sch Y4'!H126+'EV Dep Sch Y5'!H114+'EV Dep Sch Y6'!H102+'EV Dep Sch Y7'!H90</f>
        <v>193007.3453873595</v>
      </c>
      <c r="I158" s="269">
        <f>'EV Dep Sch Y1'!I158+'EV Dep Sch Y2'!I150+'EV Dep Sch Y3'!I138+'EV Dep Sch Y4'!I126+'EV Dep Sch Y5'!I114+'EV Dep Sch Y6'!I102+'EV Dep Sch Y7'!I90</f>
        <v>0</v>
      </c>
      <c r="J158" s="269">
        <f>'EV Dep Sch Y1'!J158+'EV Dep Sch Y2'!J150+'EV Dep Sch Y3'!J138+'EV Dep Sch Y4'!J126+'EV Dep Sch Y5'!J114+'EV Dep Sch Y6'!J102+'EV Dep Sch Y7'!J90</f>
        <v>-193007.3453873595</v>
      </c>
      <c r="K158" s="269">
        <f>'EV Dep Sch Y1'!K158+'EV Dep Sch Y2'!K150+'EV Dep Sch Y3'!K138+'EV Dep Sch Y4'!K126+'EV Dep Sch Y5'!K114+'EV Dep Sch Y6'!K102+'EV Dep Sch Y7'!K90</f>
        <v>40531.542531345491</v>
      </c>
      <c r="L158" s="269">
        <f>'EV Dep Sch Y1'!L158+'EV Dep Sch Y2'!L150+'EV Dep Sch Y3'!L138+'EV Dep Sch Y4'!L126+'EV Dep Sch Y5'!L114+'EV Dep Sch Y6'!L102+'EV Dep Sch Y7'!L90</f>
        <v>2584.3067107426323</v>
      </c>
      <c r="M158" s="270">
        <f t="shared" si="6"/>
        <v>40531.542531345491</v>
      </c>
      <c r="N158" s="97"/>
      <c r="O158" s="271"/>
      <c r="P158" s="271"/>
      <c r="Q158" s="271"/>
      <c r="R158" s="271"/>
      <c r="S158" s="271"/>
      <c r="T158" s="271"/>
    </row>
    <row r="159" spans="1:20" s="230" customFormat="1" ht="15">
      <c r="A159" s="267">
        <f t="shared" si="7"/>
        <v>47848</v>
      </c>
      <c r="B159" s="269">
        <f>'EV Dep Sch Y1'!B159+'EV Dep Sch Y2'!B151+'EV Dep Sch Y3'!B139+'EV Dep Sch Y4'!B127+'EV Dep Sch Y5'!B115+'EV Dep Sch Y6'!B103+'EV Dep Sch Y7'!B91</f>
        <v>8708567.9148199037</v>
      </c>
      <c r="C159" s="269">
        <f>'EV Dep Sch Y1'!C159+'EV Dep Sch Y2'!C151+'EV Dep Sch Y3'!C139+'EV Dep Sch Y4'!C127+'EV Dep Sch Y5'!C115+'EV Dep Sch Y6'!C103+'EV Dep Sch Y7'!C91</f>
        <v>8708567.9148199037</v>
      </c>
      <c r="D159" s="269">
        <f>'EV Dep Sch Y1'!D159+'EV Dep Sch Y2'!D151+'EV Dep Sch Y3'!D139+'EV Dep Sch Y4'!D127+'EV Dep Sch Y5'!D115+'EV Dep Sch Y6'!D103+'EV Dep Sch Y7'!D91</f>
        <v>12306.222432107879</v>
      </c>
      <c r="E159" s="269">
        <f>'EV Dep Sch Y1'!E159+'EV Dep Sch Y2'!E151+'EV Dep Sch Y3'!E139+'EV Dep Sch Y4'!E127+'EV Dep Sch Y5'!E115+'EV Dep Sch Y6'!E103+'EV Dep Sch Y7'!E91</f>
        <v>0</v>
      </c>
      <c r="F159" s="269">
        <f>'EV Dep Sch Y1'!F159+'EV Dep Sch Y2'!F151+'EV Dep Sch Y3'!F139+'EV Dep Sch Y4'!F127+'EV Dep Sch Y5'!F115+'EV Dep Sch Y6'!F103+'EV Dep Sch Y7'!F91</f>
        <v>-8527866.7918646578</v>
      </c>
      <c r="G159" s="269">
        <f>'EV Dep Sch Y1'!G159+'EV Dep Sch Y2'!G151+'EV Dep Sch Y3'!G139+'EV Dep Sch Y4'!G127+'EV Dep Sch Y5'!G115+'EV Dep Sch Y6'!G103+'EV Dep Sch Y7'!G91</f>
        <v>-8708567.9148199037</v>
      </c>
      <c r="H159" s="269">
        <f>'EV Dep Sch Y1'!H159+'EV Dep Sch Y2'!H151+'EV Dep Sch Y3'!H139+'EV Dep Sch Y4'!H127+'EV Dep Sch Y5'!H115+'EV Dep Sch Y6'!H103+'EV Dep Sch Y7'!H91</f>
        <v>180701.12295525172</v>
      </c>
      <c r="I159" s="269">
        <f>'EV Dep Sch Y1'!I159+'EV Dep Sch Y2'!I151+'EV Dep Sch Y3'!I139+'EV Dep Sch Y4'!I127+'EV Dep Sch Y5'!I115+'EV Dep Sch Y6'!I103+'EV Dep Sch Y7'!I91</f>
        <v>0</v>
      </c>
      <c r="J159" s="269">
        <f>'EV Dep Sch Y1'!J159+'EV Dep Sch Y2'!J151+'EV Dep Sch Y3'!J139+'EV Dep Sch Y4'!J127+'EV Dep Sch Y5'!J115+'EV Dep Sch Y6'!J103+'EV Dep Sch Y7'!J91</f>
        <v>-180701.12295525172</v>
      </c>
      <c r="K159" s="269">
        <f>'EV Dep Sch Y1'!K159+'EV Dep Sch Y2'!K151+'EV Dep Sch Y3'!K139+'EV Dep Sch Y4'!K127+'EV Dep Sch Y5'!K115+'EV Dep Sch Y6'!K103+'EV Dep Sch Y7'!K91</f>
        <v>37947.235820602858</v>
      </c>
      <c r="L159" s="269">
        <f>'EV Dep Sch Y1'!L159+'EV Dep Sch Y2'!L151+'EV Dep Sch Y3'!L139+'EV Dep Sch Y4'!L127+'EV Dep Sch Y5'!L115+'EV Dep Sch Y6'!L103+'EV Dep Sch Y7'!L91</f>
        <v>2584.3067107426377</v>
      </c>
      <c r="M159" s="270">
        <f t="shared" si="6"/>
        <v>37947.235820602858</v>
      </c>
      <c r="N159" s="97"/>
      <c r="O159" s="271"/>
      <c r="P159" s="271"/>
      <c r="Q159" s="271"/>
      <c r="R159" s="271"/>
      <c r="S159" s="271"/>
      <c r="T159" s="271"/>
    </row>
    <row r="160" spans="1:20" s="230" customFormat="1" ht="15">
      <c r="A160" s="267">
        <f t="shared" si="7"/>
        <v>47879</v>
      </c>
      <c r="B160" s="269">
        <f>'EV Dep Sch Y1'!B160+'EV Dep Sch Y2'!B152+'EV Dep Sch Y3'!B140+'EV Dep Sch Y4'!B128+'EV Dep Sch Y5'!B116+'EV Dep Sch Y6'!B104+'EV Dep Sch Y7'!B92</f>
        <v>8708567.9148199037</v>
      </c>
      <c r="C160" s="269">
        <f>'EV Dep Sch Y1'!C160+'EV Dep Sch Y2'!C152+'EV Dep Sch Y3'!C140+'EV Dep Sch Y4'!C128+'EV Dep Sch Y5'!C116+'EV Dep Sch Y6'!C104+'EV Dep Sch Y7'!C92</f>
        <v>8708567.9148199037</v>
      </c>
      <c r="D160" s="269">
        <f>'EV Dep Sch Y1'!D160+'EV Dep Sch Y2'!D152+'EV Dep Sch Y3'!D140+'EV Dep Sch Y4'!D128+'EV Dep Sch Y5'!D116+'EV Dep Sch Y6'!D104+'EV Dep Sch Y7'!D92</f>
        <v>12306.222432107879</v>
      </c>
      <c r="E160" s="269">
        <f>'EV Dep Sch Y1'!E160+'EV Dep Sch Y2'!E152+'EV Dep Sch Y3'!E140+'EV Dep Sch Y4'!E128+'EV Dep Sch Y5'!E116+'EV Dep Sch Y6'!E104+'EV Dep Sch Y7'!E92</f>
        <v>0</v>
      </c>
      <c r="F160" s="269">
        <f>'EV Dep Sch Y1'!F160+'EV Dep Sch Y2'!F152+'EV Dep Sch Y3'!F140+'EV Dep Sch Y4'!F128+'EV Dep Sch Y5'!F116+'EV Dep Sch Y6'!F104+'EV Dep Sch Y7'!F92</f>
        <v>-8540173.0142967645</v>
      </c>
      <c r="G160" s="269">
        <f>'EV Dep Sch Y1'!G160+'EV Dep Sch Y2'!G152+'EV Dep Sch Y3'!G140+'EV Dep Sch Y4'!G128+'EV Dep Sch Y5'!G116+'EV Dep Sch Y6'!G104+'EV Dep Sch Y7'!G92</f>
        <v>-8708567.9148199037</v>
      </c>
      <c r="H160" s="269">
        <f>'EV Dep Sch Y1'!H160+'EV Dep Sch Y2'!H152+'EV Dep Sch Y3'!H140+'EV Dep Sch Y4'!H128+'EV Dep Sch Y5'!H116+'EV Dep Sch Y6'!H104+'EV Dep Sch Y7'!H92</f>
        <v>168394.90052314394</v>
      </c>
      <c r="I160" s="269">
        <f>'EV Dep Sch Y1'!I160+'EV Dep Sch Y2'!I152+'EV Dep Sch Y3'!I140+'EV Dep Sch Y4'!I128+'EV Dep Sch Y5'!I116+'EV Dep Sch Y6'!I104+'EV Dep Sch Y7'!I92</f>
        <v>0</v>
      </c>
      <c r="J160" s="269">
        <f>'EV Dep Sch Y1'!J160+'EV Dep Sch Y2'!J152+'EV Dep Sch Y3'!J140+'EV Dep Sch Y4'!J128+'EV Dep Sch Y5'!J116+'EV Dep Sch Y6'!J104+'EV Dep Sch Y7'!J92</f>
        <v>-168394.90052314394</v>
      </c>
      <c r="K160" s="269">
        <f>'EV Dep Sch Y1'!K160+'EV Dep Sch Y2'!K152+'EV Dep Sch Y3'!K140+'EV Dep Sch Y4'!K128+'EV Dep Sch Y5'!K116+'EV Dep Sch Y6'!K104+'EV Dep Sch Y7'!K92</f>
        <v>35362.929109860226</v>
      </c>
      <c r="L160" s="269">
        <f>'EV Dep Sch Y1'!L160+'EV Dep Sch Y2'!L152+'EV Dep Sch Y3'!L140+'EV Dep Sch Y4'!L128+'EV Dep Sch Y5'!L116+'EV Dep Sch Y6'!L104+'EV Dep Sch Y7'!L92</f>
        <v>2584.3067107426323</v>
      </c>
      <c r="M160" s="270">
        <f t="shared" si="6"/>
        <v>35362.929109860226</v>
      </c>
      <c r="N160" s="97"/>
      <c r="O160" s="271"/>
      <c r="P160" s="271"/>
      <c r="Q160" s="271"/>
      <c r="R160" s="271"/>
      <c r="S160" s="271"/>
      <c r="T160" s="271"/>
    </row>
    <row r="161" spans="1:20" s="230" customFormat="1" ht="15">
      <c r="A161" s="267">
        <f t="shared" si="7"/>
        <v>47907</v>
      </c>
      <c r="B161" s="269">
        <f>'EV Dep Sch Y1'!B161+'EV Dep Sch Y2'!B153+'EV Dep Sch Y3'!B141+'EV Dep Sch Y4'!B129+'EV Dep Sch Y5'!B117+'EV Dep Sch Y6'!B105+'EV Dep Sch Y7'!B93</f>
        <v>8708567.9148199037</v>
      </c>
      <c r="C161" s="269">
        <f>'EV Dep Sch Y1'!C161+'EV Dep Sch Y2'!C153+'EV Dep Sch Y3'!C141+'EV Dep Sch Y4'!C129+'EV Dep Sch Y5'!C117+'EV Dep Sch Y6'!C105+'EV Dep Sch Y7'!C93</f>
        <v>8708567.9148199037</v>
      </c>
      <c r="D161" s="269">
        <f>'EV Dep Sch Y1'!D161+'EV Dep Sch Y2'!D153+'EV Dep Sch Y3'!D141+'EV Dep Sch Y4'!D129+'EV Dep Sch Y5'!D117+'EV Dep Sch Y6'!D105+'EV Dep Sch Y7'!D93</f>
        <v>12306.222432107879</v>
      </c>
      <c r="E161" s="269">
        <f>'EV Dep Sch Y1'!E161+'EV Dep Sch Y2'!E153+'EV Dep Sch Y3'!E141+'EV Dep Sch Y4'!E129+'EV Dep Sch Y5'!E117+'EV Dep Sch Y6'!E105+'EV Dep Sch Y7'!E93</f>
        <v>0</v>
      </c>
      <c r="F161" s="269">
        <f>'EV Dep Sch Y1'!F161+'EV Dep Sch Y2'!F153+'EV Dep Sch Y3'!F141+'EV Dep Sch Y4'!F129+'EV Dep Sch Y5'!F117+'EV Dep Sch Y6'!F105+'EV Dep Sch Y7'!F93</f>
        <v>-8552479.2367288712</v>
      </c>
      <c r="G161" s="269">
        <f>'EV Dep Sch Y1'!G161+'EV Dep Sch Y2'!G153+'EV Dep Sch Y3'!G141+'EV Dep Sch Y4'!G129+'EV Dep Sch Y5'!G117+'EV Dep Sch Y6'!G105+'EV Dep Sch Y7'!G93</f>
        <v>-8708567.9148199037</v>
      </c>
      <c r="H161" s="269">
        <f>'EV Dep Sch Y1'!H161+'EV Dep Sch Y2'!H153+'EV Dep Sch Y3'!H141+'EV Dep Sch Y4'!H129+'EV Dep Sch Y5'!H117+'EV Dep Sch Y6'!H105+'EV Dep Sch Y7'!H93</f>
        <v>156088.67809103616</v>
      </c>
      <c r="I161" s="269">
        <f>'EV Dep Sch Y1'!I161+'EV Dep Sch Y2'!I153+'EV Dep Sch Y3'!I141+'EV Dep Sch Y4'!I129+'EV Dep Sch Y5'!I117+'EV Dep Sch Y6'!I105+'EV Dep Sch Y7'!I93</f>
        <v>0</v>
      </c>
      <c r="J161" s="269">
        <f>'EV Dep Sch Y1'!J161+'EV Dep Sch Y2'!J153+'EV Dep Sch Y3'!J141+'EV Dep Sch Y4'!J129+'EV Dep Sch Y5'!J117+'EV Dep Sch Y6'!J105+'EV Dep Sch Y7'!J93</f>
        <v>-156088.67809103616</v>
      </c>
      <c r="K161" s="269">
        <f>'EV Dep Sch Y1'!K161+'EV Dep Sch Y2'!K153+'EV Dep Sch Y3'!K141+'EV Dep Sch Y4'!K129+'EV Dep Sch Y5'!K117+'EV Dep Sch Y6'!K105+'EV Dep Sch Y7'!K93</f>
        <v>32778.622399117594</v>
      </c>
      <c r="L161" s="269">
        <f>'EV Dep Sch Y1'!L161+'EV Dep Sch Y2'!L153+'EV Dep Sch Y3'!L141+'EV Dep Sch Y4'!L129+'EV Dep Sch Y5'!L117+'EV Dep Sch Y6'!L105+'EV Dep Sch Y7'!L93</f>
        <v>2584.3067107426323</v>
      </c>
      <c r="M161" s="270">
        <f t="shared" si="6"/>
        <v>32778.622399117594</v>
      </c>
      <c r="N161" s="97"/>
      <c r="O161" s="271"/>
      <c r="P161" s="271"/>
      <c r="Q161" s="271"/>
      <c r="R161" s="271"/>
      <c r="S161" s="271"/>
      <c r="T161" s="271"/>
    </row>
    <row r="162" spans="1:20" s="230" customFormat="1" ht="15">
      <c r="A162" s="267">
        <f t="shared" si="7"/>
        <v>47938</v>
      </c>
      <c r="B162" s="269">
        <f>'EV Dep Sch Y1'!B162+'EV Dep Sch Y2'!B154+'EV Dep Sch Y3'!B142+'EV Dep Sch Y4'!B130+'EV Dep Sch Y5'!B118+'EV Dep Sch Y6'!B106+'EV Dep Sch Y7'!B94</f>
        <v>8708567.9148199037</v>
      </c>
      <c r="C162" s="269">
        <f>'EV Dep Sch Y1'!C162+'EV Dep Sch Y2'!C154+'EV Dep Sch Y3'!C142+'EV Dep Sch Y4'!C130+'EV Dep Sch Y5'!C118+'EV Dep Sch Y6'!C106+'EV Dep Sch Y7'!C94</f>
        <v>8708567.9148199037</v>
      </c>
      <c r="D162" s="269">
        <f>'EV Dep Sch Y1'!D162+'EV Dep Sch Y2'!D154+'EV Dep Sch Y3'!D142+'EV Dep Sch Y4'!D130+'EV Dep Sch Y5'!D118+'EV Dep Sch Y6'!D106+'EV Dep Sch Y7'!D94</f>
        <v>11934.346958262468</v>
      </c>
      <c r="E162" s="269">
        <f>'EV Dep Sch Y1'!E162+'EV Dep Sch Y2'!E154+'EV Dep Sch Y3'!E142+'EV Dep Sch Y4'!E130+'EV Dep Sch Y5'!E118+'EV Dep Sch Y6'!E106+'EV Dep Sch Y7'!E94</f>
        <v>0</v>
      </c>
      <c r="F162" s="269">
        <f>'EV Dep Sch Y1'!F162+'EV Dep Sch Y2'!F154+'EV Dep Sch Y3'!F142+'EV Dep Sch Y4'!F130+'EV Dep Sch Y5'!F118+'EV Dep Sch Y6'!F106+'EV Dep Sch Y7'!F94</f>
        <v>-8564413.5836871341</v>
      </c>
      <c r="G162" s="269">
        <f>'EV Dep Sch Y1'!G162+'EV Dep Sch Y2'!G154+'EV Dep Sch Y3'!G142+'EV Dep Sch Y4'!G130+'EV Dep Sch Y5'!G118+'EV Dep Sch Y6'!G106+'EV Dep Sch Y7'!G94</f>
        <v>-8708567.9148199037</v>
      </c>
      <c r="H162" s="269">
        <f>'EV Dep Sch Y1'!H162+'EV Dep Sch Y2'!H154+'EV Dep Sch Y3'!H142+'EV Dep Sch Y4'!H130+'EV Dep Sch Y5'!H118+'EV Dep Sch Y6'!H106+'EV Dep Sch Y7'!H94</f>
        <v>144154.33113277378</v>
      </c>
      <c r="I162" s="269">
        <f>'EV Dep Sch Y1'!I162+'EV Dep Sch Y2'!I154+'EV Dep Sch Y3'!I142+'EV Dep Sch Y4'!I130+'EV Dep Sch Y5'!I118+'EV Dep Sch Y6'!I106+'EV Dep Sch Y7'!I94</f>
        <v>0</v>
      </c>
      <c r="J162" s="269">
        <f>'EV Dep Sch Y1'!J162+'EV Dep Sch Y2'!J154+'EV Dep Sch Y3'!J142+'EV Dep Sch Y4'!J130+'EV Dep Sch Y5'!J118+'EV Dep Sch Y6'!J106+'EV Dep Sch Y7'!J94</f>
        <v>-144154.33113277378</v>
      </c>
      <c r="K162" s="269">
        <f>'EV Dep Sch Y1'!K162+'EV Dep Sch Y2'!K154+'EV Dep Sch Y3'!K142+'EV Dep Sch Y4'!K130+'EV Dep Sch Y5'!K118+'EV Dep Sch Y6'!K106+'EV Dep Sch Y7'!K94</f>
        <v>30272.409537882493</v>
      </c>
      <c r="L162" s="269">
        <f>'EV Dep Sch Y1'!L162+'EV Dep Sch Y2'!L154+'EV Dep Sch Y3'!L142+'EV Dep Sch Y4'!L130+'EV Dep Sch Y5'!L118+'EV Dep Sch Y6'!L106+'EV Dep Sch Y7'!L94</f>
        <v>2506.2128612351016</v>
      </c>
      <c r="M162" s="270">
        <f t="shared" si="6"/>
        <v>30272.409537882493</v>
      </c>
      <c r="N162" s="97"/>
      <c r="O162" s="271"/>
      <c r="P162" s="271"/>
      <c r="Q162" s="271"/>
      <c r="R162" s="271"/>
      <c r="S162" s="271"/>
      <c r="T162" s="271"/>
    </row>
    <row r="163" spans="1:20" s="230" customFormat="1" ht="15">
      <c r="A163" s="267">
        <f t="shared" si="7"/>
        <v>47968</v>
      </c>
      <c r="B163" s="269">
        <f>'EV Dep Sch Y1'!B163+'EV Dep Sch Y2'!B155+'EV Dep Sch Y3'!B143+'EV Dep Sch Y4'!B131+'EV Dep Sch Y5'!B119+'EV Dep Sch Y6'!B107+'EV Dep Sch Y7'!B95</f>
        <v>8708567.9148199037</v>
      </c>
      <c r="C163" s="269">
        <f>'EV Dep Sch Y1'!C163+'EV Dep Sch Y2'!C155+'EV Dep Sch Y3'!C143+'EV Dep Sch Y4'!C131+'EV Dep Sch Y5'!C119+'EV Dep Sch Y6'!C107+'EV Dep Sch Y7'!C95</f>
        <v>8708567.9148199037</v>
      </c>
      <c r="D163" s="269">
        <f>'EV Dep Sch Y1'!D163+'EV Dep Sch Y2'!D155+'EV Dep Sch Y3'!D143+'EV Dep Sch Y4'!D131+'EV Dep Sch Y5'!D119+'EV Dep Sch Y6'!D107+'EV Dep Sch Y7'!D95</f>
        <v>10815.377835835301</v>
      </c>
      <c r="E163" s="269">
        <f>'EV Dep Sch Y1'!E163+'EV Dep Sch Y2'!E155+'EV Dep Sch Y3'!E143+'EV Dep Sch Y4'!E131+'EV Dep Sch Y5'!E119+'EV Dep Sch Y6'!E107+'EV Dep Sch Y7'!E95</f>
        <v>0</v>
      </c>
      <c r="F163" s="269">
        <f>'EV Dep Sch Y1'!F163+'EV Dep Sch Y2'!F155+'EV Dep Sch Y3'!F143+'EV Dep Sch Y4'!F131+'EV Dep Sch Y5'!F119+'EV Dep Sch Y6'!F107+'EV Dep Sch Y7'!F95</f>
        <v>-8575228.9615229703</v>
      </c>
      <c r="G163" s="269">
        <f>'EV Dep Sch Y1'!G163+'EV Dep Sch Y2'!G155+'EV Dep Sch Y3'!G143+'EV Dep Sch Y4'!G131+'EV Dep Sch Y5'!G119+'EV Dep Sch Y6'!G107+'EV Dep Sch Y7'!G95</f>
        <v>-8708567.9148199037</v>
      </c>
      <c r="H163" s="269">
        <f>'EV Dep Sch Y1'!H163+'EV Dep Sch Y2'!H155+'EV Dep Sch Y3'!H143+'EV Dep Sch Y4'!H131+'EV Dep Sch Y5'!H119+'EV Dep Sch Y6'!H107+'EV Dep Sch Y7'!H95</f>
        <v>133338.95329693856</v>
      </c>
      <c r="I163" s="269">
        <f>'EV Dep Sch Y1'!I163+'EV Dep Sch Y2'!I155+'EV Dep Sch Y3'!I143+'EV Dep Sch Y4'!I131+'EV Dep Sch Y5'!I119+'EV Dep Sch Y6'!I107+'EV Dep Sch Y7'!I95</f>
        <v>0</v>
      </c>
      <c r="J163" s="269">
        <f>'EV Dep Sch Y1'!J163+'EV Dep Sch Y2'!J155+'EV Dep Sch Y3'!J143+'EV Dep Sch Y4'!J131+'EV Dep Sch Y5'!J119+'EV Dep Sch Y6'!J107+'EV Dep Sch Y7'!J95</f>
        <v>-133338.95329693856</v>
      </c>
      <c r="K163" s="269">
        <f>'EV Dep Sch Y1'!K163+'EV Dep Sch Y2'!K155+'EV Dep Sch Y3'!K143+'EV Dep Sch Y4'!K131+'EV Dep Sch Y5'!K119+'EV Dep Sch Y6'!K107+'EV Dep Sch Y7'!K95</f>
        <v>28001.180192357097</v>
      </c>
      <c r="L163" s="269">
        <f>'EV Dep Sch Y1'!L163+'EV Dep Sch Y2'!L155+'EV Dep Sch Y3'!L143+'EV Dep Sch Y4'!L131+'EV Dep Sch Y5'!L119+'EV Dep Sch Y6'!L107+'EV Dep Sch Y7'!L95</f>
        <v>2271.229345525393</v>
      </c>
      <c r="M163" s="270">
        <f t="shared" si="6"/>
        <v>28001.180192357097</v>
      </c>
      <c r="N163" s="97"/>
      <c r="O163" s="271"/>
      <c r="P163" s="271"/>
      <c r="Q163" s="271"/>
      <c r="R163" s="271"/>
      <c r="S163" s="271"/>
      <c r="T163" s="271"/>
    </row>
    <row r="164" spans="1:20" s="230" customFormat="1" ht="15">
      <c r="A164" s="267">
        <f t="shared" si="7"/>
        <v>47999</v>
      </c>
      <c r="B164" s="269">
        <f>'EV Dep Sch Y1'!B164+'EV Dep Sch Y2'!B156+'EV Dep Sch Y3'!B144+'EV Dep Sch Y4'!B132+'EV Dep Sch Y5'!B120+'EV Dep Sch Y6'!B108+'EV Dep Sch Y7'!B96</f>
        <v>8708567.9148199037</v>
      </c>
      <c r="C164" s="269">
        <f>'EV Dep Sch Y1'!C164+'EV Dep Sch Y2'!C156+'EV Dep Sch Y3'!C144+'EV Dep Sch Y4'!C132+'EV Dep Sch Y5'!C120+'EV Dep Sch Y6'!C108+'EV Dep Sch Y7'!C96</f>
        <v>8708567.9148199037</v>
      </c>
      <c r="D164" s="269">
        <f>'EV Dep Sch Y1'!D164+'EV Dep Sch Y2'!D156+'EV Dep Sch Y3'!D144+'EV Dep Sch Y4'!D132+'EV Dep Sch Y5'!D120+'EV Dep Sch Y6'!D108+'EV Dep Sch Y7'!D96</f>
        <v>10815.377835835301</v>
      </c>
      <c r="E164" s="269">
        <f>'EV Dep Sch Y1'!E164+'EV Dep Sch Y2'!E156+'EV Dep Sch Y3'!E144+'EV Dep Sch Y4'!E132+'EV Dep Sch Y5'!E120+'EV Dep Sch Y6'!E108+'EV Dep Sch Y7'!E96</f>
        <v>0</v>
      </c>
      <c r="F164" s="269">
        <f>'EV Dep Sch Y1'!F164+'EV Dep Sch Y2'!F156+'EV Dep Sch Y3'!F144+'EV Dep Sch Y4'!F132+'EV Dep Sch Y5'!F120+'EV Dep Sch Y6'!F108+'EV Dep Sch Y7'!F96</f>
        <v>-8586044.3393588047</v>
      </c>
      <c r="G164" s="269">
        <f>'EV Dep Sch Y1'!G164+'EV Dep Sch Y2'!G156+'EV Dep Sch Y3'!G144+'EV Dep Sch Y4'!G132+'EV Dep Sch Y5'!G120+'EV Dep Sch Y6'!G108+'EV Dep Sch Y7'!G96</f>
        <v>-8708567.9148199037</v>
      </c>
      <c r="H164" s="269">
        <f>'EV Dep Sch Y1'!H164+'EV Dep Sch Y2'!H156+'EV Dep Sch Y3'!H144+'EV Dep Sch Y4'!H132+'EV Dep Sch Y5'!H120+'EV Dep Sch Y6'!H108+'EV Dep Sch Y7'!H96</f>
        <v>122523.57546110335</v>
      </c>
      <c r="I164" s="269">
        <f>'EV Dep Sch Y1'!I164+'EV Dep Sch Y2'!I156+'EV Dep Sch Y3'!I144+'EV Dep Sch Y4'!I132+'EV Dep Sch Y5'!I120+'EV Dep Sch Y6'!I108+'EV Dep Sch Y7'!I96</f>
        <v>0</v>
      </c>
      <c r="J164" s="269">
        <f>'EV Dep Sch Y1'!J164+'EV Dep Sch Y2'!J156+'EV Dep Sch Y3'!J144+'EV Dep Sch Y4'!J132+'EV Dep Sch Y5'!J120+'EV Dep Sch Y6'!J108+'EV Dep Sch Y7'!J96</f>
        <v>-122523.57546110335</v>
      </c>
      <c r="K164" s="269">
        <f>'EV Dep Sch Y1'!K164+'EV Dep Sch Y2'!K156+'EV Dep Sch Y3'!K144+'EV Dep Sch Y4'!K132+'EV Dep Sch Y5'!K120+'EV Dep Sch Y6'!K108+'EV Dep Sch Y7'!K96</f>
        <v>25729.9508468317</v>
      </c>
      <c r="L164" s="269">
        <f>'EV Dep Sch Y1'!L164+'EV Dep Sch Y2'!L156+'EV Dep Sch Y3'!L144+'EV Dep Sch Y4'!L132+'EV Dep Sch Y5'!L120+'EV Dep Sch Y6'!L108+'EV Dep Sch Y7'!L96</f>
        <v>2271.2293455253966</v>
      </c>
      <c r="M164" s="270">
        <f t="shared" si="6"/>
        <v>25729.9508468317</v>
      </c>
      <c r="N164" s="97"/>
      <c r="O164" s="271"/>
      <c r="P164" s="271"/>
      <c r="Q164" s="271"/>
      <c r="R164" s="271"/>
      <c r="S164" s="271"/>
      <c r="T164" s="271"/>
    </row>
    <row r="165" spans="1:20" s="230" customFormat="1" ht="15">
      <c r="A165" s="267">
        <f t="shared" si="7"/>
        <v>48029</v>
      </c>
      <c r="B165" s="269">
        <f>'EV Dep Sch Y1'!B165+'EV Dep Sch Y2'!B157+'EV Dep Sch Y3'!B145+'EV Dep Sch Y4'!B133+'EV Dep Sch Y5'!B121+'EV Dep Sch Y6'!B109+'EV Dep Sch Y7'!B97</f>
        <v>8708567.9148199037</v>
      </c>
      <c r="C165" s="269">
        <f>'EV Dep Sch Y1'!C165+'EV Dep Sch Y2'!C157+'EV Dep Sch Y3'!C145+'EV Dep Sch Y4'!C133+'EV Dep Sch Y5'!C121+'EV Dep Sch Y6'!C109+'EV Dep Sch Y7'!C97</f>
        <v>8708567.9148199037</v>
      </c>
      <c r="D165" s="269">
        <f>'EV Dep Sch Y1'!D165+'EV Dep Sch Y2'!D157+'EV Dep Sch Y3'!D145+'EV Dep Sch Y4'!D133+'EV Dep Sch Y5'!D121+'EV Dep Sch Y6'!D109+'EV Dep Sch Y7'!D97</f>
        <v>10815.377835835301</v>
      </c>
      <c r="E165" s="269">
        <f>'EV Dep Sch Y1'!E165+'EV Dep Sch Y2'!E157+'EV Dep Sch Y3'!E145+'EV Dep Sch Y4'!E133+'EV Dep Sch Y5'!E121+'EV Dep Sch Y6'!E109+'EV Dep Sch Y7'!E97</f>
        <v>0</v>
      </c>
      <c r="F165" s="269">
        <f>'EV Dep Sch Y1'!F165+'EV Dep Sch Y2'!F157+'EV Dep Sch Y3'!F145+'EV Dep Sch Y4'!F133+'EV Dep Sch Y5'!F121+'EV Dep Sch Y6'!F109+'EV Dep Sch Y7'!F97</f>
        <v>-8596859.717194641</v>
      </c>
      <c r="G165" s="269">
        <f>'EV Dep Sch Y1'!G165+'EV Dep Sch Y2'!G157+'EV Dep Sch Y3'!G145+'EV Dep Sch Y4'!G133+'EV Dep Sch Y5'!G121+'EV Dep Sch Y6'!G109+'EV Dep Sch Y7'!G97</f>
        <v>-8708567.9148199037</v>
      </c>
      <c r="H165" s="269">
        <f>'EV Dep Sch Y1'!H165+'EV Dep Sch Y2'!H157+'EV Dep Sch Y3'!H145+'EV Dep Sch Y4'!H133+'EV Dep Sch Y5'!H121+'EV Dep Sch Y6'!H109+'EV Dep Sch Y7'!H97</f>
        <v>111708.19762526813</v>
      </c>
      <c r="I165" s="269">
        <f>'EV Dep Sch Y1'!I165+'EV Dep Sch Y2'!I157+'EV Dep Sch Y3'!I145+'EV Dep Sch Y4'!I133+'EV Dep Sch Y5'!I121+'EV Dep Sch Y6'!I109+'EV Dep Sch Y7'!I97</f>
        <v>0</v>
      </c>
      <c r="J165" s="269">
        <f>'EV Dep Sch Y1'!J165+'EV Dep Sch Y2'!J157+'EV Dep Sch Y3'!J145+'EV Dep Sch Y4'!J133+'EV Dep Sch Y5'!J121+'EV Dep Sch Y6'!J109+'EV Dep Sch Y7'!J97</f>
        <v>-111708.19762526813</v>
      </c>
      <c r="K165" s="269">
        <f>'EV Dep Sch Y1'!K165+'EV Dep Sch Y2'!K157+'EV Dep Sch Y3'!K145+'EV Dep Sch Y4'!K133+'EV Dep Sch Y5'!K121+'EV Dep Sch Y6'!K109+'EV Dep Sch Y7'!K97</f>
        <v>23458.721501306307</v>
      </c>
      <c r="L165" s="269">
        <f>'EV Dep Sch Y1'!L165+'EV Dep Sch Y2'!L157+'EV Dep Sch Y3'!L145+'EV Dep Sch Y4'!L133+'EV Dep Sch Y5'!L121+'EV Dep Sch Y6'!L109+'EV Dep Sch Y7'!L97</f>
        <v>2271.2293455253939</v>
      </c>
      <c r="M165" s="270">
        <f t="shared" si="6"/>
        <v>23458.721501306307</v>
      </c>
      <c r="N165" s="97"/>
      <c r="O165" s="271"/>
      <c r="P165" s="271"/>
      <c r="Q165" s="271"/>
      <c r="R165" s="271"/>
      <c r="S165" s="271"/>
      <c r="T165" s="271"/>
    </row>
    <row r="166" spans="1:20" s="230" customFormat="1" ht="15">
      <c r="A166" s="267">
        <f t="shared" si="7"/>
        <v>48060</v>
      </c>
      <c r="B166" s="269">
        <f>'EV Dep Sch Y1'!B166+'EV Dep Sch Y2'!B158+'EV Dep Sch Y3'!B146+'EV Dep Sch Y4'!B134+'EV Dep Sch Y5'!B122+'EV Dep Sch Y6'!B110+'EV Dep Sch Y7'!B98</f>
        <v>8708567.9148199037</v>
      </c>
      <c r="C166" s="269">
        <f>'EV Dep Sch Y1'!C166+'EV Dep Sch Y2'!C158+'EV Dep Sch Y3'!C146+'EV Dep Sch Y4'!C134+'EV Dep Sch Y5'!C122+'EV Dep Sch Y6'!C110+'EV Dep Sch Y7'!C98</f>
        <v>8708567.9148199037</v>
      </c>
      <c r="D166" s="269">
        <f>'EV Dep Sch Y1'!D166+'EV Dep Sch Y2'!D158+'EV Dep Sch Y3'!D146+'EV Dep Sch Y4'!D134+'EV Dep Sch Y5'!D122+'EV Dep Sch Y6'!D110+'EV Dep Sch Y7'!D98</f>
        <v>10815.377835835301</v>
      </c>
      <c r="E166" s="269">
        <f>'EV Dep Sch Y1'!E166+'EV Dep Sch Y2'!E158+'EV Dep Sch Y3'!E146+'EV Dep Sch Y4'!E134+'EV Dep Sch Y5'!E122+'EV Dep Sch Y6'!E110+'EV Dep Sch Y7'!E98</f>
        <v>0</v>
      </c>
      <c r="F166" s="269">
        <f>'EV Dep Sch Y1'!F166+'EV Dep Sch Y2'!F158+'EV Dep Sch Y3'!F146+'EV Dep Sch Y4'!F134+'EV Dep Sch Y5'!F122+'EV Dep Sch Y6'!F110+'EV Dep Sch Y7'!F98</f>
        <v>-8607675.0950304754</v>
      </c>
      <c r="G166" s="269">
        <f>'EV Dep Sch Y1'!G166+'EV Dep Sch Y2'!G158+'EV Dep Sch Y3'!G146+'EV Dep Sch Y4'!G134+'EV Dep Sch Y5'!G122+'EV Dep Sch Y6'!G110+'EV Dep Sch Y7'!G98</f>
        <v>-8708567.9148199037</v>
      </c>
      <c r="H166" s="269">
        <f>'EV Dep Sch Y1'!H166+'EV Dep Sch Y2'!H158+'EV Dep Sch Y3'!H146+'EV Dep Sch Y4'!H134+'EV Dep Sch Y5'!H122+'EV Dep Sch Y6'!H110+'EV Dep Sch Y7'!H98</f>
        <v>100892.81978943292</v>
      </c>
      <c r="I166" s="269">
        <f>'EV Dep Sch Y1'!I166+'EV Dep Sch Y2'!I158+'EV Dep Sch Y3'!I146+'EV Dep Sch Y4'!I134+'EV Dep Sch Y5'!I122+'EV Dep Sch Y6'!I110+'EV Dep Sch Y7'!I98</f>
        <v>0</v>
      </c>
      <c r="J166" s="269">
        <f>'EV Dep Sch Y1'!J166+'EV Dep Sch Y2'!J158+'EV Dep Sch Y3'!J146+'EV Dep Sch Y4'!J134+'EV Dep Sch Y5'!J122+'EV Dep Sch Y6'!J110+'EV Dep Sch Y7'!J98</f>
        <v>-100892.81978943292</v>
      </c>
      <c r="K166" s="269">
        <f>'EV Dep Sch Y1'!K166+'EV Dep Sch Y2'!K158+'EV Dep Sch Y3'!K146+'EV Dep Sch Y4'!K134+'EV Dep Sch Y5'!K122+'EV Dep Sch Y6'!K110+'EV Dep Sch Y7'!K98</f>
        <v>21187.492155780914</v>
      </c>
      <c r="L166" s="269">
        <f>'EV Dep Sch Y1'!L166+'EV Dep Sch Y2'!L158+'EV Dep Sch Y3'!L146+'EV Dep Sch Y4'!L134+'EV Dep Sch Y5'!L122+'EV Dep Sch Y6'!L110+'EV Dep Sch Y7'!L98</f>
        <v>2271.2293455253948</v>
      </c>
      <c r="M166" s="270">
        <f t="shared" si="6"/>
        <v>21187.492155780914</v>
      </c>
      <c r="N166" s="97"/>
      <c r="O166" s="271"/>
      <c r="P166" s="271"/>
      <c r="Q166" s="271"/>
      <c r="R166" s="271"/>
      <c r="S166" s="271"/>
      <c r="T166" s="271"/>
    </row>
    <row r="167" spans="1:20" s="230" customFormat="1" ht="15">
      <c r="A167" s="267">
        <f t="shared" si="7"/>
        <v>48091</v>
      </c>
      <c r="B167" s="269">
        <f>'EV Dep Sch Y1'!B167+'EV Dep Sch Y2'!B159+'EV Dep Sch Y3'!B147+'EV Dep Sch Y4'!B135+'EV Dep Sch Y5'!B123+'EV Dep Sch Y6'!B111+'EV Dep Sch Y7'!B99</f>
        <v>8708567.9148199037</v>
      </c>
      <c r="C167" s="269">
        <f>'EV Dep Sch Y1'!C167+'EV Dep Sch Y2'!C159+'EV Dep Sch Y3'!C147+'EV Dep Sch Y4'!C135+'EV Dep Sch Y5'!C123+'EV Dep Sch Y6'!C111+'EV Dep Sch Y7'!C99</f>
        <v>8708567.9148199037</v>
      </c>
      <c r="D167" s="269">
        <f>'EV Dep Sch Y1'!D167+'EV Dep Sch Y2'!D159+'EV Dep Sch Y3'!D147+'EV Dep Sch Y4'!D135+'EV Dep Sch Y5'!D123+'EV Dep Sch Y6'!D111+'EV Dep Sch Y7'!D99</f>
        <v>10815.377835835301</v>
      </c>
      <c r="E167" s="269">
        <f>'EV Dep Sch Y1'!E167+'EV Dep Sch Y2'!E159+'EV Dep Sch Y3'!E147+'EV Dep Sch Y4'!E135+'EV Dep Sch Y5'!E123+'EV Dep Sch Y6'!E111+'EV Dep Sch Y7'!E99</f>
        <v>0</v>
      </c>
      <c r="F167" s="269">
        <f>'EV Dep Sch Y1'!F167+'EV Dep Sch Y2'!F159+'EV Dep Sch Y3'!F147+'EV Dep Sch Y4'!F135+'EV Dep Sch Y5'!F123+'EV Dep Sch Y6'!F111+'EV Dep Sch Y7'!F99</f>
        <v>-8618490.4728663098</v>
      </c>
      <c r="G167" s="269">
        <f>'EV Dep Sch Y1'!G167+'EV Dep Sch Y2'!G159+'EV Dep Sch Y3'!G147+'EV Dep Sch Y4'!G135+'EV Dep Sch Y5'!G123+'EV Dep Sch Y6'!G111+'EV Dep Sch Y7'!G99</f>
        <v>-8708567.9148199037</v>
      </c>
      <c r="H167" s="269">
        <f>'EV Dep Sch Y1'!H167+'EV Dep Sch Y2'!H159+'EV Dep Sch Y3'!H147+'EV Dep Sch Y4'!H135+'EV Dep Sch Y5'!H123+'EV Dep Sch Y6'!H111+'EV Dep Sch Y7'!H99</f>
        <v>90077.441953597707</v>
      </c>
      <c r="I167" s="269">
        <f>'EV Dep Sch Y1'!I167+'EV Dep Sch Y2'!I159+'EV Dep Sch Y3'!I147+'EV Dep Sch Y4'!I135+'EV Dep Sch Y5'!I123+'EV Dep Sch Y6'!I111+'EV Dep Sch Y7'!I99</f>
        <v>0</v>
      </c>
      <c r="J167" s="269">
        <f>'EV Dep Sch Y1'!J167+'EV Dep Sch Y2'!J159+'EV Dep Sch Y3'!J147+'EV Dep Sch Y4'!J135+'EV Dep Sch Y5'!J123+'EV Dep Sch Y6'!J111+'EV Dep Sch Y7'!J99</f>
        <v>-90077.441953597707</v>
      </c>
      <c r="K167" s="269">
        <f>'EV Dep Sch Y1'!K167+'EV Dep Sch Y2'!K159+'EV Dep Sch Y3'!K147+'EV Dep Sch Y4'!K135+'EV Dep Sch Y5'!K123+'EV Dep Sch Y6'!K111+'EV Dep Sch Y7'!K99</f>
        <v>18916.262810255517</v>
      </c>
      <c r="L167" s="269">
        <f>'EV Dep Sch Y1'!L167+'EV Dep Sch Y2'!L159+'EV Dep Sch Y3'!L147+'EV Dep Sch Y4'!L135+'EV Dep Sch Y5'!L123+'EV Dep Sch Y6'!L111+'EV Dep Sch Y7'!L99</f>
        <v>2271.2293455253948</v>
      </c>
      <c r="M167" s="270">
        <f t="shared" si="6"/>
        <v>18916.262810255517</v>
      </c>
      <c r="N167" s="97"/>
      <c r="O167" s="271"/>
      <c r="P167" s="271"/>
      <c r="Q167" s="271"/>
      <c r="R167" s="271"/>
      <c r="S167" s="271"/>
      <c r="T167" s="271"/>
    </row>
    <row r="168" spans="1:20" s="230" customFormat="1" ht="15">
      <c r="A168" s="267">
        <f t="shared" si="7"/>
        <v>48121</v>
      </c>
      <c r="B168" s="269">
        <f>'EV Dep Sch Y1'!B168+'EV Dep Sch Y2'!B160+'EV Dep Sch Y3'!B148+'EV Dep Sch Y4'!B136+'EV Dep Sch Y5'!B124+'EV Dep Sch Y6'!B112+'EV Dep Sch Y7'!B100</f>
        <v>8708567.9148199037</v>
      </c>
      <c r="C168" s="269">
        <f>'EV Dep Sch Y1'!C168+'EV Dep Sch Y2'!C160+'EV Dep Sch Y3'!C148+'EV Dep Sch Y4'!C136+'EV Dep Sch Y5'!C124+'EV Dep Sch Y6'!C112+'EV Dep Sch Y7'!C100</f>
        <v>8708567.9148199037</v>
      </c>
      <c r="D168" s="269">
        <f>'EV Dep Sch Y1'!D168+'EV Dep Sch Y2'!D160+'EV Dep Sch Y3'!D148+'EV Dep Sch Y4'!D136+'EV Dep Sch Y5'!D124+'EV Dep Sch Y6'!D112+'EV Dep Sch Y7'!D100</f>
        <v>7547.3505481733009</v>
      </c>
      <c r="E168" s="269">
        <f>'EV Dep Sch Y1'!E168+'EV Dep Sch Y2'!E160+'EV Dep Sch Y3'!E148+'EV Dep Sch Y4'!E136+'EV Dep Sch Y5'!E124+'EV Dep Sch Y6'!E112+'EV Dep Sch Y7'!E100</f>
        <v>0</v>
      </c>
      <c r="F168" s="269">
        <f>'EV Dep Sch Y1'!F168+'EV Dep Sch Y2'!F160+'EV Dep Sch Y3'!F148+'EV Dep Sch Y4'!F136+'EV Dep Sch Y5'!F124+'EV Dep Sch Y6'!F112+'EV Dep Sch Y7'!F100</f>
        <v>-8626037.823414484</v>
      </c>
      <c r="G168" s="269">
        <f>'EV Dep Sch Y1'!G168+'EV Dep Sch Y2'!G160+'EV Dep Sch Y3'!G148+'EV Dep Sch Y4'!G136+'EV Dep Sch Y5'!G124+'EV Dep Sch Y6'!G112+'EV Dep Sch Y7'!G100</f>
        <v>-8708567.9148199037</v>
      </c>
      <c r="H168" s="269">
        <f>'EV Dep Sch Y1'!H168+'EV Dep Sch Y2'!H160+'EV Dep Sch Y3'!H148+'EV Dep Sch Y4'!H136+'EV Dep Sch Y5'!H124+'EV Dep Sch Y6'!H112+'EV Dep Sch Y7'!H100</f>
        <v>82530.091405424522</v>
      </c>
      <c r="I168" s="269">
        <f>'EV Dep Sch Y1'!I168+'EV Dep Sch Y2'!I160+'EV Dep Sch Y3'!I148+'EV Dep Sch Y4'!I136+'EV Dep Sch Y5'!I124+'EV Dep Sch Y6'!I112+'EV Dep Sch Y7'!I100</f>
        <v>0</v>
      </c>
      <c r="J168" s="269">
        <f>'EV Dep Sch Y1'!J168+'EV Dep Sch Y2'!J160+'EV Dep Sch Y3'!J148+'EV Dep Sch Y4'!J136+'EV Dep Sch Y5'!J124+'EV Dep Sch Y6'!J112+'EV Dep Sch Y7'!J100</f>
        <v>-82530.091405424522</v>
      </c>
      <c r="K168" s="269">
        <f>'EV Dep Sch Y1'!K168+'EV Dep Sch Y2'!K160+'EV Dep Sch Y3'!K148+'EV Dep Sch Y4'!K136+'EV Dep Sch Y5'!K124+'EV Dep Sch Y6'!K112+'EV Dep Sch Y7'!K100</f>
        <v>17331.319195139149</v>
      </c>
      <c r="L168" s="269">
        <f>'EV Dep Sch Y1'!L168+'EV Dep Sch Y2'!L160+'EV Dep Sch Y3'!L148+'EV Dep Sch Y4'!L136+'EV Dep Sch Y5'!L124+'EV Dep Sch Y6'!L112+'EV Dep Sch Y7'!L100</f>
        <v>1584.9436151163691</v>
      </c>
      <c r="M168" s="270">
        <f t="shared" si="6"/>
        <v>17331.319195139149</v>
      </c>
      <c r="N168" s="97"/>
      <c r="O168" s="271"/>
      <c r="P168" s="271"/>
      <c r="Q168" s="271"/>
      <c r="R168" s="271"/>
      <c r="S168" s="271"/>
      <c r="T168" s="271"/>
    </row>
    <row r="169" spans="1:20" s="230" customFormat="1" ht="15">
      <c r="A169" s="267">
        <f t="shared" si="7"/>
        <v>48152</v>
      </c>
      <c r="B169" s="269">
        <f>'EV Dep Sch Y1'!B169+'EV Dep Sch Y2'!B161+'EV Dep Sch Y3'!B149+'EV Dep Sch Y4'!B137+'EV Dep Sch Y5'!B125+'EV Dep Sch Y6'!B113+'EV Dep Sch Y7'!B101</f>
        <v>8708567.9148199037</v>
      </c>
      <c r="C169" s="269">
        <f>'EV Dep Sch Y1'!C169+'EV Dep Sch Y2'!C161+'EV Dep Sch Y3'!C149+'EV Dep Sch Y4'!C137+'EV Dep Sch Y5'!C125+'EV Dep Sch Y6'!C113+'EV Dep Sch Y7'!C101</f>
        <v>8708567.9148199037</v>
      </c>
      <c r="D169" s="269">
        <f>'EV Dep Sch Y1'!D169+'EV Dep Sch Y2'!D161+'EV Dep Sch Y3'!D149+'EV Dep Sch Y4'!D137+'EV Dep Sch Y5'!D125+'EV Dep Sch Y6'!D113+'EV Dep Sch Y7'!D101</f>
        <v>7547.3505481733009</v>
      </c>
      <c r="E169" s="269">
        <f>'EV Dep Sch Y1'!E169+'EV Dep Sch Y2'!E161+'EV Dep Sch Y3'!E149+'EV Dep Sch Y4'!E137+'EV Dep Sch Y5'!E125+'EV Dep Sch Y6'!E113+'EV Dep Sch Y7'!E101</f>
        <v>0</v>
      </c>
      <c r="F169" s="269">
        <f>'EV Dep Sch Y1'!F169+'EV Dep Sch Y2'!F161+'EV Dep Sch Y3'!F149+'EV Dep Sch Y4'!F137+'EV Dep Sch Y5'!F125+'EV Dep Sch Y6'!F113+'EV Dep Sch Y7'!F101</f>
        <v>-8633585.1739626564</v>
      </c>
      <c r="G169" s="269">
        <f>'EV Dep Sch Y1'!G169+'EV Dep Sch Y2'!G161+'EV Dep Sch Y3'!G149+'EV Dep Sch Y4'!G137+'EV Dep Sch Y5'!G125+'EV Dep Sch Y6'!G113+'EV Dep Sch Y7'!G101</f>
        <v>-8708567.9148199037</v>
      </c>
      <c r="H169" s="269">
        <f>'EV Dep Sch Y1'!H169+'EV Dep Sch Y2'!H161+'EV Dep Sch Y3'!H149+'EV Dep Sch Y4'!H137+'EV Dep Sch Y5'!H125+'EV Dep Sch Y6'!H113+'EV Dep Sch Y7'!H101</f>
        <v>74982.740857251338</v>
      </c>
      <c r="I169" s="269">
        <f>'EV Dep Sch Y1'!I169+'EV Dep Sch Y2'!I161+'EV Dep Sch Y3'!I149+'EV Dep Sch Y4'!I137+'EV Dep Sch Y5'!I125+'EV Dep Sch Y6'!I113+'EV Dep Sch Y7'!I101</f>
        <v>0</v>
      </c>
      <c r="J169" s="269">
        <f>'EV Dep Sch Y1'!J169+'EV Dep Sch Y2'!J161+'EV Dep Sch Y3'!J149+'EV Dep Sch Y4'!J137+'EV Dep Sch Y5'!J125+'EV Dep Sch Y6'!J113+'EV Dep Sch Y7'!J101</f>
        <v>-74982.740857251338</v>
      </c>
      <c r="K169" s="269">
        <f>'EV Dep Sch Y1'!K169+'EV Dep Sch Y2'!K161+'EV Dep Sch Y3'!K149+'EV Dep Sch Y4'!K137+'EV Dep Sch Y5'!K125+'EV Dep Sch Y6'!K113+'EV Dep Sch Y7'!K101</f>
        <v>15746.375580022781</v>
      </c>
      <c r="L169" s="269">
        <f>'EV Dep Sch Y1'!L169+'EV Dep Sch Y2'!L161+'EV Dep Sch Y3'!L149+'EV Dep Sch Y4'!L137+'EV Dep Sch Y5'!L125+'EV Dep Sch Y6'!L113+'EV Dep Sch Y7'!L101</f>
        <v>1584.9436151163682</v>
      </c>
      <c r="M169" s="270">
        <f t="shared" si="6"/>
        <v>15746.375580022781</v>
      </c>
      <c r="N169" s="97"/>
      <c r="O169" s="271"/>
      <c r="P169" s="271"/>
      <c r="Q169" s="271"/>
      <c r="R169" s="271"/>
      <c r="S169" s="271"/>
      <c r="T169" s="271"/>
    </row>
    <row r="170" spans="1:20" s="230" customFormat="1" ht="15">
      <c r="A170" s="267">
        <f t="shared" si="7"/>
        <v>48182</v>
      </c>
      <c r="B170" s="269">
        <f>'EV Dep Sch Y1'!B170+'EV Dep Sch Y2'!B162+'EV Dep Sch Y3'!B150+'EV Dep Sch Y4'!B138+'EV Dep Sch Y5'!B126+'EV Dep Sch Y6'!B114+'EV Dep Sch Y7'!B102</f>
        <v>8708567.9148199037</v>
      </c>
      <c r="C170" s="269">
        <f>'EV Dep Sch Y1'!C170+'EV Dep Sch Y2'!C162+'EV Dep Sch Y3'!C150+'EV Dep Sch Y4'!C138+'EV Dep Sch Y5'!C126+'EV Dep Sch Y6'!C114+'EV Dep Sch Y7'!C102</f>
        <v>8708567.9148199037</v>
      </c>
      <c r="D170" s="269">
        <f>'EV Dep Sch Y1'!D170+'EV Dep Sch Y2'!D162+'EV Dep Sch Y3'!D150+'EV Dep Sch Y4'!D138+'EV Dep Sch Y5'!D126+'EV Dep Sch Y6'!D114+'EV Dep Sch Y7'!D102</f>
        <v>7547.3505481733009</v>
      </c>
      <c r="E170" s="269">
        <f>'EV Dep Sch Y1'!E170+'EV Dep Sch Y2'!E162+'EV Dep Sch Y3'!E150+'EV Dep Sch Y4'!E138+'EV Dep Sch Y5'!E126+'EV Dep Sch Y6'!E114+'EV Dep Sch Y7'!E102</f>
        <v>0</v>
      </c>
      <c r="F170" s="269">
        <f>'EV Dep Sch Y1'!F170+'EV Dep Sch Y2'!F162+'EV Dep Sch Y3'!F150+'EV Dep Sch Y4'!F138+'EV Dep Sch Y5'!F126+'EV Dep Sch Y6'!F114+'EV Dep Sch Y7'!F102</f>
        <v>-8641132.5245108306</v>
      </c>
      <c r="G170" s="269">
        <f>'EV Dep Sch Y1'!G170+'EV Dep Sch Y2'!G162+'EV Dep Sch Y3'!G150+'EV Dep Sch Y4'!G138+'EV Dep Sch Y5'!G126+'EV Dep Sch Y6'!G114+'EV Dep Sch Y7'!G102</f>
        <v>-8708567.9148199037</v>
      </c>
      <c r="H170" s="269">
        <f>'EV Dep Sch Y1'!H170+'EV Dep Sch Y2'!H162+'EV Dep Sch Y3'!H150+'EV Dep Sch Y4'!H138+'EV Dep Sch Y5'!H126+'EV Dep Sch Y6'!H114+'EV Dep Sch Y7'!H102</f>
        <v>67435.390309078153</v>
      </c>
      <c r="I170" s="269">
        <f>'EV Dep Sch Y1'!I170+'EV Dep Sch Y2'!I162+'EV Dep Sch Y3'!I150+'EV Dep Sch Y4'!I138+'EV Dep Sch Y5'!I126+'EV Dep Sch Y6'!I114+'EV Dep Sch Y7'!I102</f>
        <v>0</v>
      </c>
      <c r="J170" s="269">
        <f>'EV Dep Sch Y1'!J170+'EV Dep Sch Y2'!J162+'EV Dep Sch Y3'!J150+'EV Dep Sch Y4'!J138+'EV Dep Sch Y5'!J126+'EV Dep Sch Y6'!J114+'EV Dep Sch Y7'!J102</f>
        <v>-67435.390309078153</v>
      </c>
      <c r="K170" s="269">
        <f>'EV Dep Sch Y1'!K170+'EV Dep Sch Y2'!K162+'EV Dep Sch Y3'!K150+'EV Dep Sch Y4'!K138+'EV Dep Sch Y5'!K126+'EV Dep Sch Y6'!K114+'EV Dep Sch Y7'!K102</f>
        <v>14161.431964906413</v>
      </c>
      <c r="L170" s="269">
        <f>'EV Dep Sch Y1'!L170+'EV Dep Sch Y2'!L162+'EV Dep Sch Y3'!L150+'EV Dep Sch Y4'!L138+'EV Dep Sch Y5'!L126+'EV Dep Sch Y6'!L114+'EV Dep Sch Y7'!L102</f>
        <v>1584.9436151163686</v>
      </c>
      <c r="M170" s="270">
        <f t="shared" si="6"/>
        <v>14161.431964906413</v>
      </c>
      <c r="N170" s="97"/>
      <c r="O170" s="271"/>
      <c r="P170" s="271"/>
      <c r="Q170" s="271"/>
      <c r="R170" s="271"/>
      <c r="S170" s="271"/>
      <c r="T170" s="271"/>
    </row>
    <row r="171" spans="1:20" s="230" customFormat="1" ht="15">
      <c r="A171" s="267">
        <f t="shared" si="7"/>
        <v>48213</v>
      </c>
      <c r="B171" s="269">
        <f>'EV Dep Sch Y1'!B171+'EV Dep Sch Y2'!B163+'EV Dep Sch Y3'!B151+'EV Dep Sch Y4'!B139+'EV Dep Sch Y5'!B127+'EV Dep Sch Y6'!B115+'EV Dep Sch Y7'!B103</f>
        <v>8708567.9148199037</v>
      </c>
      <c r="C171" s="269">
        <f>'EV Dep Sch Y1'!C171+'EV Dep Sch Y2'!C163+'EV Dep Sch Y3'!C151+'EV Dep Sch Y4'!C139+'EV Dep Sch Y5'!C127+'EV Dep Sch Y6'!C115+'EV Dep Sch Y7'!C103</f>
        <v>8708567.9148199037</v>
      </c>
      <c r="D171" s="269">
        <f>'EV Dep Sch Y1'!D171+'EV Dep Sch Y2'!D163+'EV Dep Sch Y3'!D151+'EV Dep Sch Y4'!D139+'EV Dep Sch Y5'!D127+'EV Dep Sch Y6'!D115+'EV Dep Sch Y7'!D103</f>
        <v>7547.3505481733009</v>
      </c>
      <c r="E171" s="269">
        <f>'EV Dep Sch Y1'!E171+'EV Dep Sch Y2'!E163+'EV Dep Sch Y3'!E151+'EV Dep Sch Y4'!E139+'EV Dep Sch Y5'!E127+'EV Dep Sch Y6'!E115+'EV Dep Sch Y7'!E103</f>
        <v>0</v>
      </c>
      <c r="F171" s="269">
        <f>'EV Dep Sch Y1'!F171+'EV Dep Sch Y2'!F163+'EV Dep Sch Y3'!F151+'EV Dep Sch Y4'!F139+'EV Dep Sch Y5'!F127+'EV Dep Sch Y6'!F115+'EV Dep Sch Y7'!F103</f>
        <v>-8648679.8750590049</v>
      </c>
      <c r="G171" s="269">
        <f>'EV Dep Sch Y1'!G171+'EV Dep Sch Y2'!G163+'EV Dep Sch Y3'!G151+'EV Dep Sch Y4'!G139+'EV Dep Sch Y5'!G127+'EV Dep Sch Y6'!G115+'EV Dep Sch Y7'!G103</f>
        <v>-8708567.9148199037</v>
      </c>
      <c r="H171" s="269">
        <f>'EV Dep Sch Y1'!H171+'EV Dep Sch Y2'!H163+'EV Dep Sch Y3'!H151+'EV Dep Sch Y4'!H139+'EV Dep Sch Y5'!H127+'EV Dep Sch Y6'!H115+'EV Dep Sch Y7'!H103</f>
        <v>59888.039760904969</v>
      </c>
      <c r="I171" s="269">
        <f>'EV Dep Sch Y1'!I171+'EV Dep Sch Y2'!I163+'EV Dep Sch Y3'!I151+'EV Dep Sch Y4'!I139+'EV Dep Sch Y5'!I127+'EV Dep Sch Y6'!I115+'EV Dep Sch Y7'!I103</f>
        <v>0</v>
      </c>
      <c r="J171" s="269">
        <f>'EV Dep Sch Y1'!J171+'EV Dep Sch Y2'!J163+'EV Dep Sch Y3'!J151+'EV Dep Sch Y4'!J139+'EV Dep Sch Y5'!J127+'EV Dep Sch Y6'!J115+'EV Dep Sch Y7'!J103</f>
        <v>-59888.039760904969</v>
      </c>
      <c r="K171" s="269">
        <f>'EV Dep Sch Y1'!K171+'EV Dep Sch Y2'!K163+'EV Dep Sch Y3'!K151+'EV Dep Sch Y4'!K139+'EV Dep Sch Y5'!K127+'EV Dep Sch Y6'!K115+'EV Dep Sch Y7'!K103</f>
        <v>12576.488349790043</v>
      </c>
      <c r="L171" s="269">
        <f>'EV Dep Sch Y1'!L171+'EV Dep Sch Y2'!L163+'EV Dep Sch Y3'!L151+'EV Dep Sch Y4'!L139+'EV Dep Sch Y5'!L127+'EV Dep Sch Y6'!L115+'EV Dep Sch Y7'!L103</f>
        <v>1584.94361511637</v>
      </c>
      <c r="M171" s="270">
        <f t="shared" si="6"/>
        <v>12576.488349790043</v>
      </c>
      <c r="N171" s="97"/>
      <c r="O171" s="271"/>
      <c r="P171" s="271"/>
      <c r="Q171" s="271"/>
      <c r="R171" s="271"/>
      <c r="S171" s="271"/>
      <c r="T171" s="271"/>
    </row>
    <row r="172" spans="1:20" s="230" customFormat="1" ht="15">
      <c r="A172" s="267">
        <f t="shared" si="7"/>
        <v>48244</v>
      </c>
      <c r="B172" s="269">
        <f>'EV Dep Sch Y1'!B172+'EV Dep Sch Y2'!B164+'EV Dep Sch Y3'!B152+'EV Dep Sch Y4'!B140+'EV Dep Sch Y5'!B128+'EV Dep Sch Y6'!B116+'EV Dep Sch Y7'!B104</f>
        <v>8708567.9148199037</v>
      </c>
      <c r="C172" s="269">
        <f>'EV Dep Sch Y1'!C172+'EV Dep Sch Y2'!C164+'EV Dep Sch Y3'!C152+'EV Dep Sch Y4'!C140+'EV Dep Sch Y5'!C128+'EV Dep Sch Y6'!C116+'EV Dep Sch Y7'!C104</f>
        <v>8708567.9148199037</v>
      </c>
      <c r="D172" s="269">
        <f>'EV Dep Sch Y1'!D172+'EV Dep Sch Y2'!D164+'EV Dep Sch Y3'!D152+'EV Dep Sch Y4'!D140+'EV Dep Sch Y5'!D128+'EV Dep Sch Y6'!D116+'EV Dep Sch Y7'!D104</f>
        <v>7547.3505481733009</v>
      </c>
      <c r="E172" s="269">
        <f>'EV Dep Sch Y1'!E172+'EV Dep Sch Y2'!E164+'EV Dep Sch Y3'!E152+'EV Dep Sch Y4'!E140+'EV Dep Sch Y5'!E128+'EV Dep Sch Y6'!E116+'EV Dep Sch Y7'!E104</f>
        <v>0</v>
      </c>
      <c r="F172" s="269">
        <f>'EV Dep Sch Y1'!F172+'EV Dep Sch Y2'!F164+'EV Dep Sch Y3'!F152+'EV Dep Sch Y4'!F140+'EV Dep Sch Y5'!F128+'EV Dep Sch Y6'!F116+'EV Dep Sch Y7'!F104</f>
        <v>-8656227.2256071772</v>
      </c>
      <c r="G172" s="269">
        <f>'EV Dep Sch Y1'!G172+'EV Dep Sch Y2'!G164+'EV Dep Sch Y3'!G152+'EV Dep Sch Y4'!G140+'EV Dep Sch Y5'!G128+'EV Dep Sch Y6'!G116+'EV Dep Sch Y7'!G104</f>
        <v>-8708567.9148199037</v>
      </c>
      <c r="H172" s="269">
        <f>'EV Dep Sch Y1'!H172+'EV Dep Sch Y2'!H164+'EV Dep Sch Y3'!H152+'EV Dep Sch Y4'!H140+'EV Dep Sch Y5'!H128+'EV Dep Sch Y6'!H116+'EV Dep Sch Y7'!H104</f>
        <v>52340.689212731784</v>
      </c>
      <c r="I172" s="269">
        <f>'EV Dep Sch Y1'!I172+'EV Dep Sch Y2'!I164+'EV Dep Sch Y3'!I152+'EV Dep Sch Y4'!I140+'EV Dep Sch Y5'!I128+'EV Dep Sch Y6'!I116+'EV Dep Sch Y7'!I104</f>
        <v>0</v>
      </c>
      <c r="J172" s="269">
        <f>'EV Dep Sch Y1'!J172+'EV Dep Sch Y2'!J164+'EV Dep Sch Y3'!J152+'EV Dep Sch Y4'!J140+'EV Dep Sch Y5'!J128+'EV Dep Sch Y6'!J116+'EV Dep Sch Y7'!J104</f>
        <v>-52340.689212731784</v>
      </c>
      <c r="K172" s="269">
        <f>'EV Dep Sch Y1'!K172+'EV Dep Sch Y2'!K164+'EV Dep Sch Y3'!K152+'EV Dep Sch Y4'!K140+'EV Dep Sch Y5'!K128+'EV Dep Sch Y6'!K116+'EV Dep Sch Y7'!K104</f>
        <v>10991.544734673675</v>
      </c>
      <c r="L172" s="269">
        <f>'EV Dep Sch Y1'!L172+'EV Dep Sch Y2'!L164+'EV Dep Sch Y3'!L152+'EV Dep Sch Y4'!L140+'EV Dep Sch Y5'!L128+'EV Dep Sch Y6'!L116+'EV Dep Sch Y7'!L104</f>
        <v>1584.9436151163684</v>
      </c>
      <c r="M172" s="270">
        <f t="shared" si="6"/>
        <v>10991.544734673675</v>
      </c>
      <c r="N172" s="97"/>
      <c r="O172" s="271"/>
      <c r="P172" s="271"/>
      <c r="Q172" s="271"/>
      <c r="R172" s="271"/>
      <c r="S172" s="271"/>
      <c r="T172" s="271"/>
    </row>
    <row r="173" spans="1:20" s="230" customFormat="1" ht="15">
      <c r="A173" s="267">
        <f t="shared" si="7"/>
        <v>48273</v>
      </c>
      <c r="B173" s="269">
        <f>'EV Dep Sch Y1'!B173+'EV Dep Sch Y2'!B165+'EV Dep Sch Y3'!B153+'EV Dep Sch Y4'!B141+'EV Dep Sch Y5'!B129+'EV Dep Sch Y6'!B117+'EV Dep Sch Y7'!B105</f>
        <v>8708567.9148199037</v>
      </c>
      <c r="C173" s="269">
        <f>'EV Dep Sch Y1'!C173+'EV Dep Sch Y2'!C165+'EV Dep Sch Y3'!C153+'EV Dep Sch Y4'!C141+'EV Dep Sch Y5'!C129+'EV Dep Sch Y6'!C117+'EV Dep Sch Y7'!C105</f>
        <v>8708567.9148199037</v>
      </c>
      <c r="D173" s="269">
        <f>'EV Dep Sch Y1'!D173+'EV Dep Sch Y2'!D165+'EV Dep Sch Y3'!D153+'EV Dep Sch Y4'!D141+'EV Dep Sch Y5'!D129+'EV Dep Sch Y6'!D117+'EV Dep Sch Y7'!D105</f>
        <v>7547.3505481733009</v>
      </c>
      <c r="E173" s="269">
        <f>'EV Dep Sch Y1'!E173+'EV Dep Sch Y2'!E165+'EV Dep Sch Y3'!E153+'EV Dep Sch Y4'!E141+'EV Dep Sch Y5'!E129+'EV Dep Sch Y6'!E117+'EV Dep Sch Y7'!E105</f>
        <v>0</v>
      </c>
      <c r="F173" s="269">
        <f>'EV Dep Sch Y1'!F173+'EV Dep Sch Y2'!F165+'EV Dep Sch Y3'!F153+'EV Dep Sch Y4'!F141+'EV Dep Sch Y5'!F129+'EV Dep Sch Y6'!F117+'EV Dep Sch Y7'!F105</f>
        <v>-8663774.5761553496</v>
      </c>
      <c r="G173" s="269">
        <f>'EV Dep Sch Y1'!G173+'EV Dep Sch Y2'!G165+'EV Dep Sch Y3'!G153+'EV Dep Sch Y4'!G141+'EV Dep Sch Y5'!G129+'EV Dep Sch Y6'!G117+'EV Dep Sch Y7'!G105</f>
        <v>-8708567.9148199037</v>
      </c>
      <c r="H173" s="269">
        <f>'EV Dep Sch Y1'!H173+'EV Dep Sch Y2'!H165+'EV Dep Sch Y3'!H153+'EV Dep Sch Y4'!H141+'EV Dep Sch Y5'!H129+'EV Dep Sch Y6'!H117+'EV Dep Sch Y7'!H105</f>
        <v>44793.3386645586</v>
      </c>
      <c r="I173" s="269">
        <f>'EV Dep Sch Y1'!I173+'EV Dep Sch Y2'!I165+'EV Dep Sch Y3'!I153+'EV Dep Sch Y4'!I141+'EV Dep Sch Y5'!I129+'EV Dep Sch Y6'!I117+'EV Dep Sch Y7'!I105</f>
        <v>0</v>
      </c>
      <c r="J173" s="269">
        <f>'EV Dep Sch Y1'!J173+'EV Dep Sch Y2'!J165+'EV Dep Sch Y3'!J153+'EV Dep Sch Y4'!J141+'EV Dep Sch Y5'!J129+'EV Dep Sch Y6'!J117+'EV Dep Sch Y7'!J105</f>
        <v>-44793.3386645586</v>
      </c>
      <c r="K173" s="269">
        <f>'EV Dep Sch Y1'!K173+'EV Dep Sch Y2'!K165+'EV Dep Sch Y3'!K153+'EV Dep Sch Y4'!K141+'EV Dep Sch Y5'!K129+'EV Dep Sch Y6'!K117+'EV Dep Sch Y7'!K105</f>
        <v>9406.6011195573046</v>
      </c>
      <c r="L173" s="269">
        <f>'EV Dep Sch Y1'!L173+'EV Dep Sch Y2'!L165+'EV Dep Sch Y3'!L153+'EV Dep Sch Y4'!L141+'EV Dep Sch Y5'!L129+'EV Dep Sch Y6'!L117+'EV Dep Sch Y7'!L105</f>
        <v>1584.9436151163686</v>
      </c>
      <c r="M173" s="270">
        <f t="shared" si="6"/>
        <v>9406.6011195573046</v>
      </c>
      <c r="N173" s="97"/>
      <c r="O173" s="271"/>
      <c r="P173" s="271"/>
      <c r="Q173" s="271"/>
      <c r="R173" s="271"/>
      <c r="S173" s="271"/>
      <c r="T173" s="271"/>
    </row>
    <row r="174" spans="1:20" s="230" customFormat="1" ht="15">
      <c r="A174" s="267">
        <f t="shared" si="7"/>
        <v>48304</v>
      </c>
      <c r="B174" s="269">
        <f>'EV Dep Sch Y1'!B174+'EV Dep Sch Y2'!B166+'EV Dep Sch Y3'!B154+'EV Dep Sch Y4'!B142+'EV Dep Sch Y5'!B130+'EV Dep Sch Y6'!B118+'EV Dep Sch Y7'!B106</f>
        <v>8708567.9148199037</v>
      </c>
      <c r="C174" s="269">
        <f>'EV Dep Sch Y1'!C174+'EV Dep Sch Y2'!C166+'EV Dep Sch Y3'!C154+'EV Dep Sch Y4'!C142+'EV Dep Sch Y5'!C130+'EV Dep Sch Y6'!C118+'EV Dep Sch Y7'!C106</f>
        <v>8708567.9148199037</v>
      </c>
      <c r="D174" s="269">
        <f>'EV Dep Sch Y1'!D174+'EV Dep Sch Y2'!D166+'EV Dep Sch Y3'!D154+'EV Dep Sch Y4'!D142+'EV Dep Sch Y5'!D130+'EV Dep Sch Y6'!D118+'EV Dep Sch Y7'!D106</f>
        <v>6478.0947992013662</v>
      </c>
      <c r="E174" s="269">
        <f>'EV Dep Sch Y1'!E174+'EV Dep Sch Y2'!E166+'EV Dep Sch Y3'!E154+'EV Dep Sch Y4'!E142+'EV Dep Sch Y5'!E130+'EV Dep Sch Y6'!E118+'EV Dep Sch Y7'!E106</f>
        <v>0</v>
      </c>
      <c r="F174" s="269">
        <f>'EV Dep Sch Y1'!F174+'EV Dep Sch Y2'!F166+'EV Dep Sch Y3'!F154+'EV Dep Sch Y4'!F142+'EV Dep Sch Y5'!F130+'EV Dep Sch Y6'!F118+'EV Dep Sch Y7'!F106</f>
        <v>-8670252.6709545515</v>
      </c>
      <c r="G174" s="269">
        <f>'EV Dep Sch Y1'!G174+'EV Dep Sch Y2'!G166+'EV Dep Sch Y3'!G154+'EV Dep Sch Y4'!G142+'EV Dep Sch Y5'!G130+'EV Dep Sch Y6'!G118+'EV Dep Sch Y7'!G106</f>
        <v>-8708567.9148199037</v>
      </c>
      <c r="H174" s="269">
        <f>'EV Dep Sch Y1'!H174+'EV Dep Sch Y2'!H166+'EV Dep Sch Y3'!H154+'EV Dep Sch Y4'!H142+'EV Dep Sch Y5'!H130+'EV Dep Sch Y6'!H118+'EV Dep Sch Y7'!H106</f>
        <v>38315.243865357246</v>
      </c>
      <c r="I174" s="269">
        <f>'EV Dep Sch Y1'!I174+'EV Dep Sch Y2'!I166+'EV Dep Sch Y3'!I154+'EV Dep Sch Y4'!I142+'EV Dep Sch Y5'!I130+'EV Dep Sch Y6'!I118+'EV Dep Sch Y7'!I106</f>
        <v>0</v>
      </c>
      <c r="J174" s="269">
        <f>'EV Dep Sch Y1'!J174+'EV Dep Sch Y2'!J166+'EV Dep Sch Y3'!J154+'EV Dep Sch Y4'!J142+'EV Dep Sch Y5'!J130+'EV Dep Sch Y6'!J118+'EV Dep Sch Y7'!J106</f>
        <v>-38315.243865357246</v>
      </c>
      <c r="K174" s="269">
        <f>'EV Dep Sch Y1'!K174+'EV Dep Sch Y2'!K166+'EV Dep Sch Y3'!K154+'EV Dep Sch Y4'!K142+'EV Dep Sch Y5'!K130+'EV Dep Sch Y6'!K118+'EV Dep Sch Y7'!K106</f>
        <v>8046.2012117250215</v>
      </c>
      <c r="L174" s="269">
        <f>'EV Dep Sch Y1'!L174+'EV Dep Sch Y2'!L166+'EV Dep Sch Y3'!L154+'EV Dep Sch Y4'!L142+'EV Dep Sch Y5'!L130+'EV Dep Sch Y6'!L118+'EV Dep Sch Y7'!L106</f>
        <v>1360.399907832284</v>
      </c>
      <c r="M174" s="270">
        <f t="shared" si="6"/>
        <v>8046.2012117250215</v>
      </c>
      <c r="N174" s="97"/>
      <c r="O174" s="271"/>
      <c r="P174" s="271"/>
      <c r="Q174" s="271"/>
      <c r="R174" s="271"/>
      <c r="S174" s="271"/>
      <c r="T174" s="271"/>
    </row>
    <row r="175" spans="1:20" s="230" customFormat="1" ht="15">
      <c r="A175" s="267">
        <f t="shared" si="7"/>
        <v>48334</v>
      </c>
      <c r="B175" s="269">
        <f>'EV Dep Sch Y1'!B175+'EV Dep Sch Y2'!B167+'EV Dep Sch Y3'!B155+'EV Dep Sch Y4'!B143+'EV Dep Sch Y5'!B131+'EV Dep Sch Y6'!B119+'EV Dep Sch Y7'!B107</f>
        <v>8708567.9148199037</v>
      </c>
      <c r="C175" s="269">
        <f>'EV Dep Sch Y1'!C175+'EV Dep Sch Y2'!C167+'EV Dep Sch Y3'!C155+'EV Dep Sch Y4'!C143+'EV Dep Sch Y5'!C131+'EV Dep Sch Y6'!C119+'EV Dep Sch Y7'!C107</f>
        <v>8708567.9148199037</v>
      </c>
      <c r="D175" s="269">
        <f>'EV Dep Sch Y1'!D175+'EV Dep Sch Y2'!D167+'EV Dep Sch Y3'!D155+'EV Dep Sch Y4'!D143+'EV Dep Sch Y5'!D131+'EV Dep Sch Y6'!D119+'EV Dep Sch Y7'!D107</f>
        <v>3260.7162646470952</v>
      </c>
      <c r="E175" s="269">
        <f>'EV Dep Sch Y1'!E175+'EV Dep Sch Y2'!E167+'EV Dep Sch Y3'!E155+'EV Dep Sch Y4'!E143+'EV Dep Sch Y5'!E131+'EV Dep Sch Y6'!E119+'EV Dep Sch Y7'!E107</f>
        <v>0</v>
      </c>
      <c r="F175" s="269">
        <f>'EV Dep Sch Y1'!F175+'EV Dep Sch Y2'!F167+'EV Dep Sch Y3'!F155+'EV Dep Sch Y4'!F143+'EV Dep Sch Y5'!F131+'EV Dep Sch Y6'!F119+'EV Dep Sch Y7'!F107</f>
        <v>-8673513.387219198</v>
      </c>
      <c r="G175" s="269">
        <f>'EV Dep Sch Y1'!G175+'EV Dep Sch Y2'!G167+'EV Dep Sch Y3'!G155+'EV Dep Sch Y4'!G143+'EV Dep Sch Y5'!G131+'EV Dep Sch Y6'!G119+'EV Dep Sch Y7'!G107</f>
        <v>-8708567.9148199037</v>
      </c>
      <c r="H175" s="269">
        <f>'EV Dep Sch Y1'!H175+'EV Dep Sch Y2'!H167+'EV Dep Sch Y3'!H155+'EV Dep Sch Y4'!H143+'EV Dep Sch Y5'!H131+'EV Dep Sch Y6'!H119+'EV Dep Sch Y7'!H107</f>
        <v>35054.527600710164</v>
      </c>
      <c r="I175" s="269">
        <f>'EV Dep Sch Y1'!I175+'EV Dep Sch Y2'!I167+'EV Dep Sch Y3'!I155+'EV Dep Sch Y4'!I143+'EV Dep Sch Y5'!I131+'EV Dep Sch Y6'!I119+'EV Dep Sch Y7'!I107</f>
        <v>0</v>
      </c>
      <c r="J175" s="269">
        <f>'EV Dep Sch Y1'!J175+'EV Dep Sch Y2'!J167+'EV Dep Sch Y3'!J155+'EV Dep Sch Y4'!J143+'EV Dep Sch Y5'!J131+'EV Dep Sch Y6'!J119+'EV Dep Sch Y7'!J107</f>
        <v>-35054.527600710164</v>
      </c>
      <c r="K175" s="269">
        <f>'EV Dep Sch Y1'!K175+'EV Dep Sch Y2'!K167+'EV Dep Sch Y3'!K155+'EV Dep Sch Y4'!K143+'EV Dep Sch Y5'!K131+'EV Dep Sch Y6'!K119+'EV Dep Sch Y7'!K107</f>
        <v>7361.4507961491345</v>
      </c>
      <c r="L175" s="269">
        <f>'EV Dep Sch Y1'!L175+'EV Dep Sch Y2'!L167+'EV Dep Sch Y3'!L155+'EV Dep Sch Y4'!L143+'EV Dep Sch Y5'!L131+'EV Dep Sch Y6'!L119+'EV Dep Sch Y7'!L107</f>
        <v>684.75041557588702</v>
      </c>
      <c r="M175" s="270">
        <f t="shared" si="6"/>
        <v>7361.4507961491345</v>
      </c>
      <c r="N175" s="97"/>
      <c r="O175" s="271"/>
      <c r="P175" s="271"/>
      <c r="Q175" s="271"/>
      <c r="R175" s="271"/>
      <c r="S175" s="271"/>
      <c r="T175" s="271"/>
    </row>
    <row r="176" spans="1:20" s="230" customFormat="1" ht="15">
      <c r="A176" s="267">
        <f t="shared" si="7"/>
        <v>48365</v>
      </c>
      <c r="B176" s="269">
        <f>'EV Dep Sch Y1'!B176+'EV Dep Sch Y2'!B168+'EV Dep Sch Y3'!B156+'EV Dep Sch Y4'!B144+'EV Dep Sch Y5'!B132+'EV Dep Sch Y6'!B120+'EV Dep Sch Y7'!B108</f>
        <v>8708567.9148199037</v>
      </c>
      <c r="C176" s="269">
        <f>'EV Dep Sch Y1'!C176+'EV Dep Sch Y2'!C168+'EV Dep Sch Y3'!C156+'EV Dep Sch Y4'!C144+'EV Dep Sch Y5'!C132+'EV Dep Sch Y6'!C120+'EV Dep Sch Y7'!C108</f>
        <v>8708567.9148199037</v>
      </c>
      <c r="D176" s="269">
        <f>'EV Dep Sch Y1'!D176+'EV Dep Sch Y2'!D168+'EV Dep Sch Y3'!D156+'EV Dep Sch Y4'!D144+'EV Dep Sch Y5'!D132+'EV Dep Sch Y6'!D120+'EV Dep Sch Y7'!D108</f>
        <v>3260.7162646470952</v>
      </c>
      <c r="E176" s="269">
        <f>'EV Dep Sch Y1'!E176+'EV Dep Sch Y2'!E168+'EV Dep Sch Y3'!E156+'EV Dep Sch Y4'!E144+'EV Dep Sch Y5'!E132+'EV Dep Sch Y6'!E120+'EV Dep Sch Y7'!E108</f>
        <v>0</v>
      </c>
      <c r="F176" s="269">
        <f>'EV Dep Sch Y1'!F176+'EV Dep Sch Y2'!F168+'EV Dep Sch Y3'!F156+'EV Dep Sch Y4'!F144+'EV Dep Sch Y5'!F132+'EV Dep Sch Y6'!F120+'EV Dep Sch Y7'!F108</f>
        <v>-8676774.1034838464</v>
      </c>
      <c r="G176" s="269">
        <f>'EV Dep Sch Y1'!G176+'EV Dep Sch Y2'!G168+'EV Dep Sch Y3'!G156+'EV Dep Sch Y4'!G144+'EV Dep Sch Y5'!G132+'EV Dep Sch Y6'!G120+'EV Dep Sch Y7'!G108</f>
        <v>-8708567.9148199037</v>
      </c>
      <c r="H176" s="269">
        <f>'EV Dep Sch Y1'!H176+'EV Dep Sch Y2'!H168+'EV Dep Sch Y3'!H156+'EV Dep Sch Y4'!H144+'EV Dep Sch Y5'!H132+'EV Dep Sch Y6'!H120+'EV Dep Sch Y7'!H108</f>
        <v>31793.811336063081</v>
      </c>
      <c r="I176" s="269">
        <f>'EV Dep Sch Y1'!I176+'EV Dep Sch Y2'!I168+'EV Dep Sch Y3'!I156+'EV Dep Sch Y4'!I144+'EV Dep Sch Y5'!I132+'EV Dep Sch Y6'!I120+'EV Dep Sch Y7'!I108</f>
        <v>0</v>
      </c>
      <c r="J176" s="269">
        <f>'EV Dep Sch Y1'!J176+'EV Dep Sch Y2'!J168+'EV Dep Sch Y3'!J156+'EV Dep Sch Y4'!J144+'EV Dep Sch Y5'!J132+'EV Dep Sch Y6'!J120+'EV Dep Sch Y7'!J108</f>
        <v>-31793.811336063081</v>
      </c>
      <c r="K176" s="269">
        <f>'EV Dep Sch Y1'!K176+'EV Dep Sch Y2'!K168+'EV Dep Sch Y3'!K156+'EV Dep Sch Y4'!K144+'EV Dep Sch Y5'!K132+'EV Dep Sch Y6'!K120+'EV Dep Sch Y7'!K108</f>
        <v>6676.7003805732465</v>
      </c>
      <c r="L176" s="269">
        <f>'EV Dep Sch Y1'!L176+'EV Dep Sch Y2'!L168+'EV Dep Sch Y3'!L156+'EV Dep Sch Y4'!L144+'EV Dep Sch Y5'!L132+'EV Dep Sch Y6'!L120+'EV Dep Sch Y7'!L108</f>
        <v>684.75041557588793</v>
      </c>
      <c r="M176" s="270">
        <f t="shared" si="6"/>
        <v>6676.7003805732465</v>
      </c>
      <c r="N176" s="97"/>
      <c r="O176" s="271"/>
      <c r="P176" s="271"/>
      <c r="Q176" s="271"/>
      <c r="R176" s="271"/>
      <c r="S176" s="271"/>
      <c r="T176" s="271"/>
    </row>
    <row r="177" spans="1:20" s="230" customFormat="1" ht="15">
      <c r="A177" s="267">
        <f t="shared" si="7"/>
        <v>48395</v>
      </c>
      <c r="B177" s="269">
        <f>'EV Dep Sch Y1'!B177+'EV Dep Sch Y2'!B169+'EV Dep Sch Y3'!B157+'EV Dep Sch Y4'!B145+'EV Dep Sch Y5'!B133+'EV Dep Sch Y6'!B121+'EV Dep Sch Y7'!B109</f>
        <v>8708567.9148199037</v>
      </c>
      <c r="C177" s="269">
        <f>'EV Dep Sch Y1'!C177+'EV Dep Sch Y2'!C169+'EV Dep Sch Y3'!C157+'EV Dep Sch Y4'!C145+'EV Dep Sch Y5'!C133+'EV Dep Sch Y6'!C121+'EV Dep Sch Y7'!C109</f>
        <v>8708567.9148199037</v>
      </c>
      <c r="D177" s="269">
        <f>'EV Dep Sch Y1'!D177+'EV Dep Sch Y2'!D169+'EV Dep Sch Y3'!D157+'EV Dep Sch Y4'!D145+'EV Dep Sch Y5'!D133+'EV Dep Sch Y6'!D121+'EV Dep Sch Y7'!D109</f>
        <v>3260.7162646470952</v>
      </c>
      <c r="E177" s="269">
        <f>'EV Dep Sch Y1'!E177+'EV Dep Sch Y2'!E169+'EV Dep Sch Y3'!E157+'EV Dep Sch Y4'!E145+'EV Dep Sch Y5'!E133+'EV Dep Sch Y6'!E121+'EV Dep Sch Y7'!E109</f>
        <v>0</v>
      </c>
      <c r="F177" s="269">
        <f>'EV Dep Sch Y1'!F177+'EV Dep Sch Y2'!F169+'EV Dep Sch Y3'!F157+'EV Dep Sch Y4'!F145+'EV Dep Sch Y5'!F133+'EV Dep Sch Y6'!F121+'EV Dep Sch Y7'!F109</f>
        <v>-8680034.8197484929</v>
      </c>
      <c r="G177" s="269">
        <f>'EV Dep Sch Y1'!G177+'EV Dep Sch Y2'!G169+'EV Dep Sch Y3'!G157+'EV Dep Sch Y4'!G145+'EV Dep Sch Y5'!G133+'EV Dep Sch Y6'!G121+'EV Dep Sch Y7'!G109</f>
        <v>-8708567.9148199037</v>
      </c>
      <c r="H177" s="269">
        <f>'EV Dep Sch Y1'!H177+'EV Dep Sch Y2'!H169+'EV Dep Sch Y3'!H157+'EV Dep Sch Y4'!H145+'EV Dep Sch Y5'!H133+'EV Dep Sch Y6'!H121+'EV Dep Sch Y7'!H109</f>
        <v>28533.095071415999</v>
      </c>
      <c r="I177" s="269">
        <f>'EV Dep Sch Y1'!I177+'EV Dep Sch Y2'!I169+'EV Dep Sch Y3'!I157+'EV Dep Sch Y4'!I145+'EV Dep Sch Y5'!I133+'EV Dep Sch Y6'!I121+'EV Dep Sch Y7'!I109</f>
        <v>0</v>
      </c>
      <c r="J177" s="269">
        <f>'EV Dep Sch Y1'!J177+'EV Dep Sch Y2'!J169+'EV Dep Sch Y3'!J157+'EV Dep Sch Y4'!J145+'EV Dep Sch Y5'!J133+'EV Dep Sch Y6'!J121+'EV Dep Sch Y7'!J109</f>
        <v>-28533.095071415999</v>
      </c>
      <c r="K177" s="269">
        <f>'EV Dep Sch Y1'!K177+'EV Dep Sch Y2'!K169+'EV Dep Sch Y3'!K157+'EV Dep Sch Y4'!K145+'EV Dep Sch Y5'!K133+'EV Dep Sch Y6'!K121+'EV Dep Sch Y7'!K109</f>
        <v>5991.9499649973595</v>
      </c>
      <c r="L177" s="269">
        <f>'EV Dep Sch Y1'!L177+'EV Dep Sch Y2'!L169+'EV Dep Sch Y3'!L157+'EV Dep Sch Y4'!L145+'EV Dep Sch Y5'!L133+'EV Dep Sch Y6'!L121+'EV Dep Sch Y7'!L109</f>
        <v>684.75041557588702</v>
      </c>
      <c r="M177" s="270">
        <f t="shared" si="6"/>
        <v>5991.9499649973595</v>
      </c>
      <c r="N177" s="97"/>
      <c r="O177" s="271"/>
      <c r="P177" s="271"/>
      <c r="Q177" s="271"/>
      <c r="R177" s="271"/>
      <c r="S177" s="271"/>
      <c r="T177" s="271"/>
    </row>
    <row r="178" spans="1:20" s="230" customFormat="1" ht="15">
      <c r="A178" s="267">
        <f t="shared" si="7"/>
        <v>48426</v>
      </c>
      <c r="B178" s="269">
        <f>'EV Dep Sch Y1'!B178+'EV Dep Sch Y2'!B170+'EV Dep Sch Y3'!B158+'EV Dep Sch Y4'!B146+'EV Dep Sch Y5'!B134+'EV Dep Sch Y6'!B122+'EV Dep Sch Y7'!B110</f>
        <v>8708567.9148199037</v>
      </c>
      <c r="C178" s="269">
        <f>'EV Dep Sch Y1'!C178+'EV Dep Sch Y2'!C170+'EV Dep Sch Y3'!C158+'EV Dep Sch Y4'!C146+'EV Dep Sch Y5'!C134+'EV Dep Sch Y6'!C122+'EV Dep Sch Y7'!C110</f>
        <v>8708567.9148199037</v>
      </c>
      <c r="D178" s="269">
        <f>'EV Dep Sch Y1'!D178+'EV Dep Sch Y2'!D170+'EV Dep Sch Y3'!D158+'EV Dep Sch Y4'!D146+'EV Dep Sch Y5'!D134+'EV Dep Sch Y6'!D122+'EV Dep Sch Y7'!D110</f>
        <v>3260.7162646470952</v>
      </c>
      <c r="E178" s="269">
        <f>'EV Dep Sch Y1'!E178+'EV Dep Sch Y2'!E170+'EV Dep Sch Y3'!E158+'EV Dep Sch Y4'!E146+'EV Dep Sch Y5'!E134+'EV Dep Sch Y6'!E122+'EV Dep Sch Y7'!E110</f>
        <v>0</v>
      </c>
      <c r="F178" s="269">
        <f>'EV Dep Sch Y1'!F178+'EV Dep Sch Y2'!F170+'EV Dep Sch Y3'!F158+'EV Dep Sch Y4'!F146+'EV Dep Sch Y5'!F134+'EV Dep Sch Y6'!F122+'EV Dep Sch Y7'!F110</f>
        <v>-8683295.5360131394</v>
      </c>
      <c r="G178" s="269">
        <f>'EV Dep Sch Y1'!G178+'EV Dep Sch Y2'!G170+'EV Dep Sch Y3'!G158+'EV Dep Sch Y4'!G146+'EV Dep Sch Y5'!G134+'EV Dep Sch Y6'!G122+'EV Dep Sch Y7'!G110</f>
        <v>-8708567.9148199037</v>
      </c>
      <c r="H178" s="269">
        <f>'EV Dep Sch Y1'!H178+'EV Dep Sch Y2'!H170+'EV Dep Sch Y3'!H158+'EV Dep Sch Y4'!H146+'EV Dep Sch Y5'!H134+'EV Dep Sch Y6'!H122+'EV Dep Sch Y7'!H110</f>
        <v>25272.378806768917</v>
      </c>
      <c r="I178" s="269">
        <f>'EV Dep Sch Y1'!I178+'EV Dep Sch Y2'!I170+'EV Dep Sch Y3'!I158+'EV Dep Sch Y4'!I146+'EV Dep Sch Y5'!I134+'EV Dep Sch Y6'!I122+'EV Dep Sch Y7'!I110</f>
        <v>0</v>
      </c>
      <c r="J178" s="269">
        <f>'EV Dep Sch Y1'!J178+'EV Dep Sch Y2'!J170+'EV Dep Sch Y3'!J158+'EV Dep Sch Y4'!J146+'EV Dep Sch Y5'!J134+'EV Dep Sch Y6'!J122+'EV Dep Sch Y7'!J110</f>
        <v>-25272.378806768917</v>
      </c>
      <c r="K178" s="269">
        <f>'EV Dep Sch Y1'!K178+'EV Dep Sch Y2'!K170+'EV Dep Sch Y3'!K158+'EV Dep Sch Y4'!K146+'EV Dep Sch Y5'!K134+'EV Dep Sch Y6'!K122+'EV Dep Sch Y7'!K110</f>
        <v>5307.1995494214725</v>
      </c>
      <c r="L178" s="269">
        <f>'EV Dep Sch Y1'!L178+'EV Dep Sch Y2'!L170+'EV Dep Sch Y3'!L158+'EV Dep Sch Y4'!L146+'EV Dep Sch Y5'!L134+'EV Dep Sch Y6'!L122+'EV Dep Sch Y7'!L110</f>
        <v>684.75041557588702</v>
      </c>
      <c r="M178" s="270">
        <f t="shared" si="6"/>
        <v>5307.1995494214725</v>
      </c>
      <c r="N178" s="97"/>
      <c r="O178" s="271"/>
      <c r="P178" s="271"/>
      <c r="Q178" s="271"/>
      <c r="R178" s="271"/>
      <c r="S178" s="271"/>
      <c r="T178" s="271"/>
    </row>
    <row r="179" spans="1:20" s="230" customFormat="1" ht="15">
      <c r="A179" s="267">
        <f t="shared" si="7"/>
        <v>48457</v>
      </c>
      <c r="B179" s="269">
        <f>'EV Dep Sch Y1'!B179+'EV Dep Sch Y2'!B171+'EV Dep Sch Y3'!B159+'EV Dep Sch Y4'!B147+'EV Dep Sch Y5'!B135+'EV Dep Sch Y6'!B123+'EV Dep Sch Y7'!B111</f>
        <v>8708567.9148199037</v>
      </c>
      <c r="C179" s="269">
        <f>'EV Dep Sch Y1'!C179+'EV Dep Sch Y2'!C171+'EV Dep Sch Y3'!C159+'EV Dep Sch Y4'!C147+'EV Dep Sch Y5'!C135+'EV Dep Sch Y6'!C123+'EV Dep Sch Y7'!C111</f>
        <v>8708567.9148199037</v>
      </c>
      <c r="D179" s="269">
        <f>'EV Dep Sch Y1'!D179+'EV Dep Sch Y2'!D171+'EV Dep Sch Y3'!D159+'EV Dep Sch Y4'!D147+'EV Dep Sch Y5'!D135+'EV Dep Sch Y6'!D123+'EV Dep Sch Y7'!D111</f>
        <v>3260.7162646470952</v>
      </c>
      <c r="E179" s="269">
        <f>'EV Dep Sch Y1'!E179+'EV Dep Sch Y2'!E171+'EV Dep Sch Y3'!E159+'EV Dep Sch Y4'!E147+'EV Dep Sch Y5'!E135+'EV Dep Sch Y6'!E123+'EV Dep Sch Y7'!E111</f>
        <v>0</v>
      </c>
      <c r="F179" s="269">
        <f>'EV Dep Sch Y1'!F179+'EV Dep Sch Y2'!F171+'EV Dep Sch Y3'!F159+'EV Dep Sch Y4'!F147+'EV Dep Sch Y5'!F135+'EV Dep Sch Y6'!F123+'EV Dep Sch Y7'!F111</f>
        <v>-8686556.2522777878</v>
      </c>
      <c r="G179" s="269">
        <f>'EV Dep Sch Y1'!G179+'EV Dep Sch Y2'!G171+'EV Dep Sch Y3'!G159+'EV Dep Sch Y4'!G147+'EV Dep Sch Y5'!G135+'EV Dep Sch Y6'!G123+'EV Dep Sch Y7'!G111</f>
        <v>-8708567.9148199037</v>
      </c>
      <c r="H179" s="269">
        <f>'EV Dep Sch Y1'!H179+'EV Dep Sch Y2'!H171+'EV Dep Sch Y3'!H159+'EV Dep Sch Y4'!H147+'EV Dep Sch Y5'!H135+'EV Dep Sch Y6'!H123+'EV Dep Sch Y7'!H111</f>
        <v>22011.662542121834</v>
      </c>
      <c r="I179" s="269">
        <f>'EV Dep Sch Y1'!I179+'EV Dep Sch Y2'!I171+'EV Dep Sch Y3'!I159+'EV Dep Sch Y4'!I147+'EV Dep Sch Y5'!I135+'EV Dep Sch Y6'!I123+'EV Dep Sch Y7'!I111</f>
        <v>0</v>
      </c>
      <c r="J179" s="269">
        <f>'EV Dep Sch Y1'!J179+'EV Dep Sch Y2'!J171+'EV Dep Sch Y3'!J159+'EV Dep Sch Y4'!J147+'EV Dep Sch Y5'!J135+'EV Dep Sch Y6'!J123+'EV Dep Sch Y7'!J111</f>
        <v>-22011.662542121834</v>
      </c>
      <c r="K179" s="269">
        <f>'EV Dep Sch Y1'!K179+'EV Dep Sch Y2'!K171+'EV Dep Sch Y3'!K159+'EV Dep Sch Y4'!K147+'EV Dep Sch Y5'!K135+'EV Dep Sch Y6'!K123+'EV Dep Sch Y7'!K111</f>
        <v>4622.4491338455846</v>
      </c>
      <c r="L179" s="269">
        <f>'EV Dep Sch Y1'!L179+'EV Dep Sch Y2'!L171+'EV Dep Sch Y3'!L159+'EV Dep Sch Y4'!L147+'EV Dep Sch Y5'!L135+'EV Dep Sch Y6'!L123+'EV Dep Sch Y7'!L111</f>
        <v>684.75041557588793</v>
      </c>
      <c r="M179" s="270">
        <f t="shared" si="6"/>
        <v>4622.4491338455846</v>
      </c>
      <c r="N179" s="97"/>
      <c r="O179" s="271"/>
      <c r="P179" s="271"/>
      <c r="Q179" s="271"/>
      <c r="R179" s="271"/>
      <c r="S179" s="271"/>
      <c r="T179" s="271"/>
    </row>
    <row r="180" spans="1:20" s="230" customFormat="1" ht="15">
      <c r="A180" s="267">
        <f t="shared" si="7"/>
        <v>48487</v>
      </c>
      <c r="B180" s="269">
        <f>'EV Dep Sch Y1'!B180+'EV Dep Sch Y2'!B172+'EV Dep Sch Y3'!B160+'EV Dep Sch Y4'!B148+'EV Dep Sch Y5'!B136+'EV Dep Sch Y6'!B124+'EV Dep Sch Y7'!B112</f>
        <v>8708567.9148199037</v>
      </c>
      <c r="C180" s="269">
        <f>'EV Dep Sch Y1'!C180+'EV Dep Sch Y2'!C172+'EV Dep Sch Y3'!C160+'EV Dep Sch Y4'!C148+'EV Dep Sch Y5'!C136+'EV Dep Sch Y6'!C124+'EV Dep Sch Y7'!C112</f>
        <v>8708567.9148199037</v>
      </c>
      <c r="D180" s="269">
        <f>'EV Dep Sch Y1'!D180+'EV Dep Sch Y2'!D172+'EV Dep Sch Y3'!D160+'EV Dep Sch Y4'!D148+'EV Dep Sch Y5'!D136+'EV Dep Sch Y6'!D124+'EV Dep Sch Y7'!D112</f>
        <v>3260.7162646470952</v>
      </c>
      <c r="E180" s="269">
        <f>'EV Dep Sch Y1'!E180+'EV Dep Sch Y2'!E172+'EV Dep Sch Y3'!E160+'EV Dep Sch Y4'!E148+'EV Dep Sch Y5'!E136+'EV Dep Sch Y6'!E124+'EV Dep Sch Y7'!E112</f>
        <v>0</v>
      </c>
      <c r="F180" s="269">
        <f>'EV Dep Sch Y1'!F180+'EV Dep Sch Y2'!F172+'EV Dep Sch Y3'!F160+'EV Dep Sch Y4'!F148+'EV Dep Sch Y5'!F136+'EV Dep Sch Y6'!F124+'EV Dep Sch Y7'!F112</f>
        <v>-8689816.9685424343</v>
      </c>
      <c r="G180" s="269">
        <f>'EV Dep Sch Y1'!G180+'EV Dep Sch Y2'!G172+'EV Dep Sch Y3'!G160+'EV Dep Sch Y4'!G148+'EV Dep Sch Y5'!G136+'EV Dep Sch Y6'!G124+'EV Dep Sch Y7'!G112</f>
        <v>-8708567.9148199037</v>
      </c>
      <c r="H180" s="269">
        <f>'EV Dep Sch Y1'!H180+'EV Dep Sch Y2'!H172+'EV Dep Sch Y3'!H160+'EV Dep Sch Y4'!H148+'EV Dep Sch Y5'!H136+'EV Dep Sch Y6'!H124+'EV Dep Sch Y7'!H112</f>
        <v>18750.946277474752</v>
      </c>
      <c r="I180" s="269">
        <f>'EV Dep Sch Y1'!I180+'EV Dep Sch Y2'!I172+'EV Dep Sch Y3'!I160+'EV Dep Sch Y4'!I148+'EV Dep Sch Y5'!I136+'EV Dep Sch Y6'!I124+'EV Dep Sch Y7'!I112</f>
        <v>0</v>
      </c>
      <c r="J180" s="269">
        <f>'EV Dep Sch Y1'!J180+'EV Dep Sch Y2'!J172+'EV Dep Sch Y3'!J160+'EV Dep Sch Y4'!J148+'EV Dep Sch Y5'!J136+'EV Dep Sch Y6'!J124+'EV Dep Sch Y7'!J112</f>
        <v>-18750.946277474752</v>
      </c>
      <c r="K180" s="269">
        <f>'EV Dep Sch Y1'!K180+'EV Dep Sch Y2'!K172+'EV Dep Sch Y3'!K160+'EV Dep Sch Y4'!K148+'EV Dep Sch Y5'!K136+'EV Dep Sch Y6'!K124+'EV Dep Sch Y7'!K112</f>
        <v>3937.6987182696976</v>
      </c>
      <c r="L180" s="269">
        <f>'EV Dep Sch Y1'!L180+'EV Dep Sch Y2'!L172+'EV Dep Sch Y3'!L160+'EV Dep Sch Y4'!L148+'EV Dep Sch Y5'!L136+'EV Dep Sch Y6'!L124+'EV Dep Sch Y7'!L112</f>
        <v>684.75041557588702</v>
      </c>
      <c r="M180" s="270">
        <f t="shared" si="6"/>
        <v>3937.6987182696976</v>
      </c>
      <c r="N180" s="97"/>
      <c r="O180" s="271"/>
      <c r="P180" s="271"/>
      <c r="Q180" s="271"/>
      <c r="R180" s="271"/>
      <c r="S180" s="271"/>
      <c r="T180" s="271"/>
    </row>
    <row r="181" spans="1:20" s="230" customFormat="1" ht="15">
      <c r="A181" s="267">
        <f t="shared" si="7"/>
        <v>48518</v>
      </c>
      <c r="B181" s="269">
        <f>'EV Dep Sch Y1'!B181+'EV Dep Sch Y2'!B173+'EV Dep Sch Y3'!B161+'EV Dep Sch Y4'!B149+'EV Dep Sch Y5'!B137+'EV Dep Sch Y6'!B125+'EV Dep Sch Y7'!B113</f>
        <v>8708567.9148199037</v>
      </c>
      <c r="C181" s="269">
        <f>'EV Dep Sch Y1'!C181+'EV Dep Sch Y2'!C173+'EV Dep Sch Y3'!C161+'EV Dep Sch Y4'!C149+'EV Dep Sch Y5'!C137+'EV Dep Sch Y6'!C125+'EV Dep Sch Y7'!C113</f>
        <v>8708567.9148199037</v>
      </c>
      <c r="D181" s="269">
        <f>'EV Dep Sch Y1'!D181+'EV Dep Sch Y2'!D173+'EV Dep Sch Y3'!D161+'EV Dep Sch Y4'!D149+'EV Dep Sch Y5'!D137+'EV Dep Sch Y6'!D125+'EV Dep Sch Y7'!D113</f>
        <v>3260.7162646470952</v>
      </c>
      <c r="E181" s="269">
        <f>'EV Dep Sch Y1'!E181+'EV Dep Sch Y2'!E173+'EV Dep Sch Y3'!E161+'EV Dep Sch Y4'!E149+'EV Dep Sch Y5'!E137+'EV Dep Sch Y6'!E125+'EV Dep Sch Y7'!E113</f>
        <v>0</v>
      </c>
      <c r="F181" s="269">
        <f>'EV Dep Sch Y1'!F181+'EV Dep Sch Y2'!F173+'EV Dep Sch Y3'!F161+'EV Dep Sch Y4'!F149+'EV Dep Sch Y5'!F137+'EV Dep Sch Y6'!F125+'EV Dep Sch Y7'!F113</f>
        <v>-8693077.6848070808</v>
      </c>
      <c r="G181" s="269">
        <f>'EV Dep Sch Y1'!G181+'EV Dep Sch Y2'!G173+'EV Dep Sch Y3'!G161+'EV Dep Sch Y4'!G149+'EV Dep Sch Y5'!G137+'EV Dep Sch Y6'!G125+'EV Dep Sch Y7'!G113</f>
        <v>-8708567.9148199037</v>
      </c>
      <c r="H181" s="269">
        <f>'EV Dep Sch Y1'!H181+'EV Dep Sch Y2'!H173+'EV Dep Sch Y3'!H161+'EV Dep Sch Y4'!H149+'EV Dep Sch Y5'!H137+'EV Dep Sch Y6'!H125+'EV Dep Sch Y7'!H113</f>
        <v>15490.230012827669</v>
      </c>
      <c r="I181" s="269">
        <f>'EV Dep Sch Y1'!I181+'EV Dep Sch Y2'!I173+'EV Dep Sch Y3'!I161+'EV Dep Sch Y4'!I149+'EV Dep Sch Y5'!I137+'EV Dep Sch Y6'!I125+'EV Dep Sch Y7'!I113</f>
        <v>0</v>
      </c>
      <c r="J181" s="269">
        <f>'EV Dep Sch Y1'!J181+'EV Dep Sch Y2'!J173+'EV Dep Sch Y3'!J161+'EV Dep Sch Y4'!J149+'EV Dep Sch Y5'!J137+'EV Dep Sch Y6'!J125+'EV Dep Sch Y7'!J113</f>
        <v>-15490.230012827669</v>
      </c>
      <c r="K181" s="269">
        <f>'EV Dep Sch Y1'!K181+'EV Dep Sch Y2'!K173+'EV Dep Sch Y3'!K161+'EV Dep Sch Y4'!K149+'EV Dep Sch Y5'!K137+'EV Dep Sch Y6'!K125+'EV Dep Sch Y7'!K113</f>
        <v>3252.9483026938105</v>
      </c>
      <c r="L181" s="269">
        <f>'EV Dep Sch Y1'!L181+'EV Dep Sch Y2'!L173+'EV Dep Sch Y3'!L161+'EV Dep Sch Y4'!L149+'EV Dep Sch Y5'!L137+'EV Dep Sch Y6'!L125+'EV Dep Sch Y7'!L113</f>
        <v>684.75041557588702</v>
      </c>
      <c r="M181" s="270">
        <f t="shared" si="6"/>
        <v>3252.9483026938105</v>
      </c>
      <c r="N181" s="97"/>
      <c r="O181" s="271"/>
      <c r="P181" s="271"/>
      <c r="Q181" s="271"/>
      <c r="R181" s="271"/>
      <c r="S181" s="271"/>
      <c r="T181" s="271"/>
    </row>
    <row r="182" spans="1:20" s="230" customFormat="1" ht="15">
      <c r="A182" s="267">
        <f t="shared" si="7"/>
        <v>48548</v>
      </c>
      <c r="B182" s="269">
        <f>'EV Dep Sch Y1'!B182+'EV Dep Sch Y2'!B174+'EV Dep Sch Y3'!B162+'EV Dep Sch Y4'!B150+'EV Dep Sch Y5'!B138+'EV Dep Sch Y6'!B126+'EV Dep Sch Y7'!B114</f>
        <v>8708567.9148199037</v>
      </c>
      <c r="C182" s="269">
        <f>'EV Dep Sch Y1'!C182+'EV Dep Sch Y2'!C174+'EV Dep Sch Y3'!C162+'EV Dep Sch Y4'!C150+'EV Dep Sch Y5'!C138+'EV Dep Sch Y6'!C126+'EV Dep Sch Y7'!C114</f>
        <v>8708567.9148199037</v>
      </c>
      <c r="D182" s="269">
        <f>'EV Dep Sch Y1'!D182+'EV Dep Sch Y2'!D174+'EV Dep Sch Y3'!D162+'EV Dep Sch Y4'!D150+'EV Dep Sch Y5'!D138+'EV Dep Sch Y6'!D126+'EV Dep Sch Y7'!D114</f>
        <v>3260.7162646470952</v>
      </c>
      <c r="E182" s="269">
        <f>'EV Dep Sch Y1'!E182+'EV Dep Sch Y2'!E174+'EV Dep Sch Y3'!E162+'EV Dep Sch Y4'!E150+'EV Dep Sch Y5'!E138+'EV Dep Sch Y6'!E126+'EV Dep Sch Y7'!E114</f>
        <v>0</v>
      </c>
      <c r="F182" s="269">
        <f>'EV Dep Sch Y1'!F182+'EV Dep Sch Y2'!F174+'EV Dep Sch Y3'!F162+'EV Dep Sch Y4'!F150+'EV Dep Sch Y5'!F138+'EV Dep Sch Y6'!F126+'EV Dep Sch Y7'!F114</f>
        <v>-8696338.4010717273</v>
      </c>
      <c r="G182" s="269">
        <f>'EV Dep Sch Y1'!G182+'EV Dep Sch Y2'!G174+'EV Dep Sch Y3'!G162+'EV Dep Sch Y4'!G150+'EV Dep Sch Y5'!G138+'EV Dep Sch Y6'!G126+'EV Dep Sch Y7'!G114</f>
        <v>-8708567.9148199037</v>
      </c>
      <c r="H182" s="269">
        <f>'EV Dep Sch Y1'!H182+'EV Dep Sch Y2'!H174+'EV Dep Sch Y3'!H162+'EV Dep Sch Y4'!H150+'EV Dep Sch Y5'!H138+'EV Dep Sch Y6'!H126+'EV Dep Sch Y7'!H114</f>
        <v>12229.513748180587</v>
      </c>
      <c r="I182" s="269">
        <f>'EV Dep Sch Y1'!I182+'EV Dep Sch Y2'!I174+'EV Dep Sch Y3'!I162+'EV Dep Sch Y4'!I150+'EV Dep Sch Y5'!I138+'EV Dep Sch Y6'!I126+'EV Dep Sch Y7'!I114</f>
        <v>0</v>
      </c>
      <c r="J182" s="269">
        <f>'EV Dep Sch Y1'!J182+'EV Dep Sch Y2'!J174+'EV Dep Sch Y3'!J162+'EV Dep Sch Y4'!J150+'EV Dep Sch Y5'!J138+'EV Dep Sch Y6'!J126+'EV Dep Sch Y7'!J114</f>
        <v>-12229.513748180587</v>
      </c>
      <c r="K182" s="269">
        <f>'EV Dep Sch Y1'!K182+'EV Dep Sch Y2'!K174+'EV Dep Sch Y3'!K162+'EV Dep Sch Y4'!K150+'EV Dep Sch Y5'!K138+'EV Dep Sch Y6'!K126+'EV Dep Sch Y7'!K114</f>
        <v>2568.1978871179231</v>
      </c>
      <c r="L182" s="269">
        <f>'EV Dep Sch Y1'!L182+'EV Dep Sch Y2'!L174+'EV Dep Sch Y3'!L162+'EV Dep Sch Y4'!L150+'EV Dep Sch Y5'!L138+'EV Dep Sch Y6'!L126+'EV Dep Sch Y7'!L114</f>
        <v>684.75041557588747</v>
      </c>
      <c r="M182" s="270">
        <f t="shared" si="6"/>
        <v>2568.1978871179231</v>
      </c>
      <c r="N182" s="97"/>
      <c r="O182" s="271"/>
      <c r="P182" s="271"/>
      <c r="Q182" s="271"/>
      <c r="R182" s="271"/>
      <c r="S182" s="271"/>
      <c r="T182" s="271"/>
    </row>
    <row r="183" spans="1:20" s="230" customFormat="1" ht="15">
      <c r="A183" s="267">
        <f t="shared" si="7"/>
        <v>48579</v>
      </c>
      <c r="B183" s="269">
        <f>'EV Dep Sch Y1'!B183+'EV Dep Sch Y2'!B175+'EV Dep Sch Y3'!B163+'EV Dep Sch Y4'!B151+'EV Dep Sch Y5'!B139+'EV Dep Sch Y6'!B127+'EV Dep Sch Y7'!B115</f>
        <v>8708567.9148199037</v>
      </c>
      <c r="C183" s="269">
        <f>'EV Dep Sch Y1'!C183+'EV Dep Sch Y2'!C175+'EV Dep Sch Y3'!C163+'EV Dep Sch Y4'!C151+'EV Dep Sch Y5'!C139+'EV Dep Sch Y6'!C127+'EV Dep Sch Y7'!C115</f>
        <v>8708567.9148199037</v>
      </c>
      <c r="D183" s="269">
        <f>'EV Dep Sch Y1'!D183+'EV Dep Sch Y2'!D175+'EV Dep Sch Y3'!D163+'EV Dep Sch Y4'!D151+'EV Dep Sch Y5'!D139+'EV Dep Sch Y6'!D127+'EV Dep Sch Y7'!D115</f>
        <v>3260.7162646470952</v>
      </c>
      <c r="E183" s="269">
        <f>'EV Dep Sch Y1'!E183+'EV Dep Sch Y2'!E175+'EV Dep Sch Y3'!E163+'EV Dep Sch Y4'!E151+'EV Dep Sch Y5'!E139+'EV Dep Sch Y6'!E127+'EV Dep Sch Y7'!E115</f>
        <v>0</v>
      </c>
      <c r="F183" s="269">
        <f>'EV Dep Sch Y1'!F183+'EV Dep Sch Y2'!F175+'EV Dep Sch Y3'!F163+'EV Dep Sch Y4'!F151+'EV Dep Sch Y5'!F139+'EV Dep Sch Y6'!F127+'EV Dep Sch Y7'!F115</f>
        <v>-8699599.1173363756</v>
      </c>
      <c r="G183" s="269">
        <f>'EV Dep Sch Y1'!G183+'EV Dep Sch Y2'!G175+'EV Dep Sch Y3'!G163+'EV Dep Sch Y4'!G151+'EV Dep Sch Y5'!G139+'EV Dep Sch Y6'!G127+'EV Dep Sch Y7'!G115</f>
        <v>-8708567.9148199037</v>
      </c>
      <c r="H183" s="269">
        <f>'EV Dep Sch Y1'!H183+'EV Dep Sch Y2'!H175+'EV Dep Sch Y3'!H163+'EV Dep Sch Y4'!H151+'EV Dep Sch Y5'!H139+'EV Dep Sch Y6'!H127+'EV Dep Sch Y7'!H115</f>
        <v>8968.7974835335044</v>
      </c>
      <c r="I183" s="269">
        <f>'EV Dep Sch Y1'!I183+'EV Dep Sch Y2'!I175+'EV Dep Sch Y3'!I163+'EV Dep Sch Y4'!I151+'EV Dep Sch Y5'!I139+'EV Dep Sch Y6'!I127+'EV Dep Sch Y7'!I115</f>
        <v>0</v>
      </c>
      <c r="J183" s="269">
        <f>'EV Dep Sch Y1'!J183+'EV Dep Sch Y2'!J175+'EV Dep Sch Y3'!J163+'EV Dep Sch Y4'!J151+'EV Dep Sch Y5'!J139+'EV Dep Sch Y6'!J127+'EV Dep Sch Y7'!J115</f>
        <v>-8968.7974835335044</v>
      </c>
      <c r="K183" s="269">
        <f>'EV Dep Sch Y1'!K183+'EV Dep Sch Y2'!K175+'EV Dep Sch Y3'!K163+'EV Dep Sch Y4'!K151+'EV Dep Sch Y5'!K139+'EV Dep Sch Y6'!K127+'EV Dep Sch Y7'!K115</f>
        <v>1883.4474715420358</v>
      </c>
      <c r="L183" s="269">
        <f>'EV Dep Sch Y1'!L183+'EV Dep Sch Y2'!L175+'EV Dep Sch Y3'!L163+'EV Dep Sch Y4'!L151+'EV Dep Sch Y5'!L139+'EV Dep Sch Y6'!L127+'EV Dep Sch Y7'!L115</f>
        <v>684.75041557588725</v>
      </c>
      <c r="M183" s="270">
        <f t="shared" si="6"/>
        <v>1883.4474715420358</v>
      </c>
      <c r="N183" s="97"/>
      <c r="O183" s="271"/>
      <c r="P183" s="271"/>
      <c r="Q183" s="271"/>
      <c r="R183" s="271"/>
      <c r="S183" s="271"/>
      <c r="T183" s="271"/>
    </row>
    <row r="184" spans="1:20" s="230" customFormat="1" ht="15">
      <c r="A184" s="267">
        <f t="shared" si="7"/>
        <v>48610</v>
      </c>
      <c r="B184" s="269">
        <f>'EV Dep Sch Y1'!B184+'EV Dep Sch Y2'!B176+'EV Dep Sch Y3'!B164+'EV Dep Sch Y4'!B152+'EV Dep Sch Y5'!B140+'EV Dep Sch Y6'!B128+'EV Dep Sch Y7'!B116</f>
        <v>8708567.9148199037</v>
      </c>
      <c r="C184" s="269">
        <f>'EV Dep Sch Y1'!C184+'EV Dep Sch Y2'!C176+'EV Dep Sch Y3'!C164+'EV Dep Sch Y4'!C152+'EV Dep Sch Y5'!C140+'EV Dep Sch Y6'!C128+'EV Dep Sch Y7'!C116</f>
        <v>8708567.9148199037</v>
      </c>
      <c r="D184" s="269">
        <f>'EV Dep Sch Y1'!D184+'EV Dep Sch Y2'!D176+'EV Dep Sch Y3'!D164+'EV Dep Sch Y4'!D152+'EV Dep Sch Y5'!D140+'EV Dep Sch Y6'!D128+'EV Dep Sch Y7'!D116</f>
        <v>3260.7162646470952</v>
      </c>
      <c r="E184" s="269">
        <f>'EV Dep Sch Y1'!E184+'EV Dep Sch Y2'!E176+'EV Dep Sch Y3'!E164+'EV Dep Sch Y4'!E152+'EV Dep Sch Y5'!E140+'EV Dep Sch Y6'!E128+'EV Dep Sch Y7'!E116</f>
        <v>0</v>
      </c>
      <c r="F184" s="269">
        <f>'EV Dep Sch Y1'!F184+'EV Dep Sch Y2'!F176+'EV Dep Sch Y3'!F164+'EV Dep Sch Y4'!F152+'EV Dep Sch Y5'!F140+'EV Dep Sch Y6'!F128+'EV Dep Sch Y7'!F116</f>
        <v>-8702859.8336010221</v>
      </c>
      <c r="G184" s="269">
        <f>'EV Dep Sch Y1'!G184+'EV Dep Sch Y2'!G176+'EV Dep Sch Y3'!G164+'EV Dep Sch Y4'!G152+'EV Dep Sch Y5'!G140+'EV Dep Sch Y6'!G128+'EV Dep Sch Y7'!G116</f>
        <v>-8708567.9148199037</v>
      </c>
      <c r="H184" s="269">
        <f>'EV Dep Sch Y1'!H184+'EV Dep Sch Y2'!H176+'EV Dep Sch Y3'!H164+'EV Dep Sch Y4'!H152+'EV Dep Sch Y5'!H140+'EV Dep Sch Y6'!H128+'EV Dep Sch Y7'!H116</f>
        <v>5708.081218886422</v>
      </c>
      <c r="I184" s="269">
        <f>'EV Dep Sch Y1'!I184+'EV Dep Sch Y2'!I176+'EV Dep Sch Y3'!I164+'EV Dep Sch Y4'!I152+'EV Dep Sch Y5'!I140+'EV Dep Sch Y6'!I128+'EV Dep Sch Y7'!I116</f>
        <v>0</v>
      </c>
      <c r="J184" s="269">
        <f>'EV Dep Sch Y1'!J184+'EV Dep Sch Y2'!J176+'EV Dep Sch Y3'!J164+'EV Dep Sch Y4'!J152+'EV Dep Sch Y5'!J140+'EV Dep Sch Y6'!J128+'EV Dep Sch Y7'!J116</f>
        <v>-5708.081218886422</v>
      </c>
      <c r="K184" s="269">
        <f>'EV Dep Sch Y1'!K184+'EV Dep Sch Y2'!K176+'EV Dep Sch Y3'!K164+'EV Dep Sch Y4'!K152+'EV Dep Sch Y5'!K140+'EV Dep Sch Y6'!K128+'EV Dep Sch Y7'!K116</f>
        <v>1198.6970559661486</v>
      </c>
      <c r="L184" s="269">
        <f>'EV Dep Sch Y1'!L184+'EV Dep Sch Y2'!L176+'EV Dep Sch Y3'!L164+'EV Dep Sch Y4'!L152+'EV Dep Sch Y5'!L140+'EV Dep Sch Y6'!L128+'EV Dep Sch Y7'!L116</f>
        <v>684.75041557588725</v>
      </c>
      <c r="M184" s="270">
        <f t="shared" si="6"/>
        <v>1198.6970559661486</v>
      </c>
      <c r="N184" s="97"/>
      <c r="O184" s="271"/>
      <c r="P184" s="271"/>
      <c r="Q184" s="271"/>
      <c r="R184" s="271"/>
      <c r="S184" s="271"/>
      <c r="T184" s="271"/>
    </row>
    <row r="185" spans="1:20" s="230" customFormat="1" ht="15">
      <c r="A185" s="267">
        <f t="shared" si="7"/>
        <v>48638</v>
      </c>
      <c r="B185" s="269">
        <f>'EV Dep Sch Y1'!B185+'EV Dep Sch Y2'!B177+'EV Dep Sch Y3'!B165+'EV Dep Sch Y4'!B153+'EV Dep Sch Y5'!B141+'EV Dep Sch Y6'!B129+'EV Dep Sch Y7'!B117</f>
        <v>8708567.9148199037</v>
      </c>
      <c r="C185" s="269">
        <f>'EV Dep Sch Y1'!C185+'EV Dep Sch Y2'!C177+'EV Dep Sch Y3'!C165+'EV Dep Sch Y4'!C153+'EV Dep Sch Y5'!C141+'EV Dep Sch Y6'!C129+'EV Dep Sch Y7'!C117</f>
        <v>8708567.9148199037</v>
      </c>
      <c r="D185" s="269">
        <f>'EV Dep Sch Y1'!D185+'EV Dep Sch Y2'!D177+'EV Dep Sch Y3'!D165+'EV Dep Sch Y4'!D153+'EV Dep Sch Y5'!D141+'EV Dep Sch Y6'!D129+'EV Dep Sch Y7'!D117</f>
        <v>3260.7162646470952</v>
      </c>
      <c r="E185" s="269">
        <f>'EV Dep Sch Y1'!E185+'EV Dep Sch Y2'!E177+'EV Dep Sch Y3'!E165+'EV Dep Sch Y4'!E153+'EV Dep Sch Y5'!E141+'EV Dep Sch Y6'!E129+'EV Dep Sch Y7'!E117</f>
        <v>0</v>
      </c>
      <c r="F185" s="269">
        <f>'EV Dep Sch Y1'!F185+'EV Dep Sch Y2'!F177+'EV Dep Sch Y3'!F165+'EV Dep Sch Y4'!F153+'EV Dep Sch Y5'!F141+'EV Dep Sch Y6'!F129+'EV Dep Sch Y7'!F117</f>
        <v>-8706120.5498656686</v>
      </c>
      <c r="G185" s="269">
        <f>'EV Dep Sch Y1'!G185+'EV Dep Sch Y2'!G177+'EV Dep Sch Y3'!G165+'EV Dep Sch Y4'!G153+'EV Dep Sch Y5'!G141+'EV Dep Sch Y6'!G129+'EV Dep Sch Y7'!G117</f>
        <v>-8708567.9148199037</v>
      </c>
      <c r="H185" s="269">
        <f>'EV Dep Sch Y1'!H185+'EV Dep Sch Y2'!H177+'EV Dep Sch Y3'!H165+'EV Dep Sch Y4'!H153+'EV Dep Sch Y5'!H141+'EV Dep Sch Y6'!H129+'EV Dep Sch Y7'!H117</f>
        <v>2447.3649542393396</v>
      </c>
      <c r="I185" s="269">
        <f>'EV Dep Sch Y1'!I185+'EV Dep Sch Y2'!I177+'EV Dep Sch Y3'!I165+'EV Dep Sch Y4'!I153+'EV Dep Sch Y5'!I141+'EV Dep Sch Y6'!I129+'EV Dep Sch Y7'!I117</f>
        <v>0</v>
      </c>
      <c r="J185" s="269">
        <f>'EV Dep Sch Y1'!J185+'EV Dep Sch Y2'!J177+'EV Dep Sch Y3'!J165+'EV Dep Sch Y4'!J153+'EV Dep Sch Y5'!J141+'EV Dep Sch Y6'!J129+'EV Dep Sch Y7'!J117</f>
        <v>-2447.3649542393396</v>
      </c>
      <c r="K185" s="269">
        <f>'EV Dep Sch Y1'!K185+'EV Dep Sch Y2'!K177+'EV Dep Sch Y3'!K165+'EV Dep Sch Y4'!K153+'EV Dep Sch Y5'!K141+'EV Dep Sch Y6'!K129+'EV Dep Sch Y7'!K117</f>
        <v>513.94664039026134</v>
      </c>
      <c r="L185" s="269">
        <f>'EV Dep Sch Y1'!L185+'EV Dep Sch Y2'!L177+'EV Dep Sch Y3'!L165+'EV Dep Sch Y4'!L153+'EV Dep Sch Y5'!L141+'EV Dep Sch Y6'!L129+'EV Dep Sch Y7'!L117</f>
        <v>684.75041557588725</v>
      </c>
      <c r="M185" s="270">
        <f t="shared" si="6"/>
        <v>513.94664039026134</v>
      </c>
      <c r="N185" s="97"/>
      <c r="O185" s="271"/>
      <c r="P185" s="271"/>
      <c r="Q185" s="271"/>
      <c r="R185" s="271"/>
      <c r="S185" s="271"/>
      <c r="T185" s="271"/>
    </row>
    <row r="186" spans="1:20" s="230" customFormat="1" ht="15">
      <c r="A186" s="267">
        <f t="shared" si="7"/>
        <v>48669</v>
      </c>
      <c r="B186" s="269">
        <f>'EV Dep Sch Y1'!B186+'EV Dep Sch Y2'!B178+'EV Dep Sch Y3'!B166+'EV Dep Sch Y4'!B154+'EV Dep Sch Y5'!B142+'EV Dep Sch Y6'!B130+'EV Dep Sch Y7'!B118</f>
        <v>8708567.9148199037</v>
      </c>
      <c r="C186" s="269">
        <f>'EV Dep Sch Y1'!C186+'EV Dep Sch Y2'!C178+'EV Dep Sch Y3'!C166+'EV Dep Sch Y4'!C154+'EV Dep Sch Y5'!C142+'EV Dep Sch Y6'!C130+'EV Dep Sch Y7'!C118</f>
        <v>8708567.9148199037</v>
      </c>
      <c r="D186" s="269">
        <f>'EV Dep Sch Y1'!D186+'EV Dep Sch Y2'!D178+'EV Dep Sch Y3'!D166+'EV Dep Sch Y4'!D154+'EV Dep Sch Y5'!D142+'EV Dep Sch Y6'!D130+'EV Dep Sch Y7'!D118</f>
        <v>2447.3649542393396</v>
      </c>
      <c r="E186" s="269">
        <f>'EV Dep Sch Y1'!E186+'EV Dep Sch Y2'!E178+'EV Dep Sch Y3'!E166+'EV Dep Sch Y4'!E154+'EV Dep Sch Y5'!E142+'EV Dep Sch Y6'!E130+'EV Dep Sch Y7'!E118</f>
        <v>0</v>
      </c>
      <c r="F186" s="269">
        <f>'EV Dep Sch Y1'!F186+'EV Dep Sch Y2'!F178+'EV Dep Sch Y3'!F166+'EV Dep Sch Y4'!F154+'EV Dep Sch Y5'!F142+'EV Dep Sch Y6'!F130+'EV Dep Sch Y7'!F118</f>
        <v>-8708567.9148199093</v>
      </c>
      <c r="G186" s="269">
        <f>'EV Dep Sch Y1'!G186+'EV Dep Sch Y2'!G178+'EV Dep Sch Y3'!G166+'EV Dep Sch Y4'!G154+'EV Dep Sch Y5'!G142+'EV Dep Sch Y6'!G130+'EV Dep Sch Y7'!G118</f>
        <v>-8708567.9148199037</v>
      </c>
      <c r="H186" s="269">
        <f>'EV Dep Sch Y1'!H186+'EV Dep Sch Y2'!H178+'EV Dep Sch Y3'!H166+'EV Dep Sch Y4'!H154+'EV Dep Sch Y5'!H142+'EV Dep Sch Y6'!H130+'EV Dep Sch Y7'!H118</f>
        <v>0</v>
      </c>
      <c r="I186" s="269">
        <f>'EV Dep Sch Y1'!I186+'EV Dep Sch Y2'!I178+'EV Dep Sch Y3'!I166+'EV Dep Sch Y4'!I154+'EV Dep Sch Y5'!I142+'EV Dep Sch Y6'!I130+'EV Dep Sch Y7'!I118</f>
        <v>0</v>
      </c>
      <c r="J186" s="269">
        <f>'EV Dep Sch Y1'!J186+'EV Dep Sch Y2'!J178+'EV Dep Sch Y3'!J166+'EV Dep Sch Y4'!J154+'EV Dep Sch Y5'!J142+'EV Dep Sch Y6'!J130+'EV Dep Sch Y7'!J118</f>
        <v>0</v>
      </c>
      <c r="K186" s="269">
        <f>'EV Dep Sch Y1'!K186+'EV Dep Sch Y2'!K178+'EV Dep Sch Y3'!K166+'EV Dep Sch Y4'!K154+'EV Dep Sch Y5'!K142+'EV Dep Sch Y6'!K130+'EV Dep Sch Y7'!K118</f>
        <v>0</v>
      </c>
      <c r="L186" s="269">
        <f>'EV Dep Sch Y1'!L186+'EV Dep Sch Y2'!L178+'EV Dep Sch Y3'!L166+'EV Dep Sch Y4'!L154+'EV Dep Sch Y5'!L142+'EV Dep Sch Y6'!L130+'EV Dep Sch Y7'!L118</f>
        <v>513.94664039026134</v>
      </c>
      <c r="M186" s="270">
        <f t="shared" si="6"/>
        <v>0</v>
      </c>
      <c r="N186" s="97"/>
      <c r="O186" s="271"/>
      <c r="P186" s="271"/>
      <c r="Q186" s="271"/>
      <c r="R186" s="271"/>
      <c r="S186" s="271"/>
      <c r="T186" s="271"/>
    </row>
    <row r="187" spans="1:20" ht="6" customHeight="1" thickBot="1">
      <c r="A187" s="276"/>
      <c r="B187" s="277"/>
      <c r="C187" s="277"/>
      <c r="D187" s="277"/>
      <c r="E187" s="277"/>
      <c r="F187" s="277"/>
      <c r="G187" s="277"/>
      <c r="H187" s="277"/>
      <c r="I187" s="277"/>
      <c r="J187" s="277"/>
      <c r="K187" s="277"/>
      <c r="L187" s="277"/>
      <c r="M187" s="278"/>
      <c r="N187" s="97"/>
      <c r="O187" s="279"/>
      <c r="P187" s="279"/>
      <c r="Q187" s="279"/>
      <c r="R187" s="279"/>
      <c r="S187" s="279"/>
      <c r="T187" s="279"/>
    </row>
    <row r="188" spans="1:20" s="230" customFormat="1" ht="15">
      <c r="A188" s="280"/>
      <c r="B188" s="281"/>
      <c r="C188" s="281"/>
      <c r="D188" s="282"/>
      <c r="E188" s="282"/>
      <c r="F188" s="283"/>
      <c r="G188" s="281"/>
      <c r="H188" s="281"/>
      <c r="I188" s="281"/>
      <c r="J188" s="281"/>
      <c r="K188" s="281"/>
      <c r="L188" s="281"/>
      <c r="M188" s="97"/>
      <c r="N188" s="97"/>
      <c r="O188" s="97"/>
    </row>
    <row r="189" spans="1:20" ht="15">
      <c r="A189" s="97"/>
      <c r="B189" s="97"/>
      <c r="C189" s="97"/>
      <c r="D189" s="227"/>
      <c r="E189" s="97"/>
      <c r="F189" s="97"/>
      <c r="G189" s="227"/>
      <c r="H189" s="97"/>
      <c r="I189" s="97"/>
      <c r="J189" s="97"/>
      <c r="K189" s="97"/>
      <c r="L189" s="97"/>
      <c r="M189" s="97"/>
      <c r="N189" s="97"/>
      <c r="O189" s="97"/>
    </row>
    <row r="190" spans="1:20" ht="15">
      <c r="A190" s="97"/>
      <c r="B190" s="97"/>
      <c r="C190" s="97"/>
      <c r="D190" s="227"/>
      <c r="E190" s="97"/>
      <c r="F190" s="97"/>
      <c r="G190" s="97"/>
      <c r="H190" s="97"/>
      <c r="I190" s="97"/>
      <c r="J190" s="97"/>
      <c r="K190" s="97"/>
      <c r="L190" s="97"/>
      <c r="M190" s="97"/>
      <c r="N190" s="97"/>
      <c r="O190" s="97"/>
      <c r="P190" s="97"/>
      <c r="Q190" s="97"/>
    </row>
    <row r="191" spans="1:20" ht="15">
      <c r="A191" s="284"/>
      <c r="B191" s="97"/>
      <c r="C191" s="97"/>
      <c r="D191" s="97"/>
      <c r="E191" s="97"/>
      <c r="F191" s="97"/>
      <c r="G191" s="97"/>
      <c r="H191" s="97"/>
      <c r="I191" s="97"/>
      <c r="J191" s="97"/>
      <c r="K191" s="97"/>
      <c r="L191" s="97"/>
      <c r="M191" s="97"/>
      <c r="N191" s="97"/>
      <c r="O191" s="97"/>
      <c r="P191" s="97"/>
      <c r="Q191" s="97"/>
    </row>
    <row r="192" spans="1:20" ht="15">
      <c r="A192" s="97"/>
      <c r="B192" s="97"/>
      <c r="C192" s="97"/>
      <c r="D192" s="97"/>
      <c r="E192" s="97"/>
      <c r="F192" s="97"/>
      <c r="G192" s="97"/>
      <c r="H192" s="97"/>
      <c r="I192" s="97"/>
      <c r="J192" s="97"/>
      <c r="K192" s="97"/>
      <c r="L192" s="97"/>
      <c r="M192" s="97"/>
      <c r="N192" s="97"/>
    </row>
    <row r="193" spans="1:15" ht="15">
      <c r="A193" s="97"/>
      <c r="B193" s="97"/>
      <c r="C193" s="97"/>
      <c r="D193" s="97"/>
      <c r="E193" s="97"/>
      <c r="F193" s="97"/>
      <c r="G193" s="97"/>
      <c r="H193" s="97"/>
      <c r="I193" s="97"/>
      <c r="J193" s="97"/>
      <c r="K193" s="97"/>
      <c r="L193" s="97"/>
      <c r="M193" s="97"/>
      <c r="N193" s="97"/>
      <c r="O193"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9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2019</v>
      </c>
      <c r="C4" s="222">
        <f>+B4+1</f>
        <v>2020</v>
      </c>
      <c r="D4" s="222">
        <f t="shared" ref="D4:E4" si="0">+C4+1</f>
        <v>2021</v>
      </c>
      <c r="E4" s="222">
        <f t="shared" si="0"/>
        <v>2022</v>
      </c>
      <c r="F4" s="222">
        <f>+E4+1</f>
        <v>2023</v>
      </c>
      <c r="G4" s="222">
        <f t="shared" ref="G4:P4" si="1">+F4+1</f>
        <v>2024</v>
      </c>
      <c r="H4" s="222">
        <f t="shared" si="1"/>
        <v>2025</v>
      </c>
      <c r="I4" s="222">
        <f t="shared" si="1"/>
        <v>2026</v>
      </c>
      <c r="J4" s="222">
        <f t="shared" si="1"/>
        <v>2027</v>
      </c>
      <c r="K4" s="222">
        <f t="shared" si="1"/>
        <v>2028</v>
      </c>
      <c r="L4" s="222">
        <f t="shared" si="1"/>
        <v>2029</v>
      </c>
      <c r="M4" s="222">
        <f t="shared" si="1"/>
        <v>2030</v>
      </c>
      <c r="N4" s="222">
        <f t="shared" si="1"/>
        <v>2031</v>
      </c>
      <c r="O4" s="222">
        <f t="shared" si="1"/>
        <v>2032</v>
      </c>
      <c r="P4" s="222">
        <f t="shared" si="1"/>
        <v>2033</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2034</v>
      </c>
      <c r="C7" s="222">
        <f>+B7+1</f>
        <v>2035</v>
      </c>
      <c r="D7" s="222">
        <f>+C7+1</f>
        <v>2036</v>
      </c>
      <c r="E7" s="222">
        <f>+D7+1</f>
        <v>2037</v>
      </c>
      <c r="F7" s="222">
        <f>+E7+1</f>
        <v>2038</v>
      </c>
      <c r="G7" s="222">
        <f>+F7+1</f>
        <v>2039</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2" t="s">
        <v>356</v>
      </c>
      <c r="M17" s="263" t="s">
        <v>357</v>
      </c>
    </row>
    <row r="18" spans="1:20" ht="7.5" customHeight="1">
      <c r="A18" s="264"/>
      <c r="B18" s="265"/>
      <c r="C18" s="265"/>
      <c r="D18" s="265"/>
      <c r="E18" s="265"/>
      <c r="F18" s="265"/>
      <c r="G18" s="265"/>
      <c r="H18" s="265"/>
      <c r="I18" s="265"/>
      <c r="J18" s="265"/>
      <c r="K18" s="265"/>
      <c r="L18" s="265"/>
      <c r="M18" s="266"/>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43616</v>
      </c>
      <c r="B20" s="269">
        <f>C20</f>
        <v>554626.60312499991</v>
      </c>
      <c r="C20" s="269">
        <f>'EV Capex Summary'!$F$57/8</f>
        <v>554626.60312499991</v>
      </c>
      <c r="D20" s="269">
        <f>B27*$B$5/8</f>
        <v>79256.141586562488</v>
      </c>
      <c r="E20" s="269">
        <f>C20*E$12/12</f>
        <v>9243.7767187499994</v>
      </c>
      <c r="F20" s="269">
        <f>-D20</f>
        <v>-79256.141586562488</v>
      </c>
      <c r="G20" s="269">
        <f>-E20</f>
        <v>-9243.7767187499994</v>
      </c>
      <c r="H20" s="269">
        <f t="shared" ref="H20:I38" si="2">B20+F20</f>
        <v>475370.4615384374</v>
      </c>
      <c r="I20" s="269">
        <f t="shared" si="2"/>
        <v>545382.82640624989</v>
      </c>
      <c r="J20" s="269">
        <f>I20-H20</f>
        <v>70012.364867812488</v>
      </c>
      <c r="K20" s="269">
        <f t="shared" ref="K20:K51" si="3">-J20*$K$15</f>
        <v>-14702.596622240622</v>
      </c>
      <c r="L20" s="269">
        <f>-K20</f>
        <v>14702.596622240622</v>
      </c>
      <c r="M20" s="270">
        <f>I20+K20</f>
        <v>530680.22978400928</v>
      </c>
      <c r="N20" s="271"/>
      <c r="O20" s="271"/>
      <c r="P20" s="271"/>
      <c r="Q20" s="271"/>
      <c r="R20" s="271"/>
      <c r="S20" s="271"/>
      <c r="T20" s="271"/>
    </row>
    <row r="21" spans="1:20" s="230" customFormat="1">
      <c r="A21" s="267">
        <f>EOMONTH(A20,1)</f>
        <v>43646</v>
      </c>
      <c r="B21" s="269">
        <f t="shared" ref="B21:B27" si="4">C21</f>
        <v>1109253.2062499998</v>
      </c>
      <c r="C21" s="269">
        <f>'EV Capex Summary'!$F$57/8+C20</f>
        <v>1109253.2062499998</v>
      </c>
      <c r="D21" s="269">
        <f t="shared" ref="D21:D27" si="5">B28*$B$5/8</f>
        <v>79256.141586562488</v>
      </c>
      <c r="E21" s="269">
        <f>C21*E$12/12</f>
        <v>18487.553437499999</v>
      </c>
      <c r="F21" s="269">
        <f t="shared" ref="F21:G36" si="6">F20-D21</f>
        <v>-158512.28317312498</v>
      </c>
      <c r="G21" s="269">
        <f t="shared" si="6"/>
        <v>-27731.330156249998</v>
      </c>
      <c r="H21" s="269">
        <f t="shared" si="2"/>
        <v>950740.92307687481</v>
      </c>
      <c r="I21" s="269">
        <f t="shared" si="2"/>
        <v>1081521.8760937499</v>
      </c>
      <c r="J21" s="269">
        <f t="shared" ref="J21:J84" si="7">I21-H21</f>
        <v>130780.95301687508</v>
      </c>
      <c r="K21" s="269">
        <f t="shared" si="3"/>
        <v>-27464.000133543766</v>
      </c>
      <c r="L21" s="269">
        <f t="shared" ref="L21:L84" si="8">-K21+K20</f>
        <v>12761.403511303144</v>
      </c>
      <c r="M21" s="270">
        <f t="shared" ref="M21:M84" si="9">I21+K21</f>
        <v>1054057.8759602061</v>
      </c>
      <c r="N21" s="271"/>
      <c r="O21" s="271"/>
      <c r="P21" s="271"/>
      <c r="Q21" s="271"/>
      <c r="R21" s="271"/>
      <c r="S21" s="271"/>
      <c r="T21" s="271"/>
    </row>
    <row r="22" spans="1:20" s="230" customFormat="1">
      <c r="A22" s="267">
        <f t="shared" ref="A22:A85" si="10">EOMONTH(A21,1)</f>
        <v>43677</v>
      </c>
      <c r="B22" s="269">
        <f t="shared" si="4"/>
        <v>1663879.8093749997</v>
      </c>
      <c r="C22" s="269">
        <f>'EV Capex Summary'!$F$57/8+C21</f>
        <v>1663879.8093749997</v>
      </c>
      <c r="D22" s="269">
        <f t="shared" si="5"/>
        <v>79256.141586562488</v>
      </c>
      <c r="E22" s="269">
        <f t="shared" ref="E22:E74" si="11">C22*E$12/12</f>
        <v>27731.330156249998</v>
      </c>
      <c r="F22" s="269">
        <f t="shared" si="6"/>
        <v>-237768.42475968745</v>
      </c>
      <c r="G22" s="269">
        <f t="shared" si="6"/>
        <v>-55462.660312499997</v>
      </c>
      <c r="H22" s="269">
        <f t="shared" si="2"/>
        <v>1426111.3846153123</v>
      </c>
      <c r="I22" s="269">
        <f t="shared" si="2"/>
        <v>1608417.1490624996</v>
      </c>
      <c r="J22" s="269">
        <f t="shared" si="7"/>
        <v>182305.76444718731</v>
      </c>
      <c r="K22" s="269">
        <f t="shared" si="3"/>
        <v>-38284.210533909332</v>
      </c>
      <c r="L22" s="269">
        <f t="shared" si="8"/>
        <v>10820.210400365566</v>
      </c>
      <c r="M22" s="270">
        <f t="shared" si="9"/>
        <v>1570132.9385285904</v>
      </c>
      <c r="N22" s="271"/>
      <c r="O22" s="271"/>
      <c r="P22" s="271"/>
      <c r="Q22" s="271"/>
      <c r="R22" s="271"/>
      <c r="S22" s="271"/>
      <c r="T22" s="271"/>
    </row>
    <row r="23" spans="1:20" s="230" customFormat="1">
      <c r="A23" s="267">
        <f t="shared" si="10"/>
        <v>43708</v>
      </c>
      <c r="B23" s="269">
        <f t="shared" si="4"/>
        <v>2218506.4124999996</v>
      </c>
      <c r="C23" s="269">
        <f>'EV Capex Summary'!$F$57/8+C22</f>
        <v>2218506.4124999996</v>
      </c>
      <c r="D23" s="269">
        <f t="shared" si="5"/>
        <v>79256.141586562488</v>
      </c>
      <c r="E23" s="269">
        <f t="shared" si="11"/>
        <v>36975.106874999998</v>
      </c>
      <c r="F23" s="269">
        <f t="shared" si="6"/>
        <v>-317024.56634624995</v>
      </c>
      <c r="G23" s="269">
        <f t="shared" si="6"/>
        <v>-92437.767187499994</v>
      </c>
      <c r="H23" s="269">
        <f t="shared" si="2"/>
        <v>1901481.8461537496</v>
      </c>
      <c r="I23" s="269">
        <f t="shared" si="2"/>
        <v>2126068.6453124997</v>
      </c>
      <c r="J23" s="269">
        <f t="shared" si="7"/>
        <v>224586.7991587501</v>
      </c>
      <c r="K23" s="269">
        <f t="shared" si="3"/>
        <v>-47163.227823337518</v>
      </c>
      <c r="L23" s="269">
        <f t="shared" si="8"/>
        <v>8879.0172894281859</v>
      </c>
      <c r="M23" s="270">
        <f t="shared" si="9"/>
        <v>2078905.4174891622</v>
      </c>
      <c r="N23" s="272"/>
      <c r="O23" s="273"/>
      <c r="P23" s="271"/>
      <c r="Q23" s="271"/>
      <c r="R23" s="271"/>
      <c r="S23" s="271"/>
      <c r="T23" s="271"/>
    </row>
    <row r="24" spans="1:20" s="230" customFormat="1">
      <c r="A24" s="267">
        <f t="shared" si="10"/>
        <v>43738</v>
      </c>
      <c r="B24" s="269">
        <f t="shared" si="4"/>
        <v>2773133.0156249995</v>
      </c>
      <c r="C24" s="269">
        <f>'EV Capex Summary'!$F$57/8+C23</f>
        <v>2773133.0156249995</v>
      </c>
      <c r="D24" s="269">
        <f t="shared" si="5"/>
        <v>79256.141586562488</v>
      </c>
      <c r="E24" s="269">
        <f t="shared" si="11"/>
        <v>46218.88359374999</v>
      </c>
      <c r="F24" s="269">
        <f t="shared" si="6"/>
        <v>-396280.70793281245</v>
      </c>
      <c r="G24" s="269">
        <f t="shared" si="6"/>
        <v>-138656.65078124998</v>
      </c>
      <c r="H24" s="269">
        <f t="shared" si="2"/>
        <v>2376852.3076921869</v>
      </c>
      <c r="I24" s="269">
        <f t="shared" si="2"/>
        <v>2634476.3648437494</v>
      </c>
      <c r="J24" s="269">
        <f t="shared" si="7"/>
        <v>257624.05715156253</v>
      </c>
      <c r="K24" s="269">
        <f t="shared" si="3"/>
        <v>-54101.052001828131</v>
      </c>
      <c r="L24" s="269">
        <f t="shared" si="8"/>
        <v>6937.8241784906131</v>
      </c>
      <c r="M24" s="270">
        <f t="shared" si="9"/>
        <v>2580375.3128419211</v>
      </c>
      <c r="N24" s="271"/>
      <c r="O24" s="271"/>
      <c r="P24" s="271"/>
      <c r="Q24" s="271"/>
      <c r="R24" s="271"/>
      <c r="S24" s="271"/>
      <c r="T24" s="271"/>
    </row>
    <row r="25" spans="1:20" s="230" customFormat="1">
      <c r="A25" s="267">
        <f t="shared" si="10"/>
        <v>43769</v>
      </c>
      <c r="B25" s="269">
        <f t="shared" si="4"/>
        <v>3327759.6187499994</v>
      </c>
      <c r="C25" s="269">
        <f>'EV Capex Summary'!$F$57/8+C24</f>
        <v>3327759.6187499994</v>
      </c>
      <c r="D25" s="269">
        <f t="shared" si="5"/>
        <v>79256.141586562488</v>
      </c>
      <c r="E25" s="269">
        <f t="shared" si="11"/>
        <v>55462.660312499997</v>
      </c>
      <c r="F25" s="269">
        <f t="shared" si="6"/>
        <v>-475536.84951937495</v>
      </c>
      <c r="G25" s="269">
        <f t="shared" si="6"/>
        <v>-194119.31109374997</v>
      </c>
      <c r="H25" s="269">
        <f t="shared" si="2"/>
        <v>2852222.7692306247</v>
      </c>
      <c r="I25" s="269">
        <f t="shared" si="2"/>
        <v>3133640.3076562495</v>
      </c>
      <c r="J25" s="269">
        <f t="shared" si="7"/>
        <v>281417.53842562484</v>
      </c>
      <c r="K25" s="269">
        <f t="shared" si="3"/>
        <v>-59097.683069381215</v>
      </c>
      <c r="L25" s="269">
        <f t="shared" si="8"/>
        <v>4996.631067553084</v>
      </c>
      <c r="M25" s="270">
        <f t="shared" si="9"/>
        <v>3074542.6245868681</v>
      </c>
      <c r="N25" s="271"/>
      <c r="O25" s="271"/>
      <c r="P25" s="271"/>
      <c r="Q25" s="271"/>
      <c r="R25" s="271"/>
      <c r="S25" s="271"/>
      <c r="T25" s="271"/>
    </row>
    <row r="26" spans="1:20" s="230" customFormat="1">
      <c r="A26" s="267">
        <f t="shared" si="10"/>
        <v>43799</v>
      </c>
      <c r="B26" s="269">
        <f t="shared" si="4"/>
        <v>3882386.2218749993</v>
      </c>
      <c r="C26" s="269">
        <f>'EV Capex Summary'!$F$57/8+C25</f>
        <v>3882386.2218749993</v>
      </c>
      <c r="D26" s="269">
        <f t="shared" si="5"/>
        <v>79256.141586562488</v>
      </c>
      <c r="E26" s="269">
        <f t="shared" si="11"/>
        <v>64706.437031249989</v>
      </c>
      <c r="F26" s="269">
        <f t="shared" si="6"/>
        <v>-554792.9911059374</v>
      </c>
      <c r="G26" s="269">
        <f t="shared" si="6"/>
        <v>-258825.74812499995</v>
      </c>
      <c r="H26" s="269">
        <f t="shared" si="2"/>
        <v>3327593.2307690619</v>
      </c>
      <c r="I26" s="269">
        <f t="shared" si="2"/>
        <v>3623560.4737499994</v>
      </c>
      <c r="J26" s="269">
        <f t="shared" si="7"/>
        <v>295967.24298093747</v>
      </c>
      <c r="K26" s="269">
        <f t="shared" si="3"/>
        <v>-62153.121025996865</v>
      </c>
      <c r="L26" s="269">
        <f>-K26+K25</f>
        <v>3055.4379566156495</v>
      </c>
      <c r="M26" s="270">
        <f t="shared" si="9"/>
        <v>3561407.3527240027</v>
      </c>
      <c r="N26" s="271"/>
      <c r="O26" s="271"/>
      <c r="P26" s="271"/>
      <c r="Q26" s="271"/>
      <c r="R26" s="271"/>
      <c r="S26" s="271"/>
      <c r="T26" s="271"/>
    </row>
    <row r="27" spans="1:20" s="230" customFormat="1">
      <c r="A27" s="267">
        <f t="shared" si="10"/>
        <v>43830</v>
      </c>
      <c r="B27" s="269">
        <f t="shared" si="4"/>
        <v>4437012.8249999993</v>
      </c>
      <c r="C27" s="269">
        <f>'EV Capex Summary'!$F$57/8+C26</f>
        <v>4437012.8249999993</v>
      </c>
      <c r="D27" s="269">
        <f t="shared" si="5"/>
        <v>79256.141586562488</v>
      </c>
      <c r="E27" s="269">
        <f t="shared" si="11"/>
        <v>73950.213749999995</v>
      </c>
      <c r="F27" s="269">
        <f t="shared" si="6"/>
        <v>-634049.1326924999</v>
      </c>
      <c r="G27" s="269">
        <f t="shared" si="6"/>
        <v>-332775.96187499992</v>
      </c>
      <c r="H27" s="269">
        <f t="shared" si="2"/>
        <v>3802963.6923074992</v>
      </c>
      <c r="I27" s="269">
        <f t="shared" si="2"/>
        <v>4104236.8631249992</v>
      </c>
      <c r="J27" s="269">
        <f t="shared" si="7"/>
        <v>301273.17081749998</v>
      </c>
      <c r="K27" s="269">
        <f t="shared" si="3"/>
        <v>-63267.365871674992</v>
      </c>
      <c r="L27" s="269">
        <f>-K27+K26</f>
        <v>1114.2448456781276</v>
      </c>
      <c r="M27" s="270">
        <f t="shared" si="9"/>
        <v>4040969.4972533244</v>
      </c>
      <c r="N27" s="271"/>
      <c r="O27" s="271"/>
      <c r="P27" s="271"/>
      <c r="Q27" s="271"/>
      <c r="R27" s="271"/>
      <c r="S27" s="271"/>
      <c r="T27" s="271"/>
    </row>
    <row r="28" spans="1:20" s="230" customFormat="1">
      <c r="A28" s="267">
        <f t="shared" si="10"/>
        <v>43861</v>
      </c>
      <c r="B28" s="269">
        <f t="shared" ref="B28:C30" si="12">B27</f>
        <v>4437012.8249999993</v>
      </c>
      <c r="C28" s="269">
        <f t="shared" si="12"/>
        <v>4437012.8249999993</v>
      </c>
      <c r="D28" s="269">
        <f t="shared" ref="D28:D39" si="13">B28*$C$5/12</f>
        <v>90552.036736875001</v>
      </c>
      <c r="E28" s="269">
        <f t="shared" si="11"/>
        <v>73950.213749999995</v>
      </c>
      <c r="F28" s="269">
        <f t="shared" si="6"/>
        <v>-724601.16942937486</v>
      </c>
      <c r="G28" s="269">
        <f t="shared" si="6"/>
        <v>-406726.17562499992</v>
      </c>
      <c r="H28" s="269">
        <f t="shared" si="2"/>
        <v>3712411.6555706244</v>
      </c>
      <c r="I28" s="269">
        <f t="shared" si="2"/>
        <v>4030286.6493749991</v>
      </c>
      <c r="J28" s="269">
        <f t="shared" si="7"/>
        <v>317874.99380437471</v>
      </c>
      <c r="K28" s="269">
        <f t="shared" si="3"/>
        <v>-66753.748698918687</v>
      </c>
      <c r="L28" s="269">
        <f>-K28+K27</f>
        <v>3486.3828272436949</v>
      </c>
      <c r="M28" s="270">
        <f t="shared" si="9"/>
        <v>3963532.9006760805</v>
      </c>
      <c r="N28" s="271"/>
      <c r="O28" s="271"/>
      <c r="P28" s="271"/>
      <c r="Q28" s="271"/>
      <c r="R28" s="271"/>
      <c r="S28" s="271"/>
      <c r="T28" s="271"/>
    </row>
    <row r="29" spans="1:20" s="230" customFormat="1">
      <c r="A29" s="267">
        <f t="shared" si="10"/>
        <v>43890</v>
      </c>
      <c r="B29" s="269">
        <f t="shared" si="12"/>
        <v>4437012.8249999993</v>
      </c>
      <c r="C29" s="269">
        <f t="shared" si="12"/>
        <v>4437012.8249999993</v>
      </c>
      <c r="D29" s="269">
        <f t="shared" si="13"/>
        <v>90552.036736875001</v>
      </c>
      <c r="E29" s="269">
        <f t="shared" si="11"/>
        <v>73950.213749999995</v>
      </c>
      <c r="F29" s="269">
        <f t="shared" si="6"/>
        <v>-815153.20616624982</v>
      </c>
      <c r="G29" s="269">
        <f t="shared" si="6"/>
        <v>-480676.38937499991</v>
      </c>
      <c r="H29" s="269">
        <f t="shared" si="2"/>
        <v>3621859.6188337496</v>
      </c>
      <c r="I29" s="269">
        <f t="shared" si="2"/>
        <v>3956336.4356249995</v>
      </c>
      <c r="J29" s="269">
        <f t="shared" si="7"/>
        <v>334476.8167912499</v>
      </c>
      <c r="K29" s="269">
        <f t="shared" si="3"/>
        <v>-70240.131526162484</v>
      </c>
      <c r="L29" s="269">
        <f t="shared" si="8"/>
        <v>3486.3828272437968</v>
      </c>
      <c r="M29" s="270">
        <f t="shared" si="9"/>
        <v>3886096.3040988371</v>
      </c>
      <c r="N29" s="271"/>
      <c r="O29" s="271"/>
      <c r="P29" s="271"/>
      <c r="Q29" s="271"/>
      <c r="R29" s="271"/>
      <c r="S29" s="271"/>
      <c r="T29" s="271"/>
    </row>
    <row r="30" spans="1:20" s="230" customFormat="1">
      <c r="A30" s="267">
        <f t="shared" si="10"/>
        <v>43921</v>
      </c>
      <c r="B30" s="269">
        <f t="shared" si="12"/>
        <v>4437012.8249999993</v>
      </c>
      <c r="C30" s="269">
        <f t="shared" si="12"/>
        <v>4437012.8249999993</v>
      </c>
      <c r="D30" s="269">
        <f t="shared" si="13"/>
        <v>90552.036736875001</v>
      </c>
      <c r="E30" s="269">
        <f t="shared" si="11"/>
        <v>73950.213749999995</v>
      </c>
      <c r="F30" s="269">
        <f t="shared" si="6"/>
        <v>-905705.24290312477</v>
      </c>
      <c r="G30" s="269">
        <f t="shared" si="6"/>
        <v>-554626.60312499991</v>
      </c>
      <c r="H30" s="269">
        <f t="shared" si="2"/>
        <v>3531307.5820968747</v>
      </c>
      <c r="I30" s="269">
        <f t="shared" si="2"/>
        <v>3882386.2218749993</v>
      </c>
      <c r="J30" s="269">
        <f t="shared" si="7"/>
        <v>351078.63977812463</v>
      </c>
      <c r="K30" s="269">
        <f t="shared" si="3"/>
        <v>-73726.514353406164</v>
      </c>
      <c r="L30" s="269">
        <f t="shared" si="8"/>
        <v>3486.3828272436804</v>
      </c>
      <c r="M30" s="270">
        <f t="shared" si="9"/>
        <v>3808659.7075215932</v>
      </c>
      <c r="N30" s="271"/>
      <c r="O30" s="271"/>
      <c r="P30" s="271"/>
      <c r="Q30" s="271"/>
      <c r="R30" s="271"/>
      <c r="S30" s="271"/>
      <c r="T30" s="271"/>
    </row>
    <row r="31" spans="1:20" s="230" customFormat="1">
      <c r="A31" s="267">
        <f t="shared" si="10"/>
        <v>43951</v>
      </c>
      <c r="B31" s="269">
        <f>B30</f>
        <v>4437012.8249999993</v>
      </c>
      <c r="C31" s="269">
        <f>C30</f>
        <v>4437012.8249999993</v>
      </c>
      <c r="D31" s="269">
        <f t="shared" si="13"/>
        <v>90552.036736875001</v>
      </c>
      <c r="E31" s="269">
        <f t="shared" si="11"/>
        <v>73950.213749999995</v>
      </c>
      <c r="F31" s="269">
        <f t="shared" si="6"/>
        <v>-996257.27963999973</v>
      </c>
      <c r="G31" s="269">
        <f t="shared" si="6"/>
        <v>-628576.8168749999</v>
      </c>
      <c r="H31" s="269">
        <f t="shared" si="2"/>
        <v>3440755.5453599994</v>
      </c>
      <c r="I31" s="269">
        <f t="shared" si="2"/>
        <v>3808436.0081249992</v>
      </c>
      <c r="J31" s="269">
        <f t="shared" si="7"/>
        <v>367680.46276499983</v>
      </c>
      <c r="K31" s="269">
        <f t="shared" si="3"/>
        <v>-77212.897180649961</v>
      </c>
      <c r="L31" s="269">
        <f t="shared" si="8"/>
        <v>3486.3828272437968</v>
      </c>
      <c r="M31" s="270">
        <f t="shared" si="9"/>
        <v>3731223.1109443493</v>
      </c>
      <c r="N31" s="271"/>
      <c r="O31" s="271"/>
      <c r="P31" s="271"/>
      <c r="Q31" s="271"/>
      <c r="R31" s="271"/>
      <c r="S31" s="271"/>
      <c r="T31" s="271"/>
    </row>
    <row r="32" spans="1:20" s="230" customFormat="1">
      <c r="A32" s="267">
        <f t="shared" si="10"/>
        <v>43982</v>
      </c>
      <c r="B32" s="269">
        <f t="shared" ref="B32:C47" si="14">B31</f>
        <v>4437012.8249999993</v>
      </c>
      <c r="C32" s="269">
        <f t="shared" si="14"/>
        <v>4437012.8249999993</v>
      </c>
      <c r="D32" s="269">
        <f t="shared" si="13"/>
        <v>90552.036736875001</v>
      </c>
      <c r="E32" s="269">
        <f t="shared" si="11"/>
        <v>73950.213749999995</v>
      </c>
      <c r="F32" s="269">
        <f t="shared" si="6"/>
        <v>-1086809.3163768747</v>
      </c>
      <c r="G32" s="269">
        <f t="shared" si="6"/>
        <v>-702527.0306249999</v>
      </c>
      <c r="H32" s="269">
        <f t="shared" si="2"/>
        <v>3350203.5086231246</v>
      </c>
      <c r="I32" s="269">
        <f t="shared" si="2"/>
        <v>3734485.7943749996</v>
      </c>
      <c r="J32" s="269">
        <f t="shared" si="7"/>
        <v>384282.28575187502</v>
      </c>
      <c r="K32" s="269">
        <f t="shared" si="3"/>
        <v>-80699.280007893758</v>
      </c>
      <c r="L32" s="269">
        <f t="shared" si="8"/>
        <v>3486.3828272437968</v>
      </c>
      <c r="M32" s="270">
        <f t="shared" si="9"/>
        <v>3653786.5143671059</v>
      </c>
      <c r="N32" s="271"/>
      <c r="O32" s="271"/>
      <c r="P32" s="271"/>
      <c r="Q32" s="271"/>
      <c r="R32" s="271"/>
      <c r="S32" s="271"/>
      <c r="T32" s="271"/>
    </row>
    <row r="33" spans="1:20" s="230" customFormat="1">
      <c r="A33" s="267">
        <f t="shared" si="10"/>
        <v>44012</v>
      </c>
      <c r="B33" s="269">
        <f t="shared" si="14"/>
        <v>4437012.8249999993</v>
      </c>
      <c r="C33" s="269">
        <f t="shared" si="14"/>
        <v>4437012.8249999993</v>
      </c>
      <c r="D33" s="269">
        <f t="shared" si="13"/>
        <v>90552.036736875001</v>
      </c>
      <c r="E33" s="269">
        <f t="shared" si="11"/>
        <v>73950.213749999995</v>
      </c>
      <c r="F33" s="269">
        <f t="shared" si="6"/>
        <v>-1177361.3531137498</v>
      </c>
      <c r="G33" s="269">
        <f t="shared" si="6"/>
        <v>-776477.24437499989</v>
      </c>
      <c r="H33" s="269">
        <f t="shared" si="2"/>
        <v>3259651.4718862493</v>
      </c>
      <c r="I33" s="269">
        <f t="shared" si="2"/>
        <v>3660535.5806249995</v>
      </c>
      <c r="J33" s="269">
        <f t="shared" si="7"/>
        <v>400884.10873875022</v>
      </c>
      <c r="K33" s="269">
        <f t="shared" si="3"/>
        <v>-84185.66283513754</v>
      </c>
      <c r="L33" s="269">
        <f t="shared" si="8"/>
        <v>3486.3828272437822</v>
      </c>
      <c r="M33" s="270">
        <f t="shared" si="9"/>
        <v>3576349.917789862</v>
      </c>
      <c r="N33" s="274"/>
      <c r="O33" s="271"/>
      <c r="P33" s="271"/>
      <c r="Q33" s="271"/>
      <c r="R33" s="271"/>
      <c r="S33" s="271"/>
      <c r="T33" s="271"/>
    </row>
    <row r="34" spans="1:20" s="230" customFormat="1">
      <c r="A34" s="267">
        <f t="shared" si="10"/>
        <v>44043</v>
      </c>
      <c r="B34" s="269">
        <f t="shared" si="14"/>
        <v>4437012.8249999993</v>
      </c>
      <c r="C34" s="269">
        <f t="shared" si="14"/>
        <v>4437012.8249999993</v>
      </c>
      <c r="D34" s="269">
        <f t="shared" si="13"/>
        <v>90552.036736875001</v>
      </c>
      <c r="E34" s="269">
        <f t="shared" si="11"/>
        <v>73950.213749999995</v>
      </c>
      <c r="F34" s="269">
        <f t="shared" si="6"/>
        <v>-1267913.3898506248</v>
      </c>
      <c r="G34" s="269">
        <f t="shared" si="6"/>
        <v>-850427.45812499989</v>
      </c>
      <c r="H34" s="269">
        <f t="shared" si="2"/>
        <v>3169099.4351493744</v>
      </c>
      <c r="I34" s="269">
        <f t="shared" si="2"/>
        <v>3586585.3668749994</v>
      </c>
      <c r="J34" s="269">
        <f t="shared" si="7"/>
        <v>417485.93172562495</v>
      </c>
      <c r="K34" s="269">
        <f t="shared" si="3"/>
        <v>-87672.045662381235</v>
      </c>
      <c r="L34" s="269">
        <f t="shared" si="8"/>
        <v>3486.3828272436949</v>
      </c>
      <c r="M34" s="270">
        <f t="shared" si="9"/>
        <v>3498913.3212126181</v>
      </c>
      <c r="N34" s="274"/>
      <c r="O34" s="271"/>
      <c r="P34" s="271"/>
      <c r="Q34" s="271"/>
      <c r="R34" s="271"/>
      <c r="S34" s="271"/>
      <c r="T34" s="271"/>
    </row>
    <row r="35" spans="1:20" s="230" customFormat="1">
      <c r="A35" s="267">
        <f t="shared" si="10"/>
        <v>44074</v>
      </c>
      <c r="B35" s="269">
        <f t="shared" si="14"/>
        <v>4437012.8249999993</v>
      </c>
      <c r="C35" s="269">
        <f t="shared" si="14"/>
        <v>4437012.8249999993</v>
      </c>
      <c r="D35" s="269">
        <f t="shared" si="13"/>
        <v>90552.036736875001</v>
      </c>
      <c r="E35" s="269">
        <f t="shared" si="11"/>
        <v>73950.213749999995</v>
      </c>
      <c r="F35" s="269">
        <f t="shared" si="6"/>
        <v>-1358465.4265874999</v>
      </c>
      <c r="G35" s="269">
        <f t="shared" si="6"/>
        <v>-924377.67187499988</v>
      </c>
      <c r="H35" s="269">
        <f t="shared" si="2"/>
        <v>3078547.3984124996</v>
      </c>
      <c r="I35" s="269">
        <f t="shared" si="2"/>
        <v>3512635.1531249993</v>
      </c>
      <c r="J35" s="269">
        <f t="shared" si="7"/>
        <v>434087.75471249968</v>
      </c>
      <c r="K35" s="269">
        <f t="shared" si="3"/>
        <v>-91158.42848962493</v>
      </c>
      <c r="L35" s="269">
        <f t="shared" si="8"/>
        <v>3486.3828272436949</v>
      </c>
      <c r="M35" s="270">
        <f t="shared" si="9"/>
        <v>3421476.7246353743</v>
      </c>
      <c r="N35" s="274"/>
      <c r="O35" s="271"/>
      <c r="P35" s="271"/>
      <c r="Q35" s="271"/>
      <c r="R35" s="271"/>
      <c r="S35" s="271"/>
      <c r="T35" s="271"/>
    </row>
    <row r="36" spans="1:20" s="230" customFormat="1">
      <c r="A36" s="267">
        <f t="shared" si="10"/>
        <v>44104</v>
      </c>
      <c r="B36" s="269">
        <f t="shared" si="14"/>
        <v>4437012.8249999993</v>
      </c>
      <c r="C36" s="269">
        <f t="shared" si="14"/>
        <v>4437012.8249999993</v>
      </c>
      <c r="D36" s="269">
        <f t="shared" si="13"/>
        <v>90552.036736875001</v>
      </c>
      <c r="E36" s="269">
        <f t="shared" si="11"/>
        <v>73950.213749999995</v>
      </c>
      <c r="F36" s="269">
        <f t="shared" si="6"/>
        <v>-1449017.463324375</v>
      </c>
      <c r="G36" s="269">
        <f t="shared" si="6"/>
        <v>-998327.88562499988</v>
      </c>
      <c r="H36" s="269">
        <f t="shared" si="2"/>
        <v>2987995.3616756243</v>
      </c>
      <c r="I36" s="269">
        <f t="shared" si="2"/>
        <v>3438684.9393749991</v>
      </c>
      <c r="J36" s="269">
        <f t="shared" si="7"/>
        <v>450689.57769937487</v>
      </c>
      <c r="K36" s="269">
        <f t="shared" si="3"/>
        <v>-94644.811316868727</v>
      </c>
      <c r="L36" s="269">
        <f t="shared" si="8"/>
        <v>3486.3828272437968</v>
      </c>
      <c r="M36" s="270">
        <f t="shared" si="9"/>
        <v>3344040.1280581304</v>
      </c>
      <c r="N36" s="271"/>
      <c r="O36" s="275"/>
      <c r="P36" s="271"/>
      <c r="Q36" s="271"/>
      <c r="R36" s="271"/>
      <c r="S36" s="271"/>
      <c r="T36" s="271"/>
    </row>
    <row r="37" spans="1:20" s="230" customFormat="1">
      <c r="A37" s="267">
        <f t="shared" si="10"/>
        <v>44135</v>
      </c>
      <c r="B37" s="269">
        <f t="shared" si="14"/>
        <v>4437012.8249999993</v>
      </c>
      <c r="C37" s="269">
        <f t="shared" si="14"/>
        <v>4437012.8249999993</v>
      </c>
      <c r="D37" s="269">
        <f t="shared" si="13"/>
        <v>90552.036736875001</v>
      </c>
      <c r="E37" s="269">
        <f t="shared" si="11"/>
        <v>73950.213749999995</v>
      </c>
      <c r="F37" s="269">
        <f t="shared" ref="F37:G52" si="15">F36-D37</f>
        <v>-1539569.5000612501</v>
      </c>
      <c r="G37" s="269">
        <f t="shared" si="15"/>
        <v>-1072278.0993749998</v>
      </c>
      <c r="H37" s="269">
        <f t="shared" si="2"/>
        <v>2897443.324938749</v>
      </c>
      <c r="I37" s="269">
        <f t="shared" si="2"/>
        <v>3364734.7256249995</v>
      </c>
      <c r="J37" s="269">
        <f t="shared" si="7"/>
        <v>467291.40068625053</v>
      </c>
      <c r="K37" s="269">
        <f t="shared" si="3"/>
        <v>-98131.194144112611</v>
      </c>
      <c r="L37" s="269">
        <f t="shared" si="8"/>
        <v>3486.3828272438841</v>
      </c>
      <c r="M37" s="270">
        <f t="shared" si="9"/>
        <v>3266603.531480887</v>
      </c>
      <c r="N37" s="271"/>
      <c r="O37" s="275"/>
      <c r="P37" s="271"/>
      <c r="Q37" s="271"/>
      <c r="R37" s="271"/>
      <c r="S37" s="271"/>
      <c r="T37" s="271"/>
    </row>
    <row r="38" spans="1:20" s="230" customFormat="1">
      <c r="A38" s="267">
        <f t="shared" si="10"/>
        <v>44165</v>
      </c>
      <c r="B38" s="269">
        <f t="shared" si="14"/>
        <v>4437012.8249999993</v>
      </c>
      <c r="C38" s="269">
        <f t="shared" si="14"/>
        <v>4437012.8249999993</v>
      </c>
      <c r="D38" s="269">
        <f t="shared" si="13"/>
        <v>90552.036736875001</v>
      </c>
      <c r="E38" s="269">
        <f t="shared" si="11"/>
        <v>73950.213749999995</v>
      </c>
      <c r="F38" s="269">
        <f t="shared" si="15"/>
        <v>-1630121.5367981251</v>
      </c>
      <c r="G38" s="269">
        <f t="shared" si="15"/>
        <v>-1146228.3131249999</v>
      </c>
      <c r="H38" s="269">
        <f t="shared" si="2"/>
        <v>2806891.2882018741</v>
      </c>
      <c r="I38" s="269">
        <f t="shared" si="2"/>
        <v>3290784.5118749994</v>
      </c>
      <c r="J38" s="269">
        <f t="shared" si="7"/>
        <v>483893.22367312526</v>
      </c>
      <c r="K38" s="269">
        <f t="shared" si="3"/>
        <v>-101617.57697135631</v>
      </c>
      <c r="L38" s="269">
        <f t="shared" si="8"/>
        <v>3486.3828272436949</v>
      </c>
      <c r="M38" s="270">
        <f t="shared" si="9"/>
        <v>3189166.9349036431</v>
      </c>
      <c r="N38" s="271"/>
      <c r="O38" s="275"/>
      <c r="P38" s="271"/>
      <c r="Q38" s="271"/>
      <c r="R38" s="271"/>
      <c r="S38" s="271"/>
      <c r="T38" s="271"/>
    </row>
    <row r="39" spans="1:20" s="230" customFormat="1">
      <c r="A39" s="267">
        <f t="shared" si="10"/>
        <v>44196</v>
      </c>
      <c r="B39" s="269">
        <f t="shared" si="14"/>
        <v>4437012.8249999993</v>
      </c>
      <c r="C39" s="269">
        <f t="shared" si="14"/>
        <v>4437012.8249999993</v>
      </c>
      <c r="D39" s="269">
        <f t="shared" si="13"/>
        <v>90552.036736875001</v>
      </c>
      <c r="E39" s="269">
        <f t="shared" si="11"/>
        <v>73950.213749999995</v>
      </c>
      <c r="F39" s="269">
        <f t="shared" si="15"/>
        <v>-1720673.5735350002</v>
      </c>
      <c r="G39" s="269">
        <f t="shared" si="15"/>
        <v>-1220178.526875</v>
      </c>
      <c r="H39" s="269">
        <f t="shared" ref="H39:I74" si="16">B39+F39</f>
        <v>2716339.2514649993</v>
      </c>
      <c r="I39" s="269">
        <f t="shared" si="16"/>
        <v>3216834.2981249993</v>
      </c>
      <c r="J39" s="269">
        <f t="shared" si="7"/>
        <v>500495.04665999999</v>
      </c>
      <c r="K39" s="269">
        <f t="shared" si="3"/>
        <v>-105103.9597986</v>
      </c>
      <c r="L39" s="269">
        <f t="shared" si="8"/>
        <v>3486.3828272436949</v>
      </c>
      <c r="M39" s="270">
        <f t="shared" si="9"/>
        <v>3111730.3383263992</v>
      </c>
      <c r="N39" s="271"/>
      <c r="O39" s="275"/>
      <c r="P39" s="271"/>
      <c r="Q39" s="271"/>
      <c r="R39" s="271"/>
      <c r="S39" s="271"/>
      <c r="T39" s="271"/>
    </row>
    <row r="40" spans="1:20" s="230" customFormat="1">
      <c r="A40" s="267">
        <f t="shared" si="10"/>
        <v>44227</v>
      </c>
      <c r="B40" s="269">
        <f t="shared" si="14"/>
        <v>4437012.8249999993</v>
      </c>
      <c r="C40" s="269">
        <f t="shared" si="14"/>
        <v>4437012.8249999993</v>
      </c>
      <c r="D40" s="269">
        <f>B40*$D$5/12</f>
        <v>64669.461924374984</v>
      </c>
      <c r="E40" s="269">
        <f t="shared" si="11"/>
        <v>73950.213749999995</v>
      </c>
      <c r="F40" s="269">
        <f t="shared" si="15"/>
        <v>-1785343.0354593752</v>
      </c>
      <c r="G40" s="269">
        <f t="shared" si="15"/>
        <v>-1294128.7406250001</v>
      </c>
      <c r="H40" s="269">
        <f t="shared" si="16"/>
        <v>2651669.7895406242</v>
      </c>
      <c r="I40" s="269">
        <f t="shared" si="16"/>
        <v>3142884.0843749992</v>
      </c>
      <c r="J40" s="269">
        <f t="shared" si="7"/>
        <v>491214.29483437492</v>
      </c>
      <c r="K40" s="269">
        <f t="shared" si="3"/>
        <v>-103155.00191521873</v>
      </c>
      <c r="L40" s="269">
        <f t="shared" si="8"/>
        <v>-1948.9578833812702</v>
      </c>
      <c r="M40" s="270">
        <f t="shared" si="9"/>
        <v>3039729.0824597804</v>
      </c>
      <c r="N40" s="271"/>
      <c r="O40" s="275"/>
      <c r="P40" s="271"/>
      <c r="Q40" s="271"/>
      <c r="R40" s="271"/>
      <c r="S40" s="271"/>
      <c r="T40" s="271"/>
    </row>
    <row r="41" spans="1:20" s="230" customFormat="1">
      <c r="A41" s="267">
        <f t="shared" si="10"/>
        <v>44255</v>
      </c>
      <c r="B41" s="269">
        <f t="shared" si="14"/>
        <v>4437012.8249999993</v>
      </c>
      <c r="C41" s="269">
        <f t="shared" si="14"/>
        <v>4437012.8249999993</v>
      </c>
      <c r="D41" s="269">
        <f t="shared" ref="D41:D51" si="17">B41*$D$5/12</f>
        <v>64669.461924374984</v>
      </c>
      <c r="E41" s="269">
        <f t="shared" si="11"/>
        <v>73950.213749999995</v>
      </c>
      <c r="F41" s="269">
        <f t="shared" si="15"/>
        <v>-1850012.4973837503</v>
      </c>
      <c r="G41" s="269">
        <f t="shared" si="15"/>
        <v>-1368078.9543750002</v>
      </c>
      <c r="H41" s="269">
        <f t="shared" si="16"/>
        <v>2587000.3276162492</v>
      </c>
      <c r="I41" s="269">
        <f t="shared" si="16"/>
        <v>3068933.8706249991</v>
      </c>
      <c r="J41" s="269">
        <f t="shared" si="7"/>
        <v>481933.54300874984</v>
      </c>
      <c r="K41" s="269">
        <f t="shared" si="3"/>
        <v>-101206.04403183746</v>
      </c>
      <c r="L41" s="269">
        <f t="shared" si="8"/>
        <v>-1948.9578833812702</v>
      </c>
      <c r="M41" s="270">
        <f t="shared" si="9"/>
        <v>2967727.8265931616</v>
      </c>
      <c r="N41" s="271"/>
      <c r="O41" s="275"/>
      <c r="P41" s="271"/>
      <c r="Q41" s="271"/>
      <c r="R41" s="271"/>
      <c r="S41" s="271"/>
      <c r="T41" s="271"/>
    </row>
    <row r="42" spans="1:20" s="230" customFormat="1">
      <c r="A42" s="267">
        <f t="shared" si="10"/>
        <v>44286</v>
      </c>
      <c r="B42" s="269">
        <f t="shared" si="14"/>
        <v>4437012.8249999993</v>
      </c>
      <c r="C42" s="269">
        <f t="shared" si="14"/>
        <v>4437012.8249999993</v>
      </c>
      <c r="D42" s="269">
        <f t="shared" si="17"/>
        <v>64669.461924374984</v>
      </c>
      <c r="E42" s="269">
        <f t="shared" si="11"/>
        <v>73950.213749999995</v>
      </c>
      <c r="F42" s="269">
        <f t="shared" si="15"/>
        <v>-1914681.9593081253</v>
      </c>
      <c r="G42" s="269">
        <f t="shared" si="15"/>
        <v>-1442029.1681250003</v>
      </c>
      <c r="H42" s="269">
        <f t="shared" si="16"/>
        <v>2522330.8656918742</v>
      </c>
      <c r="I42" s="269">
        <f t="shared" si="16"/>
        <v>2994983.6568749989</v>
      </c>
      <c r="J42" s="269">
        <f t="shared" si="7"/>
        <v>472652.79118312476</v>
      </c>
      <c r="K42" s="269">
        <f t="shared" si="3"/>
        <v>-99257.08614845619</v>
      </c>
      <c r="L42" s="269">
        <f t="shared" si="8"/>
        <v>-1948.9578833812702</v>
      </c>
      <c r="M42" s="270">
        <f t="shared" si="9"/>
        <v>2895726.5707265427</v>
      </c>
      <c r="N42" s="271"/>
      <c r="O42" s="275"/>
      <c r="P42" s="271"/>
      <c r="Q42" s="271"/>
      <c r="R42" s="271"/>
      <c r="S42" s="271"/>
      <c r="T42" s="271"/>
    </row>
    <row r="43" spans="1:20" s="230" customFormat="1">
      <c r="A43" s="267">
        <f t="shared" si="10"/>
        <v>44316</v>
      </c>
      <c r="B43" s="269">
        <f t="shared" si="14"/>
        <v>4437012.8249999993</v>
      </c>
      <c r="C43" s="269">
        <f t="shared" si="14"/>
        <v>4437012.8249999993</v>
      </c>
      <c r="D43" s="269">
        <f t="shared" si="17"/>
        <v>64669.461924374984</v>
      </c>
      <c r="E43" s="269">
        <f t="shared" si="11"/>
        <v>73950.213749999995</v>
      </c>
      <c r="F43" s="269">
        <f t="shared" si="15"/>
        <v>-1979351.4212325003</v>
      </c>
      <c r="G43" s="269">
        <f t="shared" si="15"/>
        <v>-1515979.3818750004</v>
      </c>
      <c r="H43" s="269">
        <f t="shared" si="16"/>
        <v>2457661.4037674991</v>
      </c>
      <c r="I43" s="269">
        <f t="shared" si="16"/>
        <v>2921033.4431249988</v>
      </c>
      <c r="J43" s="269">
        <f t="shared" si="7"/>
        <v>463372.03935749969</v>
      </c>
      <c r="K43" s="269">
        <f t="shared" si="3"/>
        <v>-97308.128265074934</v>
      </c>
      <c r="L43" s="269">
        <f t="shared" si="8"/>
        <v>-1948.9578833812557</v>
      </c>
      <c r="M43" s="270">
        <f t="shared" si="9"/>
        <v>2823725.3148599239</v>
      </c>
      <c r="N43" s="271"/>
      <c r="O43" s="275"/>
      <c r="P43" s="271"/>
      <c r="Q43" s="271"/>
      <c r="R43" s="271"/>
      <c r="S43" s="271"/>
      <c r="T43" s="271"/>
    </row>
    <row r="44" spans="1:20" s="230" customFormat="1">
      <c r="A44" s="267">
        <f t="shared" si="10"/>
        <v>44347</v>
      </c>
      <c r="B44" s="269">
        <f t="shared" si="14"/>
        <v>4437012.8249999993</v>
      </c>
      <c r="C44" s="269">
        <f t="shared" si="14"/>
        <v>4437012.8249999993</v>
      </c>
      <c r="D44" s="269">
        <f t="shared" si="17"/>
        <v>64669.461924374984</v>
      </c>
      <c r="E44" s="269">
        <f t="shared" si="11"/>
        <v>73950.213749999995</v>
      </c>
      <c r="F44" s="269">
        <f t="shared" si="15"/>
        <v>-2044020.8831568754</v>
      </c>
      <c r="G44" s="269">
        <f t="shared" si="15"/>
        <v>-1589929.5956250005</v>
      </c>
      <c r="H44" s="269">
        <f t="shared" si="16"/>
        <v>2392991.9418431241</v>
      </c>
      <c r="I44" s="269">
        <f t="shared" si="16"/>
        <v>2847083.2293749987</v>
      </c>
      <c r="J44" s="269">
        <f t="shared" si="7"/>
        <v>454091.28753187461</v>
      </c>
      <c r="K44" s="269">
        <f t="shared" si="3"/>
        <v>-95359.170381693664</v>
      </c>
      <c r="L44" s="269">
        <f t="shared" si="8"/>
        <v>-1948.9578833812702</v>
      </c>
      <c r="M44" s="270">
        <f t="shared" si="9"/>
        <v>2751724.0589933051</v>
      </c>
      <c r="N44" s="271"/>
      <c r="O44" s="275"/>
      <c r="P44" s="271"/>
      <c r="Q44" s="271"/>
      <c r="R44" s="271"/>
      <c r="S44" s="271"/>
      <c r="T44" s="271"/>
    </row>
    <row r="45" spans="1:20" s="230" customFormat="1">
      <c r="A45" s="267">
        <f t="shared" si="10"/>
        <v>44377</v>
      </c>
      <c r="B45" s="269">
        <f t="shared" si="14"/>
        <v>4437012.8249999993</v>
      </c>
      <c r="C45" s="269">
        <f t="shared" si="14"/>
        <v>4437012.8249999993</v>
      </c>
      <c r="D45" s="269">
        <f t="shared" si="17"/>
        <v>64669.461924374984</v>
      </c>
      <c r="E45" s="269">
        <f t="shared" si="11"/>
        <v>73950.213749999995</v>
      </c>
      <c r="F45" s="269">
        <f t="shared" si="15"/>
        <v>-2108690.3450812502</v>
      </c>
      <c r="G45" s="269">
        <f t="shared" si="15"/>
        <v>-1663879.8093750007</v>
      </c>
      <c r="H45" s="269">
        <f t="shared" si="16"/>
        <v>2328322.4799187491</v>
      </c>
      <c r="I45" s="269">
        <f t="shared" si="16"/>
        <v>2773133.0156249986</v>
      </c>
      <c r="J45" s="269">
        <f t="shared" si="7"/>
        <v>444810.53570624953</v>
      </c>
      <c r="K45" s="269">
        <f t="shared" si="3"/>
        <v>-93410.212498312394</v>
      </c>
      <c r="L45" s="269">
        <f t="shared" si="8"/>
        <v>-1948.9578833812702</v>
      </c>
      <c r="M45" s="270">
        <f t="shared" si="9"/>
        <v>2679722.8031266863</v>
      </c>
      <c r="N45" s="271"/>
      <c r="O45" s="275"/>
      <c r="P45" s="271"/>
      <c r="Q45" s="271"/>
      <c r="R45" s="271"/>
      <c r="S45" s="271"/>
      <c r="T45" s="271"/>
    </row>
    <row r="46" spans="1:20" s="230" customFormat="1">
      <c r="A46" s="267">
        <f t="shared" si="10"/>
        <v>44408</v>
      </c>
      <c r="B46" s="269">
        <f t="shared" si="14"/>
        <v>4437012.8249999993</v>
      </c>
      <c r="C46" s="269">
        <f t="shared" si="14"/>
        <v>4437012.8249999993</v>
      </c>
      <c r="D46" s="269">
        <f t="shared" si="17"/>
        <v>64669.461924374984</v>
      </c>
      <c r="E46" s="269">
        <f t="shared" si="11"/>
        <v>73950.213749999995</v>
      </c>
      <c r="F46" s="269">
        <f t="shared" si="15"/>
        <v>-2173359.8070056252</v>
      </c>
      <c r="G46" s="269">
        <f t="shared" si="15"/>
        <v>-1737830.0231250008</v>
      </c>
      <c r="H46" s="269">
        <f t="shared" si="16"/>
        <v>2263653.017994374</v>
      </c>
      <c r="I46" s="269">
        <f t="shared" si="16"/>
        <v>2699182.8018749985</v>
      </c>
      <c r="J46" s="269">
        <f t="shared" si="7"/>
        <v>435529.78388062445</v>
      </c>
      <c r="K46" s="269">
        <f t="shared" si="3"/>
        <v>-91461.254614931138</v>
      </c>
      <c r="L46" s="269">
        <f t="shared" si="8"/>
        <v>-1948.9578833812557</v>
      </c>
      <c r="M46" s="270">
        <f t="shared" si="9"/>
        <v>2607721.5472600674</v>
      </c>
      <c r="N46" s="271"/>
      <c r="O46" s="275"/>
      <c r="P46" s="271"/>
      <c r="Q46" s="271"/>
      <c r="R46" s="271"/>
      <c r="S46" s="271"/>
      <c r="T46" s="271"/>
    </row>
    <row r="47" spans="1:20" s="230" customFormat="1">
      <c r="A47" s="267">
        <f t="shared" si="10"/>
        <v>44439</v>
      </c>
      <c r="B47" s="269">
        <f t="shared" si="14"/>
        <v>4437012.8249999993</v>
      </c>
      <c r="C47" s="269">
        <f t="shared" si="14"/>
        <v>4437012.8249999993</v>
      </c>
      <c r="D47" s="269">
        <f t="shared" si="17"/>
        <v>64669.461924374984</v>
      </c>
      <c r="E47" s="269">
        <f t="shared" si="11"/>
        <v>73950.213749999995</v>
      </c>
      <c r="F47" s="269">
        <f t="shared" si="15"/>
        <v>-2238029.2689300003</v>
      </c>
      <c r="G47" s="269">
        <f t="shared" si="15"/>
        <v>-1811780.2368750009</v>
      </c>
      <c r="H47" s="269">
        <f t="shared" si="16"/>
        <v>2198983.556069999</v>
      </c>
      <c r="I47" s="269">
        <f t="shared" si="16"/>
        <v>2625232.5881249984</v>
      </c>
      <c r="J47" s="269">
        <f t="shared" si="7"/>
        <v>426249.03205499938</v>
      </c>
      <c r="K47" s="269">
        <f t="shared" si="3"/>
        <v>-89512.296731549868</v>
      </c>
      <c r="L47" s="269">
        <f t="shared" si="8"/>
        <v>-1948.9578833812702</v>
      </c>
      <c r="M47" s="270">
        <f t="shared" si="9"/>
        <v>2535720.2913934486</v>
      </c>
      <c r="N47" s="271"/>
      <c r="O47" s="275"/>
      <c r="P47" s="271"/>
      <c r="Q47" s="271"/>
      <c r="R47" s="271"/>
      <c r="S47" s="271"/>
      <c r="T47" s="271"/>
    </row>
    <row r="48" spans="1:20" s="230" customFormat="1">
      <c r="A48" s="267">
        <f t="shared" si="10"/>
        <v>44469</v>
      </c>
      <c r="B48" s="269">
        <f t="shared" ref="B48:C63" si="18">B47</f>
        <v>4437012.8249999993</v>
      </c>
      <c r="C48" s="269">
        <f t="shared" si="18"/>
        <v>4437012.8249999993</v>
      </c>
      <c r="D48" s="269">
        <f t="shared" si="17"/>
        <v>64669.461924374984</v>
      </c>
      <c r="E48" s="269">
        <f t="shared" si="11"/>
        <v>73950.213749999995</v>
      </c>
      <c r="F48" s="269">
        <f t="shared" si="15"/>
        <v>-2302698.7308543753</v>
      </c>
      <c r="G48" s="269">
        <f t="shared" si="15"/>
        <v>-1885730.450625001</v>
      </c>
      <c r="H48" s="269">
        <f t="shared" si="16"/>
        <v>2134314.094145624</v>
      </c>
      <c r="I48" s="269">
        <f t="shared" si="16"/>
        <v>2551282.3743749983</v>
      </c>
      <c r="J48" s="269">
        <f t="shared" si="7"/>
        <v>416968.2802293743</v>
      </c>
      <c r="K48" s="269">
        <f t="shared" si="3"/>
        <v>-87563.338848168598</v>
      </c>
      <c r="L48" s="269">
        <f t="shared" si="8"/>
        <v>-1948.9578833812702</v>
      </c>
      <c r="M48" s="270">
        <f t="shared" si="9"/>
        <v>2463719.0355268298</v>
      </c>
      <c r="N48" s="271"/>
      <c r="O48" s="275"/>
      <c r="P48" s="271"/>
      <c r="Q48" s="271"/>
      <c r="R48" s="271"/>
      <c r="S48" s="271"/>
      <c r="T48" s="271"/>
    </row>
    <row r="49" spans="1:20" s="230" customFormat="1">
      <c r="A49" s="267">
        <f t="shared" si="10"/>
        <v>44500</v>
      </c>
      <c r="B49" s="269">
        <f t="shared" si="18"/>
        <v>4437012.8249999993</v>
      </c>
      <c r="C49" s="269">
        <f t="shared" si="18"/>
        <v>4437012.8249999993</v>
      </c>
      <c r="D49" s="269">
        <f t="shared" si="17"/>
        <v>64669.461924374984</v>
      </c>
      <c r="E49" s="269">
        <f t="shared" si="11"/>
        <v>73950.213749999995</v>
      </c>
      <c r="F49" s="269">
        <f t="shared" si="15"/>
        <v>-2367368.1927787503</v>
      </c>
      <c r="G49" s="269">
        <f t="shared" si="15"/>
        <v>-1959680.6643750011</v>
      </c>
      <c r="H49" s="269">
        <f t="shared" si="16"/>
        <v>2069644.6322212489</v>
      </c>
      <c r="I49" s="269">
        <f t="shared" si="16"/>
        <v>2477332.1606249982</v>
      </c>
      <c r="J49" s="269">
        <f t="shared" si="7"/>
        <v>407687.52840374922</v>
      </c>
      <c r="K49" s="269">
        <f t="shared" si="3"/>
        <v>-85614.380964787328</v>
      </c>
      <c r="L49" s="269">
        <f t="shared" si="8"/>
        <v>-1948.9578833812702</v>
      </c>
      <c r="M49" s="270">
        <f t="shared" si="9"/>
        <v>2391717.7796602109</v>
      </c>
      <c r="N49" s="271"/>
      <c r="O49" s="275"/>
      <c r="P49" s="271"/>
      <c r="Q49" s="271"/>
      <c r="R49" s="271"/>
      <c r="S49" s="271"/>
      <c r="T49" s="271"/>
    </row>
    <row r="50" spans="1:20" s="230" customFormat="1">
      <c r="A50" s="267">
        <f t="shared" si="10"/>
        <v>44530</v>
      </c>
      <c r="B50" s="269">
        <f t="shared" si="18"/>
        <v>4437012.8249999993</v>
      </c>
      <c r="C50" s="269">
        <f t="shared" si="18"/>
        <v>4437012.8249999993</v>
      </c>
      <c r="D50" s="269">
        <f t="shared" si="17"/>
        <v>64669.461924374984</v>
      </c>
      <c r="E50" s="269">
        <f t="shared" si="11"/>
        <v>73950.213749999995</v>
      </c>
      <c r="F50" s="269">
        <f t="shared" si="15"/>
        <v>-2432037.6547031254</v>
      </c>
      <c r="G50" s="269">
        <f t="shared" si="15"/>
        <v>-2033630.8781250012</v>
      </c>
      <c r="H50" s="269">
        <f t="shared" si="16"/>
        <v>2004975.1702968739</v>
      </c>
      <c r="I50" s="269">
        <f t="shared" si="16"/>
        <v>2403381.946874998</v>
      </c>
      <c r="J50" s="269">
        <f t="shared" si="7"/>
        <v>398406.77657812415</v>
      </c>
      <c r="K50" s="269">
        <f t="shared" si="3"/>
        <v>-83665.423081406072</v>
      </c>
      <c r="L50" s="269">
        <f t="shared" si="8"/>
        <v>-1948.9578833812557</v>
      </c>
      <c r="M50" s="270">
        <f t="shared" si="9"/>
        <v>2319716.5237935921</v>
      </c>
      <c r="N50" s="271"/>
      <c r="O50" s="275"/>
      <c r="P50" s="271"/>
      <c r="Q50" s="271"/>
      <c r="R50" s="271"/>
      <c r="S50" s="271"/>
      <c r="T50" s="271"/>
    </row>
    <row r="51" spans="1:20" s="230" customFormat="1">
      <c r="A51" s="267">
        <f t="shared" si="10"/>
        <v>44561</v>
      </c>
      <c r="B51" s="269">
        <f t="shared" si="18"/>
        <v>4437012.8249999993</v>
      </c>
      <c r="C51" s="269">
        <f t="shared" si="18"/>
        <v>4437012.8249999993</v>
      </c>
      <c r="D51" s="269">
        <f t="shared" si="17"/>
        <v>64669.461924374984</v>
      </c>
      <c r="E51" s="269">
        <f t="shared" si="11"/>
        <v>73950.213749999995</v>
      </c>
      <c r="F51" s="269">
        <f t="shared" si="15"/>
        <v>-2496707.1166275004</v>
      </c>
      <c r="G51" s="269">
        <f t="shared" si="15"/>
        <v>-2107581.0918750013</v>
      </c>
      <c r="H51" s="269">
        <f t="shared" si="16"/>
        <v>1940305.7083724989</v>
      </c>
      <c r="I51" s="269">
        <f t="shared" si="16"/>
        <v>2329431.7331249979</v>
      </c>
      <c r="J51" s="269">
        <f t="shared" si="7"/>
        <v>389126.02475249907</v>
      </c>
      <c r="K51" s="269">
        <f t="shared" si="3"/>
        <v>-81716.465198024802</v>
      </c>
      <c r="L51" s="269">
        <f t="shared" si="8"/>
        <v>-1948.9578833812702</v>
      </c>
      <c r="M51" s="270">
        <f t="shared" si="9"/>
        <v>2247715.2679269733</v>
      </c>
      <c r="N51" s="271"/>
      <c r="O51" s="275"/>
      <c r="P51" s="271"/>
      <c r="Q51" s="271"/>
      <c r="R51" s="271"/>
      <c r="S51" s="271"/>
      <c r="T51" s="271"/>
    </row>
    <row r="52" spans="1:20" s="230" customFormat="1">
      <c r="A52" s="267">
        <f t="shared" si="10"/>
        <v>44592</v>
      </c>
      <c r="B52" s="269">
        <f t="shared" si="18"/>
        <v>4437012.8249999993</v>
      </c>
      <c r="C52" s="269">
        <f t="shared" si="18"/>
        <v>4437012.8249999993</v>
      </c>
      <c r="D52" s="269">
        <f>B52*$E$5/12</f>
        <v>46181.908486874985</v>
      </c>
      <c r="E52" s="269">
        <f t="shared" si="11"/>
        <v>73950.213749999995</v>
      </c>
      <c r="F52" s="269">
        <f t="shared" si="15"/>
        <v>-2542889.0251143752</v>
      </c>
      <c r="G52" s="269">
        <f t="shared" si="15"/>
        <v>-2181531.3056250014</v>
      </c>
      <c r="H52" s="269">
        <f t="shared" si="16"/>
        <v>1894123.7998856241</v>
      </c>
      <c r="I52" s="269">
        <f t="shared" si="16"/>
        <v>2255481.5193749978</v>
      </c>
      <c r="J52" s="269">
        <f t="shared" si="7"/>
        <v>361357.71948937373</v>
      </c>
      <c r="K52" s="269">
        <f t="shared" ref="K52:K83" si="19">-J52*$K$15</f>
        <v>-75885.121092768488</v>
      </c>
      <c r="L52" s="269">
        <f t="shared" si="8"/>
        <v>-5831.3441052563139</v>
      </c>
      <c r="M52" s="270">
        <f t="shared" si="9"/>
        <v>2179596.3982822294</v>
      </c>
      <c r="N52" s="271"/>
      <c r="O52" s="275"/>
      <c r="P52" s="271"/>
      <c r="Q52" s="271"/>
      <c r="R52" s="271"/>
      <c r="S52" s="271"/>
      <c r="T52" s="271"/>
    </row>
    <row r="53" spans="1:20" s="230" customFormat="1">
      <c r="A53" s="267">
        <f t="shared" si="10"/>
        <v>44620</v>
      </c>
      <c r="B53" s="269">
        <f t="shared" si="18"/>
        <v>4437012.8249999993</v>
      </c>
      <c r="C53" s="269">
        <f t="shared" si="18"/>
        <v>4437012.8249999993</v>
      </c>
      <c r="D53" s="269">
        <f t="shared" ref="D53:D63" si="20">B53*$E$5/12</f>
        <v>46181.908486874985</v>
      </c>
      <c r="E53" s="269">
        <f t="shared" si="11"/>
        <v>73950.213749999995</v>
      </c>
      <c r="F53" s="269">
        <f t="shared" ref="F53:G68" si="21">F52-D53</f>
        <v>-2589070.9336012499</v>
      </c>
      <c r="G53" s="269">
        <f t="shared" si="21"/>
        <v>-2255481.5193750015</v>
      </c>
      <c r="H53" s="269">
        <f t="shared" si="16"/>
        <v>1847941.8913987493</v>
      </c>
      <c r="I53" s="269">
        <f t="shared" si="16"/>
        <v>2181531.3056249977</v>
      </c>
      <c r="J53" s="269">
        <f t="shared" si="7"/>
        <v>333589.41422624839</v>
      </c>
      <c r="K53" s="269">
        <f t="shared" si="19"/>
        <v>-70053.776987512159</v>
      </c>
      <c r="L53" s="269">
        <f t="shared" si="8"/>
        <v>-5831.3441052563285</v>
      </c>
      <c r="M53" s="270">
        <f t="shared" si="9"/>
        <v>2111477.5286374856</v>
      </c>
      <c r="N53" s="271"/>
      <c r="O53" s="275"/>
      <c r="P53" s="271"/>
      <c r="Q53" s="271"/>
      <c r="R53" s="271"/>
      <c r="S53" s="271"/>
      <c r="T53" s="271"/>
    </row>
    <row r="54" spans="1:20" s="230" customFormat="1">
      <c r="A54" s="267">
        <f t="shared" si="10"/>
        <v>44651</v>
      </c>
      <c r="B54" s="269">
        <f t="shared" si="18"/>
        <v>4437012.8249999993</v>
      </c>
      <c r="C54" s="269">
        <f t="shared" si="18"/>
        <v>4437012.8249999993</v>
      </c>
      <c r="D54" s="269">
        <f t="shared" si="20"/>
        <v>46181.908486874985</v>
      </c>
      <c r="E54" s="269">
        <f t="shared" si="11"/>
        <v>73950.213749999995</v>
      </c>
      <c r="F54" s="269">
        <f t="shared" si="21"/>
        <v>-2635252.8420881247</v>
      </c>
      <c r="G54" s="269">
        <f t="shared" si="21"/>
        <v>-2329431.7331250017</v>
      </c>
      <c r="H54" s="269">
        <f t="shared" si="16"/>
        <v>1801759.9829118745</v>
      </c>
      <c r="I54" s="269">
        <f t="shared" si="16"/>
        <v>2107581.0918749976</v>
      </c>
      <c r="J54" s="269">
        <f t="shared" si="7"/>
        <v>305821.10896312306</v>
      </c>
      <c r="K54" s="269">
        <f t="shared" si="19"/>
        <v>-64222.432882255838</v>
      </c>
      <c r="L54" s="269">
        <f t="shared" si="8"/>
        <v>-5831.3441052563212</v>
      </c>
      <c r="M54" s="270">
        <f t="shared" si="9"/>
        <v>2043358.6589927417</v>
      </c>
      <c r="N54" s="271"/>
      <c r="O54" s="275"/>
      <c r="P54" s="271"/>
      <c r="Q54" s="271"/>
      <c r="R54" s="271"/>
      <c r="S54" s="271"/>
      <c r="T54" s="271"/>
    </row>
    <row r="55" spans="1:20" s="230" customFormat="1">
      <c r="A55" s="267">
        <f t="shared" si="10"/>
        <v>44681</v>
      </c>
      <c r="B55" s="269">
        <f t="shared" si="18"/>
        <v>4437012.8249999993</v>
      </c>
      <c r="C55" s="269">
        <f t="shared" si="18"/>
        <v>4437012.8249999993</v>
      </c>
      <c r="D55" s="269">
        <f t="shared" si="20"/>
        <v>46181.908486874985</v>
      </c>
      <c r="E55" s="269">
        <f t="shared" si="11"/>
        <v>73950.213749999995</v>
      </c>
      <c r="F55" s="269">
        <f t="shared" si="21"/>
        <v>-2681434.7505749995</v>
      </c>
      <c r="G55" s="269">
        <f t="shared" si="21"/>
        <v>-2403381.9468750018</v>
      </c>
      <c r="H55" s="269">
        <f t="shared" si="16"/>
        <v>1755578.0744249998</v>
      </c>
      <c r="I55" s="269">
        <f t="shared" si="16"/>
        <v>2033630.8781249975</v>
      </c>
      <c r="J55" s="269">
        <f t="shared" si="7"/>
        <v>278052.80369999772</v>
      </c>
      <c r="K55" s="269">
        <f t="shared" si="19"/>
        <v>-58391.088776999517</v>
      </c>
      <c r="L55" s="269">
        <f t="shared" si="8"/>
        <v>-5831.3441052563212</v>
      </c>
      <c r="M55" s="270">
        <f t="shared" si="9"/>
        <v>1975239.7893479979</v>
      </c>
      <c r="N55" s="271"/>
      <c r="O55" s="275"/>
      <c r="P55" s="271"/>
      <c r="Q55" s="271"/>
      <c r="R55" s="271"/>
      <c r="S55" s="271"/>
      <c r="T55" s="271"/>
    </row>
    <row r="56" spans="1:20" s="230" customFormat="1">
      <c r="A56" s="267">
        <f t="shared" si="10"/>
        <v>44712</v>
      </c>
      <c r="B56" s="269">
        <f t="shared" si="18"/>
        <v>4437012.8249999993</v>
      </c>
      <c r="C56" s="269">
        <f t="shared" si="18"/>
        <v>4437012.8249999993</v>
      </c>
      <c r="D56" s="269">
        <f t="shared" si="20"/>
        <v>46181.908486874985</v>
      </c>
      <c r="E56" s="269">
        <f t="shared" si="11"/>
        <v>73950.213749999995</v>
      </c>
      <c r="F56" s="269">
        <f t="shared" si="21"/>
        <v>-2727616.6590618743</v>
      </c>
      <c r="G56" s="269">
        <f t="shared" si="21"/>
        <v>-2477332.1606250019</v>
      </c>
      <c r="H56" s="269">
        <f t="shared" si="16"/>
        <v>1709396.165938125</v>
      </c>
      <c r="I56" s="269">
        <f t="shared" si="16"/>
        <v>1959680.6643749974</v>
      </c>
      <c r="J56" s="269">
        <f t="shared" si="7"/>
        <v>250284.49843687238</v>
      </c>
      <c r="K56" s="269">
        <f t="shared" si="19"/>
        <v>-52559.744671743196</v>
      </c>
      <c r="L56" s="269">
        <f t="shared" si="8"/>
        <v>-5831.3441052563212</v>
      </c>
      <c r="M56" s="270">
        <f t="shared" si="9"/>
        <v>1907120.9197032542</v>
      </c>
      <c r="N56" s="271"/>
      <c r="O56" s="275"/>
      <c r="P56" s="271"/>
      <c r="Q56" s="271"/>
      <c r="R56" s="271"/>
      <c r="S56" s="271"/>
      <c r="T56" s="271"/>
    </row>
    <row r="57" spans="1:20" s="230" customFormat="1">
      <c r="A57" s="267">
        <f t="shared" si="10"/>
        <v>44742</v>
      </c>
      <c r="B57" s="269">
        <f t="shared" si="18"/>
        <v>4437012.8249999993</v>
      </c>
      <c r="C57" s="269">
        <f t="shared" si="18"/>
        <v>4437012.8249999993</v>
      </c>
      <c r="D57" s="269">
        <f t="shared" si="20"/>
        <v>46181.908486874985</v>
      </c>
      <c r="E57" s="269">
        <f t="shared" si="11"/>
        <v>73950.213749999995</v>
      </c>
      <c r="F57" s="269">
        <f t="shared" si="21"/>
        <v>-2773798.567548749</v>
      </c>
      <c r="G57" s="269">
        <f t="shared" si="21"/>
        <v>-2551282.374375002</v>
      </c>
      <c r="H57" s="269">
        <f t="shared" si="16"/>
        <v>1663214.2574512502</v>
      </c>
      <c r="I57" s="269">
        <f t="shared" si="16"/>
        <v>1885730.4506249973</v>
      </c>
      <c r="J57" s="269">
        <f t="shared" si="7"/>
        <v>222516.19317374704</v>
      </c>
      <c r="K57" s="269">
        <f t="shared" si="19"/>
        <v>-46728.400566486875</v>
      </c>
      <c r="L57" s="269">
        <f t="shared" si="8"/>
        <v>-5831.3441052563212</v>
      </c>
      <c r="M57" s="270">
        <f t="shared" si="9"/>
        <v>1839002.0500585104</v>
      </c>
      <c r="N57" s="271"/>
      <c r="O57" s="275"/>
      <c r="P57" s="271"/>
      <c r="Q57" s="271"/>
      <c r="R57" s="271"/>
      <c r="S57" s="271"/>
      <c r="T57" s="271"/>
    </row>
    <row r="58" spans="1:20" s="230" customFormat="1">
      <c r="A58" s="267">
        <f t="shared" si="10"/>
        <v>44773</v>
      </c>
      <c r="B58" s="269">
        <f t="shared" si="18"/>
        <v>4437012.8249999993</v>
      </c>
      <c r="C58" s="269">
        <f t="shared" si="18"/>
        <v>4437012.8249999993</v>
      </c>
      <c r="D58" s="269">
        <f t="shared" si="20"/>
        <v>46181.908486874985</v>
      </c>
      <c r="E58" s="269">
        <f t="shared" si="11"/>
        <v>73950.213749999995</v>
      </c>
      <c r="F58" s="269">
        <f t="shared" si="21"/>
        <v>-2819980.4760356238</v>
      </c>
      <c r="G58" s="269">
        <f t="shared" si="21"/>
        <v>-2625232.5881250021</v>
      </c>
      <c r="H58" s="269">
        <f t="shared" si="16"/>
        <v>1617032.3489643754</v>
      </c>
      <c r="I58" s="269">
        <f t="shared" si="16"/>
        <v>1811780.2368749972</v>
      </c>
      <c r="J58" s="269">
        <f t="shared" si="7"/>
        <v>194747.88791062171</v>
      </c>
      <c r="K58" s="269">
        <f t="shared" si="19"/>
        <v>-40897.056461230553</v>
      </c>
      <c r="L58" s="269">
        <f t="shared" si="8"/>
        <v>-5831.3441052563212</v>
      </c>
      <c r="M58" s="270">
        <f t="shared" si="9"/>
        <v>1770883.1804137665</v>
      </c>
      <c r="N58" s="271"/>
      <c r="O58" s="275"/>
      <c r="P58" s="271"/>
      <c r="Q58" s="271"/>
      <c r="R58" s="271"/>
      <c r="S58" s="271"/>
      <c r="T58" s="271"/>
    </row>
    <row r="59" spans="1:20" s="230" customFormat="1">
      <c r="A59" s="267">
        <f t="shared" si="10"/>
        <v>44804</v>
      </c>
      <c r="B59" s="269">
        <f t="shared" si="18"/>
        <v>4437012.8249999993</v>
      </c>
      <c r="C59" s="269">
        <f t="shared" si="18"/>
        <v>4437012.8249999993</v>
      </c>
      <c r="D59" s="269">
        <f t="shared" si="20"/>
        <v>46181.908486874985</v>
      </c>
      <c r="E59" s="269">
        <f t="shared" si="11"/>
        <v>73950.213749999995</v>
      </c>
      <c r="F59" s="269">
        <f t="shared" si="21"/>
        <v>-2866162.3845224986</v>
      </c>
      <c r="G59" s="269">
        <f t="shared" si="21"/>
        <v>-2699182.8018750022</v>
      </c>
      <c r="H59" s="269">
        <f t="shared" si="16"/>
        <v>1570850.4404775007</v>
      </c>
      <c r="I59" s="269">
        <f t="shared" si="16"/>
        <v>1737830.023124997</v>
      </c>
      <c r="J59" s="269">
        <f t="shared" si="7"/>
        <v>166979.58264749637</v>
      </c>
      <c r="K59" s="269">
        <f t="shared" si="19"/>
        <v>-35065.712355974239</v>
      </c>
      <c r="L59" s="269">
        <f t="shared" si="8"/>
        <v>-5831.3441052563139</v>
      </c>
      <c r="M59" s="270">
        <f t="shared" si="9"/>
        <v>1702764.3107690229</v>
      </c>
      <c r="N59" s="271"/>
      <c r="O59" s="271"/>
      <c r="P59" s="271"/>
      <c r="Q59" s="271"/>
      <c r="R59" s="271"/>
      <c r="S59" s="271"/>
      <c r="T59" s="271"/>
    </row>
    <row r="60" spans="1:20" s="230" customFormat="1">
      <c r="A60" s="267">
        <f t="shared" si="10"/>
        <v>44834</v>
      </c>
      <c r="B60" s="269">
        <f t="shared" si="18"/>
        <v>4437012.8249999993</v>
      </c>
      <c r="C60" s="269">
        <f t="shared" si="18"/>
        <v>4437012.8249999993</v>
      </c>
      <c r="D60" s="269">
        <f t="shared" si="20"/>
        <v>46181.908486874985</v>
      </c>
      <c r="E60" s="269">
        <f t="shared" si="11"/>
        <v>73950.213749999995</v>
      </c>
      <c r="F60" s="269">
        <f t="shared" si="21"/>
        <v>-2912344.2930093734</v>
      </c>
      <c r="G60" s="269">
        <f t="shared" si="21"/>
        <v>-2773133.0156250023</v>
      </c>
      <c r="H60" s="269">
        <f t="shared" si="16"/>
        <v>1524668.5319906259</v>
      </c>
      <c r="I60" s="269">
        <f t="shared" si="16"/>
        <v>1663879.8093749969</v>
      </c>
      <c r="J60" s="269">
        <f t="shared" si="7"/>
        <v>139211.27738437103</v>
      </c>
      <c r="K60" s="269">
        <f t="shared" si="19"/>
        <v>-29234.368250717915</v>
      </c>
      <c r="L60" s="269">
        <f t="shared" si="8"/>
        <v>-5831.3441052563248</v>
      </c>
      <c r="M60" s="270">
        <f t="shared" si="9"/>
        <v>1634645.4411242791</v>
      </c>
      <c r="N60" s="271"/>
      <c r="O60" s="271"/>
      <c r="P60" s="271"/>
      <c r="Q60" s="271"/>
      <c r="R60" s="271"/>
      <c r="S60" s="271"/>
      <c r="T60" s="271"/>
    </row>
    <row r="61" spans="1:20" s="230" customFormat="1">
      <c r="A61" s="267">
        <f t="shared" si="10"/>
        <v>44865</v>
      </c>
      <c r="B61" s="269">
        <f t="shared" si="18"/>
        <v>4437012.8249999993</v>
      </c>
      <c r="C61" s="269">
        <f t="shared" si="18"/>
        <v>4437012.8249999993</v>
      </c>
      <c r="D61" s="269">
        <f t="shared" si="20"/>
        <v>46181.908486874985</v>
      </c>
      <c r="E61" s="269">
        <f t="shared" si="11"/>
        <v>73950.213749999995</v>
      </c>
      <c r="F61" s="269">
        <f t="shared" si="21"/>
        <v>-2958526.2014962481</v>
      </c>
      <c r="G61" s="269">
        <f t="shared" si="21"/>
        <v>-2847083.2293750024</v>
      </c>
      <c r="H61" s="269">
        <f t="shared" si="16"/>
        <v>1478486.6235037511</v>
      </c>
      <c r="I61" s="269">
        <f t="shared" si="16"/>
        <v>1589929.5956249968</v>
      </c>
      <c r="J61" s="269">
        <f t="shared" si="7"/>
        <v>111442.97212124569</v>
      </c>
      <c r="K61" s="269">
        <f t="shared" si="19"/>
        <v>-23403.024145461593</v>
      </c>
      <c r="L61" s="269">
        <f t="shared" si="8"/>
        <v>-5831.3441052563212</v>
      </c>
      <c r="M61" s="270">
        <f t="shared" si="9"/>
        <v>1566526.5714795352</v>
      </c>
      <c r="N61" s="271"/>
      <c r="O61" s="271"/>
      <c r="P61" s="271"/>
      <c r="Q61" s="271"/>
      <c r="R61" s="271"/>
      <c r="S61" s="271"/>
      <c r="T61" s="271"/>
    </row>
    <row r="62" spans="1:20" s="230" customFormat="1" ht="15">
      <c r="A62" s="267">
        <f t="shared" si="10"/>
        <v>44895</v>
      </c>
      <c r="B62" s="269">
        <f t="shared" si="18"/>
        <v>4437012.8249999993</v>
      </c>
      <c r="C62" s="269">
        <f t="shared" si="18"/>
        <v>4437012.8249999993</v>
      </c>
      <c r="D62" s="269">
        <f t="shared" si="20"/>
        <v>46181.908486874985</v>
      </c>
      <c r="E62" s="269">
        <f t="shared" si="11"/>
        <v>73950.213749999995</v>
      </c>
      <c r="F62" s="269">
        <f t="shared" si="21"/>
        <v>-3004708.1099831229</v>
      </c>
      <c r="G62" s="269">
        <f t="shared" si="21"/>
        <v>-2921033.4431250026</v>
      </c>
      <c r="H62" s="269">
        <f t="shared" si="16"/>
        <v>1432304.7150168763</v>
      </c>
      <c r="I62" s="269">
        <f t="shared" si="16"/>
        <v>1515979.3818749967</v>
      </c>
      <c r="J62" s="269">
        <f t="shared" si="7"/>
        <v>83674.666858120356</v>
      </c>
      <c r="K62" s="269">
        <f t="shared" si="19"/>
        <v>-17571.680040205276</v>
      </c>
      <c r="L62" s="269">
        <f t="shared" si="8"/>
        <v>-5831.3441052563176</v>
      </c>
      <c r="M62" s="270">
        <f t="shared" si="9"/>
        <v>1498407.7018347913</v>
      </c>
      <c r="N62" s="97"/>
      <c r="O62" s="271"/>
      <c r="P62" s="271"/>
      <c r="Q62" s="271"/>
      <c r="R62" s="271"/>
      <c r="S62" s="271"/>
      <c r="T62" s="271"/>
    </row>
    <row r="63" spans="1:20" s="230" customFormat="1" ht="15">
      <c r="A63" s="267">
        <f t="shared" si="10"/>
        <v>44926</v>
      </c>
      <c r="B63" s="269">
        <f t="shared" si="18"/>
        <v>4437012.8249999993</v>
      </c>
      <c r="C63" s="269">
        <f t="shared" si="18"/>
        <v>4437012.8249999993</v>
      </c>
      <c r="D63" s="269">
        <f t="shared" si="20"/>
        <v>46181.908486874985</v>
      </c>
      <c r="E63" s="269">
        <f t="shared" si="11"/>
        <v>73950.213749999995</v>
      </c>
      <c r="F63" s="269">
        <f t="shared" si="21"/>
        <v>-3050890.0184699977</v>
      </c>
      <c r="G63" s="269">
        <f t="shared" si="21"/>
        <v>-2994983.6568750027</v>
      </c>
      <c r="H63" s="269">
        <f t="shared" si="16"/>
        <v>1386122.8065300016</v>
      </c>
      <c r="I63" s="269">
        <f t="shared" si="16"/>
        <v>1442029.1681249966</v>
      </c>
      <c r="J63" s="269">
        <f t="shared" si="7"/>
        <v>55906.361594995018</v>
      </c>
      <c r="K63" s="269">
        <f t="shared" si="19"/>
        <v>-11740.335934948953</v>
      </c>
      <c r="L63" s="269">
        <f t="shared" si="8"/>
        <v>-5831.344105256323</v>
      </c>
      <c r="M63" s="270">
        <f t="shared" si="9"/>
        <v>1430288.8321900477</v>
      </c>
      <c r="N63" s="21"/>
      <c r="O63" s="271"/>
      <c r="P63" s="271"/>
      <c r="Q63" s="271"/>
      <c r="R63" s="271"/>
      <c r="S63" s="271"/>
      <c r="T63" s="271"/>
    </row>
    <row r="64" spans="1:20" s="230" customFormat="1" ht="15">
      <c r="A64" s="267">
        <f t="shared" si="10"/>
        <v>44957</v>
      </c>
      <c r="B64" s="269">
        <f t="shared" ref="B64:C79" si="22">B63</f>
        <v>4437012.8249999993</v>
      </c>
      <c r="C64" s="269">
        <f t="shared" si="22"/>
        <v>4437012.8249999993</v>
      </c>
      <c r="D64" s="269">
        <f t="shared" ref="D64:D75" si="23">B64*$F$5/12</f>
        <v>33018.770439374995</v>
      </c>
      <c r="E64" s="269">
        <f t="shared" si="11"/>
        <v>73950.213749999995</v>
      </c>
      <c r="F64" s="269">
        <f t="shared" si="21"/>
        <v>-3083908.7889093729</v>
      </c>
      <c r="G64" s="269">
        <f t="shared" si="21"/>
        <v>-3068933.8706250028</v>
      </c>
      <c r="H64" s="269">
        <f t="shared" si="16"/>
        <v>1353104.0360906264</v>
      </c>
      <c r="I64" s="269">
        <f t="shared" si="16"/>
        <v>1368078.9543749965</v>
      </c>
      <c r="J64" s="269">
        <f t="shared" si="7"/>
        <v>14974.918284370098</v>
      </c>
      <c r="K64" s="269">
        <f t="shared" si="19"/>
        <v>-3144.7328397177207</v>
      </c>
      <c r="L64" s="269">
        <f t="shared" si="8"/>
        <v>-8595.6030952312321</v>
      </c>
      <c r="M64" s="270">
        <f t="shared" si="9"/>
        <v>1364934.2215352787</v>
      </c>
      <c r="N64" s="21"/>
      <c r="O64" s="271"/>
      <c r="P64" s="271"/>
      <c r="Q64" s="271"/>
      <c r="R64" s="271"/>
      <c r="S64" s="271"/>
      <c r="T64" s="271"/>
    </row>
    <row r="65" spans="1:20" s="230" customFormat="1" ht="15">
      <c r="A65" s="267">
        <f t="shared" si="10"/>
        <v>44985</v>
      </c>
      <c r="B65" s="269">
        <f t="shared" si="22"/>
        <v>4437012.8249999993</v>
      </c>
      <c r="C65" s="269">
        <f t="shared" si="22"/>
        <v>4437012.8249999993</v>
      </c>
      <c r="D65" s="269">
        <f t="shared" si="23"/>
        <v>33018.770439374995</v>
      </c>
      <c r="E65" s="269">
        <f t="shared" si="11"/>
        <v>73950.213749999995</v>
      </c>
      <c r="F65" s="269">
        <f t="shared" si="21"/>
        <v>-3116927.5593487481</v>
      </c>
      <c r="G65" s="269">
        <f t="shared" si="21"/>
        <v>-3142884.0843750029</v>
      </c>
      <c r="H65" s="269">
        <f t="shared" si="16"/>
        <v>1320085.2656512512</v>
      </c>
      <c r="I65" s="269">
        <f t="shared" si="16"/>
        <v>1294128.7406249964</v>
      </c>
      <c r="J65" s="269">
        <f t="shared" si="7"/>
        <v>-25956.525026254822</v>
      </c>
      <c r="K65" s="269">
        <f t="shared" si="19"/>
        <v>5450.8702555135123</v>
      </c>
      <c r="L65" s="269">
        <f t="shared" si="8"/>
        <v>-8595.6030952312321</v>
      </c>
      <c r="M65" s="270">
        <f t="shared" si="9"/>
        <v>1299579.61088051</v>
      </c>
      <c r="N65" s="21"/>
      <c r="O65" s="271"/>
      <c r="P65" s="271"/>
      <c r="Q65" s="271"/>
      <c r="R65" s="271"/>
      <c r="S65" s="271"/>
      <c r="T65" s="271"/>
    </row>
    <row r="66" spans="1:20" s="230" customFormat="1" ht="15">
      <c r="A66" s="267">
        <f t="shared" si="10"/>
        <v>45016</v>
      </c>
      <c r="B66" s="269">
        <f t="shared" si="22"/>
        <v>4437012.8249999993</v>
      </c>
      <c r="C66" s="269">
        <f t="shared" si="22"/>
        <v>4437012.8249999993</v>
      </c>
      <c r="D66" s="269">
        <f t="shared" si="23"/>
        <v>33018.770439374995</v>
      </c>
      <c r="E66" s="269">
        <f t="shared" si="11"/>
        <v>73950.213749999995</v>
      </c>
      <c r="F66" s="269">
        <f t="shared" si="21"/>
        <v>-3149946.3297881233</v>
      </c>
      <c r="G66" s="269">
        <f t="shared" si="21"/>
        <v>-3216834.298125003</v>
      </c>
      <c r="H66" s="269">
        <f t="shared" si="16"/>
        <v>1287066.495211876</v>
      </c>
      <c r="I66" s="269">
        <f t="shared" si="16"/>
        <v>1220178.5268749963</v>
      </c>
      <c r="J66" s="269">
        <f t="shared" si="7"/>
        <v>-66887.968336879741</v>
      </c>
      <c r="K66" s="269">
        <f t="shared" si="19"/>
        <v>14046.473350744745</v>
      </c>
      <c r="L66" s="269">
        <f t="shared" si="8"/>
        <v>-8595.6030952312321</v>
      </c>
      <c r="M66" s="270">
        <f t="shared" si="9"/>
        <v>1234225.000225741</v>
      </c>
      <c r="N66" s="21"/>
      <c r="O66" s="271"/>
      <c r="P66" s="271"/>
      <c r="Q66" s="271"/>
      <c r="R66" s="271"/>
      <c r="S66" s="271"/>
      <c r="T66" s="271"/>
    </row>
    <row r="67" spans="1:20" s="230" customFormat="1" ht="15">
      <c r="A67" s="267">
        <f t="shared" si="10"/>
        <v>45046</v>
      </c>
      <c r="B67" s="269">
        <f t="shared" si="22"/>
        <v>4437012.8249999993</v>
      </c>
      <c r="C67" s="269">
        <f t="shared" si="22"/>
        <v>4437012.8249999993</v>
      </c>
      <c r="D67" s="269">
        <f t="shared" si="23"/>
        <v>33018.770439374995</v>
      </c>
      <c r="E67" s="269">
        <f t="shared" si="11"/>
        <v>73950.213749999995</v>
      </c>
      <c r="F67" s="269">
        <f t="shared" si="21"/>
        <v>-3182965.1002274984</v>
      </c>
      <c r="G67" s="269">
        <f t="shared" si="21"/>
        <v>-3290784.5118750031</v>
      </c>
      <c r="H67" s="269">
        <f t="shared" si="16"/>
        <v>1254047.7247725008</v>
      </c>
      <c r="I67" s="269">
        <f t="shared" si="16"/>
        <v>1146228.3131249961</v>
      </c>
      <c r="J67" s="269">
        <f t="shared" si="7"/>
        <v>-107819.41164750466</v>
      </c>
      <c r="K67" s="269">
        <f t="shared" si="19"/>
        <v>22642.076445975978</v>
      </c>
      <c r="L67" s="269">
        <f t="shared" si="8"/>
        <v>-8595.6030952312321</v>
      </c>
      <c r="M67" s="270">
        <f t="shared" si="9"/>
        <v>1168870.3895709722</v>
      </c>
      <c r="N67" s="21"/>
      <c r="O67" s="271"/>
      <c r="P67" s="271"/>
      <c r="Q67" s="271"/>
      <c r="R67" s="271"/>
      <c r="S67" s="271"/>
      <c r="T67" s="271"/>
    </row>
    <row r="68" spans="1:20" s="230" customFormat="1" ht="15">
      <c r="A68" s="267">
        <f t="shared" si="10"/>
        <v>45077</v>
      </c>
      <c r="B68" s="269">
        <f t="shared" si="22"/>
        <v>4437012.8249999993</v>
      </c>
      <c r="C68" s="269">
        <f t="shared" si="22"/>
        <v>4437012.8249999993</v>
      </c>
      <c r="D68" s="269">
        <f t="shared" si="23"/>
        <v>33018.770439374995</v>
      </c>
      <c r="E68" s="269">
        <f t="shared" si="11"/>
        <v>73950.213749999995</v>
      </c>
      <c r="F68" s="269">
        <f t="shared" si="21"/>
        <v>-3215983.8706668736</v>
      </c>
      <c r="G68" s="269">
        <f t="shared" si="21"/>
        <v>-3364734.7256250032</v>
      </c>
      <c r="H68" s="269">
        <f t="shared" si="16"/>
        <v>1221028.9543331256</v>
      </c>
      <c r="I68" s="269">
        <f t="shared" si="16"/>
        <v>1072278.099374996</v>
      </c>
      <c r="J68" s="269">
        <f t="shared" si="7"/>
        <v>-148750.85495812958</v>
      </c>
      <c r="K68" s="269">
        <f t="shared" si="19"/>
        <v>31237.67954120721</v>
      </c>
      <c r="L68" s="269">
        <f t="shared" si="8"/>
        <v>-8595.6030952312321</v>
      </c>
      <c r="M68" s="270">
        <f t="shared" si="9"/>
        <v>1103515.7789162032</v>
      </c>
      <c r="N68" s="21"/>
      <c r="O68" s="271"/>
      <c r="P68" s="271"/>
      <c r="Q68" s="271"/>
      <c r="R68" s="271"/>
      <c r="S68" s="271"/>
      <c r="T68" s="271"/>
    </row>
    <row r="69" spans="1:20" s="230" customFormat="1" ht="15">
      <c r="A69" s="267">
        <f t="shared" si="10"/>
        <v>45107</v>
      </c>
      <c r="B69" s="269">
        <f t="shared" si="22"/>
        <v>4437012.8249999993</v>
      </c>
      <c r="C69" s="269">
        <f t="shared" si="22"/>
        <v>4437012.8249999993</v>
      </c>
      <c r="D69" s="269">
        <f t="shared" si="23"/>
        <v>33018.770439374995</v>
      </c>
      <c r="E69" s="269">
        <f t="shared" si="11"/>
        <v>73950.213749999995</v>
      </c>
      <c r="F69" s="269">
        <f t="shared" ref="F69:G84" si="24">F68-D69</f>
        <v>-3249002.6411062488</v>
      </c>
      <c r="G69" s="269">
        <f t="shared" si="24"/>
        <v>-3438684.9393750033</v>
      </c>
      <c r="H69" s="269">
        <f t="shared" si="16"/>
        <v>1188010.1838937504</v>
      </c>
      <c r="I69" s="269">
        <f t="shared" si="16"/>
        <v>998327.88562499592</v>
      </c>
      <c r="J69" s="269">
        <f t="shared" si="7"/>
        <v>-189682.2982687545</v>
      </c>
      <c r="K69" s="269">
        <f t="shared" si="19"/>
        <v>39833.282636438445</v>
      </c>
      <c r="L69" s="269">
        <f t="shared" si="8"/>
        <v>-8595.6030952312358</v>
      </c>
      <c r="M69" s="270">
        <f t="shared" si="9"/>
        <v>1038161.1682614344</v>
      </c>
      <c r="N69" s="21"/>
      <c r="O69" s="271"/>
      <c r="P69" s="271"/>
      <c r="Q69" s="271"/>
      <c r="R69" s="271"/>
      <c r="S69" s="271"/>
      <c r="T69" s="271"/>
    </row>
    <row r="70" spans="1:20" s="230" customFormat="1" ht="15">
      <c r="A70" s="267">
        <f t="shared" si="10"/>
        <v>45138</v>
      </c>
      <c r="B70" s="269">
        <f t="shared" si="22"/>
        <v>4437012.8249999993</v>
      </c>
      <c r="C70" s="269">
        <f t="shared" si="22"/>
        <v>4437012.8249999993</v>
      </c>
      <c r="D70" s="269">
        <f t="shared" si="23"/>
        <v>33018.770439374995</v>
      </c>
      <c r="E70" s="269">
        <f t="shared" si="11"/>
        <v>73950.213749999995</v>
      </c>
      <c r="F70" s="269">
        <f t="shared" si="24"/>
        <v>-3282021.411545624</v>
      </c>
      <c r="G70" s="269">
        <f t="shared" si="24"/>
        <v>-3512635.1531250034</v>
      </c>
      <c r="H70" s="269">
        <f t="shared" si="16"/>
        <v>1154991.4134543752</v>
      </c>
      <c r="I70" s="269">
        <f t="shared" si="16"/>
        <v>924377.67187499581</v>
      </c>
      <c r="J70" s="269">
        <f t="shared" si="7"/>
        <v>-230613.74157937942</v>
      </c>
      <c r="K70" s="269">
        <f t="shared" si="19"/>
        <v>48428.885731669674</v>
      </c>
      <c r="L70" s="269">
        <f t="shared" si="8"/>
        <v>-8595.6030952312285</v>
      </c>
      <c r="M70" s="270">
        <f t="shared" si="9"/>
        <v>972806.55760666553</v>
      </c>
      <c r="N70" s="21"/>
      <c r="O70" s="271"/>
      <c r="P70" s="271"/>
      <c r="Q70" s="271"/>
      <c r="R70" s="271"/>
      <c r="S70" s="271"/>
      <c r="T70" s="271"/>
    </row>
    <row r="71" spans="1:20" s="230" customFormat="1" ht="15">
      <c r="A71" s="267">
        <f t="shared" si="10"/>
        <v>45169</v>
      </c>
      <c r="B71" s="269">
        <f t="shared" si="22"/>
        <v>4437012.8249999993</v>
      </c>
      <c r="C71" s="269">
        <f t="shared" si="22"/>
        <v>4437012.8249999993</v>
      </c>
      <c r="D71" s="269">
        <f t="shared" si="23"/>
        <v>33018.770439374995</v>
      </c>
      <c r="E71" s="269">
        <f t="shared" si="11"/>
        <v>73950.213749999995</v>
      </c>
      <c r="F71" s="269">
        <f t="shared" si="24"/>
        <v>-3315040.1819849992</v>
      </c>
      <c r="G71" s="269">
        <f t="shared" si="24"/>
        <v>-3586585.3668750036</v>
      </c>
      <c r="H71" s="269">
        <f t="shared" si="16"/>
        <v>1121972.643015</v>
      </c>
      <c r="I71" s="269">
        <f t="shared" si="16"/>
        <v>850427.4581249957</v>
      </c>
      <c r="J71" s="269">
        <f t="shared" si="7"/>
        <v>-271545.18489000434</v>
      </c>
      <c r="K71" s="269">
        <f t="shared" si="19"/>
        <v>57024.48882690091</v>
      </c>
      <c r="L71" s="269">
        <f t="shared" si="8"/>
        <v>-8595.6030952312358</v>
      </c>
      <c r="M71" s="270">
        <f t="shared" si="9"/>
        <v>907451.94695189665</v>
      </c>
      <c r="N71" s="21"/>
      <c r="O71" s="271"/>
      <c r="P71" s="271"/>
      <c r="Q71" s="271"/>
      <c r="R71" s="271"/>
      <c r="S71" s="271"/>
      <c r="T71" s="271"/>
    </row>
    <row r="72" spans="1:20" s="230" customFormat="1" ht="15">
      <c r="A72" s="267">
        <f t="shared" si="10"/>
        <v>45199</v>
      </c>
      <c r="B72" s="269">
        <f t="shared" si="22"/>
        <v>4437012.8249999993</v>
      </c>
      <c r="C72" s="269">
        <f t="shared" si="22"/>
        <v>4437012.8249999993</v>
      </c>
      <c r="D72" s="269">
        <f t="shared" si="23"/>
        <v>33018.770439374995</v>
      </c>
      <c r="E72" s="269">
        <f t="shared" si="11"/>
        <v>73950.213749999995</v>
      </c>
      <c r="F72" s="269">
        <f t="shared" si="24"/>
        <v>-3348058.9524243744</v>
      </c>
      <c r="G72" s="269">
        <f t="shared" si="24"/>
        <v>-3660535.5806250037</v>
      </c>
      <c r="H72" s="269">
        <f t="shared" si="16"/>
        <v>1088953.8725756248</v>
      </c>
      <c r="I72" s="269">
        <f t="shared" si="16"/>
        <v>776477.24437499559</v>
      </c>
      <c r="J72" s="269">
        <f t="shared" si="7"/>
        <v>-312476.62820062926</v>
      </c>
      <c r="K72" s="269">
        <f t="shared" si="19"/>
        <v>65620.091922132138</v>
      </c>
      <c r="L72" s="269">
        <f t="shared" si="8"/>
        <v>-8595.6030952312285</v>
      </c>
      <c r="M72" s="270">
        <f t="shared" si="9"/>
        <v>842097.33629712777</v>
      </c>
      <c r="N72" s="21"/>
      <c r="O72" s="271"/>
      <c r="P72" s="271"/>
      <c r="Q72" s="271"/>
      <c r="R72" s="271"/>
      <c r="S72" s="271"/>
      <c r="T72" s="271"/>
    </row>
    <row r="73" spans="1:20" s="230" customFormat="1" ht="15">
      <c r="A73" s="267">
        <f t="shared" si="10"/>
        <v>45230</v>
      </c>
      <c r="B73" s="269">
        <f t="shared" si="22"/>
        <v>4437012.8249999993</v>
      </c>
      <c r="C73" s="269">
        <f t="shared" si="22"/>
        <v>4437012.8249999993</v>
      </c>
      <c r="D73" s="269">
        <f t="shared" si="23"/>
        <v>33018.770439374995</v>
      </c>
      <c r="E73" s="269">
        <f t="shared" si="11"/>
        <v>73950.213749999995</v>
      </c>
      <c r="F73" s="269">
        <f t="shared" si="24"/>
        <v>-3381077.7228637496</v>
      </c>
      <c r="G73" s="269">
        <f t="shared" si="24"/>
        <v>-3734485.7943750038</v>
      </c>
      <c r="H73" s="269">
        <f t="shared" si="16"/>
        <v>1055935.1021362497</v>
      </c>
      <c r="I73" s="269">
        <f t="shared" si="16"/>
        <v>702527.03062499547</v>
      </c>
      <c r="J73" s="269">
        <f t="shared" si="7"/>
        <v>-353408.07151125418</v>
      </c>
      <c r="K73" s="269">
        <f t="shared" si="19"/>
        <v>74215.695017363381</v>
      </c>
      <c r="L73" s="269">
        <f t="shared" si="8"/>
        <v>-8595.6030952312431</v>
      </c>
      <c r="M73" s="270">
        <f t="shared" si="9"/>
        <v>776742.72564235888</v>
      </c>
      <c r="N73" s="21"/>
      <c r="O73" s="271"/>
      <c r="P73" s="271"/>
      <c r="Q73" s="271"/>
      <c r="R73" s="271"/>
      <c r="S73" s="271"/>
      <c r="T73" s="271"/>
    </row>
    <row r="74" spans="1:20" s="230" customFormat="1" ht="15">
      <c r="A74" s="267">
        <f t="shared" si="10"/>
        <v>45260</v>
      </c>
      <c r="B74" s="269">
        <f t="shared" si="22"/>
        <v>4437012.8249999993</v>
      </c>
      <c r="C74" s="269">
        <f t="shared" si="22"/>
        <v>4437012.8249999993</v>
      </c>
      <c r="D74" s="269">
        <f t="shared" si="23"/>
        <v>33018.770439374995</v>
      </c>
      <c r="E74" s="269">
        <f t="shared" si="11"/>
        <v>73950.213749999995</v>
      </c>
      <c r="F74" s="269">
        <f t="shared" si="24"/>
        <v>-3414096.4933031248</v>
      </c>
      <c r="G74" s="269">
        <f t="shared" si="24"/>
        <v>-3808436.0081250039</v>
      </c>
      <c r="H74" s="269">
        <f t="shared" si="16"/>
        <v>1022916.3316968745</v>
      </c>
      <c r="I74" s="269">
        <f t="shared" si="16"/>
        <v>628576.81687499536</v>
      </c>
      <c r="J74" s="269">
        <f t="shared" si="7"/>
        <v>-394339.5148218791</v>
      </c>
      <c r="K74" s="269">
        <f t="shared" si="19"/>
        <v>82811.29811259461</v>
      </c>
      <c r="L74" s="269">
        <f t="shared" si="8"/>
        <v>-8595.6030952312285</v>
      </c>
      <c r="M74" s="270">
        <f t="shared" si="9"/>
        <v>711388.11498759</v>
      </c>
      <c r="N74" s="21"/>
      <c r="O74" s="271"/>
      <c r="P74" s="271"/>
      <c r="Q74" s="271"/>
      <c r="R74" s="271"/>
      <c r="S74" s="271"/>
      <c r="T74" s="271"/>
    </row>
    <row r="75" spans="1:20" s="230" customFormat="1" ht="15">
      <c r="A75" s="267">
        <f t="shared" si="10"/>
        <v>45291</v>
      </c>
      <c r="B75" s="269">
        <f t="shared" si="22"/>
        <v>4437012.8249999993</v>
      </c>
      <c r="C75" s="269">
        <f t="shared" si="22"/>
        <v>4437012.8249999993</v>
      </c>
      <c r="D75" s="269">
        <f t="shared" si="23"/>
        <v>33018.770439374995</v>
      </c>
      <c r="E75" s="269">
        <f>C75*E$12/12</f>
        <v>73950.213749999995</v>
      </c>
      <c r="F75" s="269">
        <f t="shared" si="24"/>
        <v>-3447115.2637425</v>
      </c>
      <c r="G75" s="269">
        <f t="shared" si="24"/>
        <v>-3882386.221875004</v>
      </c>
      <c r="H75" s="269">
        <f t="shared" ref="H75:I90" si="25">B75+F75</f>
        <v>989897.56125749927</v>
      </c>
      <c r="I75" s="269">
        <f t="shared" si="25"/>
        <v>554626.60312499525</v>
      </c>
      <c r="J75" s="269">
        <f t="shared" si="7"/>
        <v>-435270.95813250402</v>
      </c>
      <c r="K75" s="269">
        <f t="shared" si="19"/>
        <v>91406.901207825838</v>
      </c>
      <c r="L75" s="269">
        <f t="shared" si="8"/>
        <v>-8595.6030952312285</v>
      </c>
      <c r="M75" s="270">
        <f t="shared" si="9"/>
        <v>646033.50433282112</v>
      </c>
      <c r="N75" s="21"/>
      <c r="O75" s="271"/>
      <c r="P75" s="271"/>
      <c r="Q75" s="271"/>
      <c r="R75" s="271"/>
      <c r="S75" s="271"/>
      <c r="T75" s="271"/>
    </row>
    <row r="76" spans="1:20" s="230" customFormat="1" ht="15">
      <c r="A76" s="267">
        <f t="shared" si="10"/>
        <v>45322</v>
      </c>
      <c r="B76" s="269">
        <f t="shared" si="22"/>
        <v>4437012.8249999993</v>
      </c>
      <c r="C76" s="269">
        <f t="shared" si="22"/>
        <v>4437012.8249999993</v>
      </c>
      <c r="D76" s="269">
        <f t="shared" ref="D76:D87" si="26">B76*$G$5/12</f>
        <v>32981.795332499991</v>
      </c>
      <c r="E76" s="269">
        <f>C76*E$12/12</f>
        <v>73950.213749999995</v>
      </c>
      <c r="F76" s="269">
        <f t="shared" si="24"/>
        <v>-3480097.0590749998</v>
      </c>
      <c r="G76" s="269">
        <f t="shared" si="24"/>
        <v>-3956336.4356250041</v>
      </c>
      <c r="H76" s="269">
        <f t="shared" si="25"/>
        <v>956915.76592499949</v>
      </c>
      <c r="I76" s="269">
        <f t="shared" si="25"/>
        <v>480676.38937499514</v>
      </c>
      <c r="J76" s="269">
        <f t="shared" si="7"/>
        <v>-476239.37655000435</v>
      </c>
      <c r="K76" s="269">
        <f t="shared" si="19"/>
        <v>100010.26907550091</v>
      </c>
      <c r="L76" s="269">
        <f t="shared" si="8"/>
        <v>-8603.3678676750715</v>
      </c>
      <c r="M76" s="270">
        <f t="shared" si="9"/>
        <v>580686.65845049603</v>
      </c>
      <c r="N76" s="21"/>
      <c r="O76" s="271"/>
      <c r="P76" s="271"/>
      <c r="Q76" s="271"/>
      <c r="R76" s="271"/>
      <c r="S76" s="271"/>
      <c r="T76" s="271"/>
    </row>
    <row r="77" spans="1:20" s="230" customFormat="1" ht="15">
      <c r="A77" s="267">
        <f t="shared" si="10"/>
        <v>45351</v>
      </c>
      <c r="B77" s="269">
        <f t="shared" si="22"/>
        <v>4437012.8249999993</v>
      </c>
      <c r="C77" s="269">
        <f t="shared" si="22"/>
        <v>4437012.8249999993</v>
      </c>
      <c r="D77" s="269">
        <f t="shared" si="26"/>
        <v>32981.795332499991</v>
      </c>
      <c r="E77" s="269">
        <f>C77*E$12/12</f>
        <v>73950.213749999995</v>
      </c>
      <c r="F77" s="269">
        <f t="shared" si="24"/>
        <v>-3513078.8544074995</v>
      </c>
      <c r="G77" s="269">
        <f t="shared" si="24"/>
        <v>-4030286.6493750042</v>
      </c>
      <c r="H77" s="269">
        <f t="shared" si="25"/>
        <v>923933.97059249971</v>
      </c>
      <c r="I77" s="269">
        <f t="shared" si="25"/>
        <v>406726.17562499503</v>
      </c>
      <c r="J77" s="269">
        <f t="shared" si="7"/>
        <v>-517207.79496750468</v>
      </c>
      <c r="K77" s="269">
        <f t="shared" si="19"/>
        <v>108613.63694317598</v>
      </c>
      <c r="L77" s="269">
        <f t="shared" si="8"/>
        <v>-8603.3678676750715</v>
      </c>
      <c r="M77" s="270">
        <f t="shared" si="9"/>
        <v>515339.81256817101</v>
      </c>
      <c r="N77" s="21"/>
      <c r="O77" s="271"/>
      <c r="P77" s="271"/>
      <c r="Q77" s="271"/>
      <c r="R77" s="271"/>
      <c r="S77" s="271"/>
      <c r="T77" s="271"/>
    </row>
    <row r="78" spans="1:20" s="230" customFormat="1" ht="15">
      <c r="A78" s="267">
        <f t="shared" si="10"/>
        <v>45382</v>
      </c>
      <c r="B78" s="269">
        <f t="shared" si="22"/>
        <v>4437012.8249999993</v>
      </c>
      <c r="C78" s="269">
        <f t="shared" si="22"/>
        <v>4437012.8249999993</v>
      </c>
      <c r="D78" s="269">
        <f t="shared" si="26"/>
        <v>32981.795332499991</v>
      </c>
      <c r="E78" s="269">
        <f>C78*E$12/12</f>
        <v>73950.213749999995</v>
      </c>
      <c r="F78" s="269">
        <f t="shared" si="24"/>
        <v>-3546060.6497399993</v>
      </c>
      <c r="G78" s="269">
        <f t="shared" si="24"/>
        <v>-4104236.8631250043</v>
      </c>
      <c r="H78" s="269">
        <f t="shared" si="25"/>
        <v>890952.17525999993</v>
      </c>
      <c r="I78" s="269">
        <f t="shared" si="25"/>
        <v>332775.96187499491</v>
      </c>
      <c r="J78" s="269">
        <f t="shared" si="7"/>
        <v>-558176.21338500502</v>
      </c>
      <c r="K78" s="269">
        <f t="shared" si="19"/>
        <v>117217.00481085105</v>
      </c>
      <c r="L78" s="269">
        <f t="shared" si="8"/>
        <v>-8603.3678676750715</v>
      </c>
      <c r="M78" s="270">
        <f t="shared" si="9"/>
        <v>449992.96668584598</v>
      </c>
      <c r="N78" s="21"/>
      <c r="O78" s="271"/>
      <c r="P78" s="271"/>
      <c r="Q78" s="271"/>
      <c r="R78" s="271"/>
      <c r="S78" s="271"/>
      <c r="T78" s="271"/>
    </row>
    <row r="79" spans="1:20" s="230" customFormat="1" ht="15">
      <c r="A79" s="267">
        <f t="shared" si="10"/>
        <v>45412</v>
      </c>
      <c r="B79" s="269">
        <f t="shared" si="22"/>
        <v>4437012.8249999993</v>
      </c>
      <c r="C79" s="269">
        <f t="shared" si="22"/>
        <v>4437012.8249999993</v>
      </c>
      <c r="D79" s="269">
        <f t="shared" si="26"/>
        <v>32981.795332499991</v>
      </c>
      <c r="E79" s="269">
        <f>C79*E$12/12</f>
        <v>73950.213749999995</v>
      </c>
      <c r="F79" s="269">
        <f t="shared" si="24"/>
        <v>-3579042.4450724991</v>
      </c>
      <c r="G79" s="269">
        <f t="shared" si="24"/>
        <v>-4178187.0768750045</v>
      </c>
      <c r="H79" s="269">
        <f t="shared" si="25"/>
        <v>857970.37992750015</v>
      </c>
      <c r="I79" s="269">
        <f t="shared" si="25"/>
        <v>258825.7481249948</v>
      </c>
      <c r="J79" s="269">
        <f t="shared" si="7"/>
        <v>-599144.63180250535</v>
      </c>
      <c r="K79" s="269">
        <f t="shared" si="19"/>
        <v>125820.37267852612</v>
      </c>
      <c r="L79" s="269">
        <f t="shared" si="8"/>
        <v>-8603.3678676750715</v>
      </c>
      <c r="M79" s="270">
        <f t="shared" si="9"/>
        <v>384646.1208035209</v>
      </c>
      <c r="N79" s="21"/>
      <c r="O79" s="271"/>
      <c r="P79" s="271"/>
      <c r="Q79" s="271"/>
      <c r="R79" s="271"/>
      <c r="S79" s="271"/>
      <c r="T79" s="271"/>
    </row>
    <row r="80" spans="1:20" s="230" customFormat="1" ht="15">
      <c r="A80" s="267">
        <f t="shared" si="10"/>
        <v>45443</v>
      </c>
      <c r="B80" s="269">
        <f t="shared" ref="B80:C95" si="27">B79</f>
        <v>4437012.8249999993</v>
      </c>
      <c r="C80" s="269">
        <f t="shared" si="27"/>
        <v>4437012.8249999993</v>
      </c>
      <c r="D80" s="269">
        <f t="shared" si="26"/>
        <v>32981.795332499991</v>
      </c>
      <c r="E80" s="269">
        <f t="shared" ref="E80:E81" si="28">C80*E$12/12</f>
        <v>73950.213749999995</v>
      </c>
      <c r="F80" s="269">
        <f t="shared" si="24"/>
        <v>-3612024.2404049989</v>
      </c>
      <c r="G80" s="269">
        <f t="shared" si="24"/>
        <v>-4252137.2906250041</v>
      </c>
      <c r="H80" s="269">
        <f t="shared" si="25"/>
        <v>824988.58459500037</v>
      </c>
      <c r="I80" s="269">
        <f t="shared" si="25"/>
        <v>184875.53437499516</v>
      </c>
      <c r="J80" s="269">
        <f t="shared" si="7"/>
        <v>-640113.05022000521</v>
      </c>
      <c r="K80" s="269">
        <f t="shared" si="19"/>
        <v>134423.74054620109</v>
      </c>
      <c r="L80" s="269">
        <f t="shared" si="8"/>
        <v>-8603.3678676749696</v>
      </c>
      <c r="M80" s="270">
        <f t="shared" si="9"/>
        <v>319299.27492119628</v>
      </c>
      <c r="N80" s="21"/>
      <c r="O80" s="271"/>
      <c r="P80" s="271"/>
      <c r="Q80" s="271"/>
      <c r="R80" s="271"/>
      <c r="S80" s="271"/>
      <c r="T80" s="271"/>
    </row>
    <row r="81" spans="1:20" s="230" customFormat="1" ht="15">
      <c r="A81" s="267">
        <f t="shared" si="10"/>
        <v>45473</v>
      </c>
      <c r="B81" s="269">
        <f t="shared" si="27"/>
        <v>4437012.8249999993</v>
      </c>
      <c r="C81" s="269">
        <f t="shared" si="27"/>
        <v>4437012.8249999993</v>
      </c>
      <c r="D81" s="269">
        <f t="shared" si="26"/>
        <v>32981.795332499991</v>
      </c>
      <c r="E81" s="269">
        <f t="shared" si="28"/>
        <v>73950.213749999995</v>
      </c>
      <c r="F81" s="269">
        <f t="shared" si="24"/>
        <v>-3645006.0357374987</v>
      </c>
      <c r="G81" s="269">
        <f t="shared" si="24"/>
        <v>-4326087.5043750042</v>
      </c>
      <c r="H81" s="269">
        <f t="shared" si="25"/>
        <v>792006.78926250059</v>
      </c>
      <c r="I81" s="269">
        <f t="shared" si="25"/>
        <v>110925.32062499505</v>
      </c>
      <c r="J81" s="269">
        <f t="shared" si="7"/>
        <v>-681081.46863750555</v>
      </c>
      <c r="K81" s="269">
        <f t="shared" si="19"/>
        <v>143027.10841387615</v>
      </c>
      <c r="L81" s="269">
        <f t="shared" si="8"/>
        <v>-8603.3678676750569</v>
      </c>
      <c r="M81" s="270">
        <f t="shared" si="9"/>
        <v>253952.4290388712</v>
      </c>
      <c r="N81" s="21"/>
      <c r="O81" s="271"/>
      <c r="P81" s="271"/>
      <c r="Q81" s="271"/>
      <c r="R81" s="271"/>
      <c r="S81" s="271"/>
      <c r="T81" s="271"/>
    </row>
    <row r="82" spans="1:20" s="230" customFormat="1" ht="15">
      <c r="A82" s="267">
        <f t="shared" si="10"/>
        <v>45504</v>
      </c>
      <c r="B82" s="269">
        <f t="shared" si="27"/>
        <v>4437012.8249999993</v>
      </c>
      <c r="C82" s="269">
        <f t="shared" si="27"/>
        <v>4437012.8249999993</v>
      </c>
      <c r="D82" s="269">
        <f t="shared" si="26"/>
        <v>32981.795332499991</v>
      </c>
      <c r="E82" s="269">
        <f>C82*E$12/12</f>
        <v>73950.213749999995</v>
      </c>
      <c r="F82" s="269">
        <f t="shared" si="24"/>
        <v>-3677987.8310699984</v>
      </c>
      <c r="G82" s="269">
        <f t="shared" si="24"/>
        <v>-4400037.7181250043</v>
      </c>
      <c r="H82" s="269">
        <f t="shared" si="25"/>
        <v>759024.99393000081</v>
      </c>
      <c r="I82" s="269">
        <f t="shared" si="25"/>
        <v>36975.106874994934</v>
      </c>
      <c r="J82" s="269">
        <f t="shared" si="7"/>
        <v>-722049.88705500588</v>
      </c>
      <c r="K82" s="269">
        <f t="shared" si="19"/>
        <v>151630.47628155124</v>
      </c>
      <c r="L82" s="269">
        <f t="shared" si="8"/>
        <v>-8603.367867675086</v>
      </c>
      <c r="M82" s="270">
        <f t="shared" si="9"/>
        <v>188605.58315654617</v>
      </c>
      <c r="N82" s="21"/>
      <c r="O82" s="271"/>
      <c r="P82" s="271"/>
      <c r="Q82" s="271"/>
      <c r="R82" s="271"/>
      <c r="S82" s="271"/>
      <c r="T82" s="271"/>
    </row>
    <row r="83" spans="1:20" s="230" customFormat="1" ht="15">
      <c r="A83" s="267">
        <f t="shared" si="10"/>
        <v>45535</v>
      </c>
      <c r="B83" s="269">
        <f t="shared" si="27"/>
        <v>4437012.8249999993</v>
      </c>
      <c r="C83" s="269">
        <f t="shared" si="27"/>
        <v>4437012.8249999993</v>
      </c>
      <c r="D83" s="269">
        <f t="shared" si="26"/>
        <v>32981.795332499991</v>
      </c>
      <c r="E83" s="269">
        <f>C82+G82</f>
        <v>36975.106874994934</v>
      </c>
      <c r="F83" s="269">
        <f t="shared" si="24"/>
        <v>-3710969.6264024982</v>
      </c>
      <c r="G83" s="269">
        <f t="shared" si="24"/>
        <v>-4437012.8249999993</v>
      </c>
      <c r="H83" s="269">
        <f t="shared" si="25"/>
        <v>726043.19859750103</v>
      </c>
      <c r="I83" s="269">
        <f t="shared" si="25"/>
        <v>0</v>
      </c>
      <c r="J83" s="269">
        <f t="shared" si="7"/>
        <v>-726043.19859750103</v>
      </c>
      <c r="K83" s="269">
        <f t="shared" si="19"/>
        <v>152469.07170547522</v>
      </c>
      <c r="L83" s="269">
        <f t="shared" si="8"/>
        <v>-838.59542392397998</v>
      </c>
      <c r="M83" s="270">
        <f t="shared" si="9"/>
        <v>152469.07170547522</v>
      </c>
      <c r="N83" s="21"/>
      <c r="O83" s="271"/>
      <c r="P83" s="271"/>
      <c r="Q83" s="271"/>
      <c r="R83" s="271"/>
      <c r="S83" s="271"/>
      <c r="T83" s="271"/>
    </row>
    <row r="84" spans="1:20" s="230" customFormat="1" ht="15">
      <c r="A84" s="267">
        <f t="shared" si="10"/>
        <v>45565</v>
      </c>
      <c r="B84" s="269">
        <f t="shared" si="27"/>
        <v>4437012.8249999993</v>
      </c>
      <c r="C84" s="269">
        <f t="shared" si="27"/>
        <v>4437012.8249999993</v>
      </c>
      <c r="D84" s="269">
        <f t="shared" si="26"/>
        <v>32981.795332499991</v>
      </c>
      <c r="E84" s="269"/>
      <c r="F84" s="269">
        <f t="shared" si="24"/>
        <v>-3743951.421734998</v>
      </c>
      <c r="G84" s="269">
        <f t="shared" si="24"/>
        <v>-4437012.8249999993</v>
      </c>
      <c r="H84" s="269">
        <f t="shared" si="25"/>
        <v>693061.40326500125</v>
      </c>
      <c r="I84" s="269">
        <f t="shared" si="25"/>
        <v>0</v>
      </c>
      <c r="J84" s="269">
        <f t="shared" si="7"/>
        <v>-693061.40326500125</v>
      </c>
      <c r="K84" s="269">
        <f t="shared" ref="K84:K115" si="29">-J84*$K$15</f>
        <v>145542.89468565024</v>
      </c>
      <c r="L84" s="269">
        <f t="shared" si="8"/>
        <v>6926.1770198249724</v>
      </c>
      <c r="M84" s="270">
        <f t="shared" si="9"/>
        <v>145542.89468565024</v>
      </c>
      <c r="N84" s="21"/>
      <c r="O84" s="271"/>
      <c r="P84" s="271"/>
      <c r="Q84" s="271"/>
      <c r="R84" s="271"/>
      <c r="S84" s="271"/>
      <c r="T84" s="271"/>
    </row>
    <row r="85" spans="1:20" s="230" customFormat="1" ht="15">
      <c r="A85" s="267">
        <f t="shared" si="10"/>
        <v>45596</v>
      </c>
      <c r="B85" s="269">
        <f t="shared" si="27"/>
        <v>4437012.8249999993</v>
      </c>
      <c r="C85" s="269">
        <f t="shared" si="27"/>
        <v>4437012.8249999993</v>
      </c>
      <c r="D85" s="269">
        <f t="shared" si="26"/>
        <v>32981.795332499991</v>
      </c>
      <c r="E85" s="269"/>
      <c r="F85" s="269">
        <f t="shared" ref="F85:G100" si="30">F84-D85</f>
        <v>-3776933.2170674978</v>
      </c>
      <c r="G85" s="269">
        <f t="shared" si="30"/>
        <v>-4437012.8249999993</v>
      </c>
      <c r="H85" s="269">
        <f t="shared" si="25"/>
        <v>660079.60793250147</v>
      </c>
      <c r="I85" s="269">
        <f t="shared" si="25"/>
        <v>0</v>
      </c>
      <c r="J85" s="269">
        <f t="shared" ref="J85:J148" si="31">I85-H85</f>
        <v>-660079.60793250147</v>
      </c>
      <c r="K85" s="269">
        <f t="shared" si="29"/>
        <v>138616.7176658253</v>
      </c>
      <c r="L85" s="269">
        <f t="shared" ref="L85:L148" si="32">-K85+K84</f>
        <v>6926.1770198249433</v>
      </c>
      <c r="M85" s="270">
        <f t="shared" ref="M85:M148" si="33">I85+K85</f>
        <v>138616.7176658253</v>
      </c>
      <c r="N85" s="21"/>
      <c r="O85" s="271"/>
      <c r="P85" s="271"/>
      <c r="Q85" s="271"/>
      <c r="R85" s="271"/>
      <c r="S85" s="271"/>
      <c r="T85" s="271"/>
    </row>
    <row r="86" spans="1:20" s="230" customFormat="1" ht="15">
      <c r="A86" s="267">
        <f t="shared" ref="A86:A149" si="34">EOMONTH(A85,1)</f>
        <v>45626</v>
      </c>
      <c r="B86" s="269">
        <f t="shared" si="27"/>
        <v>4437012.8249999993</v>
      </c>
      <c r="C86" s="269">
        <f t="shared" si="27"/>
        <v>4437012.8249999993</v>
      </c>
      <c r="D86" s="269">
        <f t="shared" si="26"/>
        <v>32981.795332499991</v>
      </c>
      <c r="E86" s="269"/>
      <c r="F86" s="269">
        <f t="shared" si="30"/>
        <v>-3809915.0123999976</v>
      </c>
      <c r="G86" s="269">
        <f t="shared" si="30"/>
        <v>-4437012.8249999993</v>
      </c>
      <c r="H86" s="269">
        <f t="shared" si="25"/>
        <v>627097.81260000169</v>
      </c>
      <c r="I86" s="269">
        <f t="shared" si="25"/>
        <v>0</v>
      </c>
      <c r="J86" s="269">
        <f t="shared" si="31"/>
        <v>-627097.81260000169</v>
      </c>
      <c r="K86" s="269">
        <f t="shared" si="29"/>
        <v>131690.54064600036</v>
      </c>
      <c r="L86" s="269">
        <f t="shared" si="32"/>
        <v>6926.1770198249433</v>
      </c>
      <c r="M86" s="270">
        <f t="shared" si="33"/>
        <v>131690.54064600036</v>
      </c>
      <c r="N86" s="21"/>
      <c r="O86" s="271"/>
      <c r="P86" s="271"/>
      <c r="Q86" s="271"/>
      <c r="R86" s="271"/>
      <c r="S86" s="271"/>
      <c r="T86" s="271"/>
    </row>
    <row r="87" spans="1:20" s="230" customFormat="1" ht="15">
      <c r="A87" s="267">
        <f t="shared" si="34"/>
        <v>45657</v>
      </c>
      <c r="B87" s="269">
        <f t="shared" si="27"/>
        <v>4437012.8249999993</v>
      </c>
      <c r="C87" s="269">
        <f t="shared" si="27"/>
        <v>4437012.8249999993</v>
      </c>
      <c r="D87" s="269">
        <f t="shared" si="26"/>
        <v>32981.795332499991</v>
      </c>
      <c r="E87" s="269"/>
      <c r="F87" s="269">
        <f t="shared" si="30"/>
        <v>-3842896.8077324973</v>
      </c>
      <c r="G87" s="269">
        <f t="shared" si="30"/>
        <v>-4437012.8249999993</v>
      </c>
      <c r="H87" s="269">
        <f t="shared" si="25"/>
        <v>594116.01726750191</v>
      </c>
      <c r="I87" s="269">
        <f t="shared" si="25"/>
        <v>0</v>
      </c>
      <c r="J87" s="269">
        <f t="shared" si="31"/>
        <v>-594116.01726750191</v>
      </c>
      <c r="K87" s="269">
        <f t="shared" si="29"/>
        <v>124764.3636261754</v>
      </c>
      <c r="L87" s="269">
        <f t="shared" si="32"/>
        <v>6926.1770198249578</v>
      </c>
      <c r="M87" s="270">
        <f t="shared" si="33"/>
        <v>124764.3636261754</v>
      </c>
      <c r="N87" s="21"/>
      <c r="O87" s="271"/>
      <c r="P87" s="271"/>
      <c r="Q87" s="271"/>
      <c r="R87" s="271"/>
      <c r="S87" s="271"/>
      <c r="T87" s="271"/>
    </row>
    <row r="88" spans="1:20" s="230" customFormat="1" ht="15">
      <c r="A88" s="267">
        <f t="shared" si="34"/>
        <v>45688</v>
      </c>
      <c r="B88" s="269">
        <f t="shared" si="27"/>
        <v>4437012.8249999993</v>
      </c>
      <c r="C88" s="269">
        <f t="shared" si="27"/>
        <v>4437012.8249999993</v>
      </c>
      <c r="D88" s="269">
        <f t="shared" ref="D88:D99" si="35">B88*$H$5/12</f>
        <v>33018.770439374995</v>
      </c>
      <c r="E88" s="269"/>
      <c r="F88" s="269">
        <f t="shared" si="30"/>
        <v>-3875915.5781718725</v>
      </c>
      <c r="G88" s="269">
        <f t="shared" si="30"/>
        <v>-4437012.8249999993</v>
      </c>
      <c r="H88" s="269">
        <f t="shared" si="25"/>
        <v>561097.24682812672</v>
      </c>
      <c r="I88" s="269">
        <f t="shared" si="25"/>
        <v>0</v>
      </c>
      <c r="J88" s="269">
        <f t="shared" si="31"/>
        <v>-561097.24682812672</v>
      </c>
      <c r="K88" s="269">
        <f t="shared" si="29"/>
        <v>117830.42183390661</v>
      </c>
      <c r="L88" s="269">
        <f t="shared" si="32"/>
        <v>6933.9417922687862</v>
      </c>
      <c r="M88" s="270">
        <f t="shared" si="33"/>
        <v>117830.42183390661</v>
      </c>
      <c r="N88" s="21"/>
      <c r="O88" s="271"/>
      <c r="P88" s="271"/>
      <c r="Q88" s="271"/>
      <c r="R88" s="271"/>
      <c r="S88" s="271"/>
      <c r="T88" s="271"/>
    </row>
    <row r="89" spans="1:20" s="230" customFormat="1" ht="15">
      <c r="A89" s="267">
        <f t="shared" si="34"/>
        <v>45716</v>
      </c>
      <c r="B89" s="269">
        <f t="shared" si="27"/>
        <v>4437012.8249999993</v>
      </c>
      <c r="C89" s="269">
        <f t="shared" si="27"/>
        <v>4437012.8249999993</v>
      </c>
      <c r="D89" s="269">
        <f t="shared" si="35"/>
        <v>33018.770439374995</v>
      </c>
      <c r="E89" s="269"/>
      <c r="F89" s="269">
        <f t="shared" si="30"/>
        <v>-3908934.3486112477</v>
      </c>
      <c r="G89" s="269">
        <f t="shared" si="30"/>
        <v>-4437012.8249999993</v>
      </c>
      <c r="H89" s="269">
        <f t="shared" si="25"/>
        <v>528078.47638875153</v>
      </c>
      <c r="I89" s="269">
        <f t="shared" si="25"/>
        <v>0</v>
      </c>
      <c r="J89" s="269">
        <f t="shared" si="31"/>
        <v>-528078.47638875153</v>
      </c>
      <c r="K89" s="269">
        <f t="shared" si="29"/>
        <v>110896.48004163781</v>
      </c>
      <c r="L89" s="269">
        <f t="shared" si="32"/>
        <v>6933.9417922688008</v>
      </c>
      <c r="M89" s="270">
        <f t="shared" si="33"/>
        <v>110896.48004163781</v>
      </c>
      <c r="N89" s="21"/>
      <c r="O89" s="271"/>
      <c r="P89" s="271"/>
      <c r="Q89" s="271"/>
      <c r="R89" s="271"/>
      <c r="S89" s="271"/>
      <c r="T89" s="271"/>
    </row>
    <row r="90" spans="1:20" s="230" customFormat="1" ht="15">
      <c r="A90" s="267">
        <f t="shared" si="34"/>
        <v>45747</v>
      </c>
      <c r="B90" s="269">
        <f t="shared" si="27"/>
        <v>4437012.8249999993</v>
      </c>
      <c r="C90" s="269">
        <f t="shared" si="27"/>
        <v>4437012.8249999993</v>
      </c>
      <c r="D90" s="269">
        <f t="shared" si="35"/>
        <v>33018.770439374995</v>
      </c>
      <c r="E90" s="269"/>
      <c r="F90" s="269">
        <f t="shared" si="30"/>
        <v>-3941953.1190506229</v>
      </c>
      <c r="G90" s="269">
        <f t="shared" si="30"/>
        <v>-4437012.8249999993</v>
      </c>
      <c r="H90" s="269">
        <f t="shared" si="25"/>
        <v>495059.70594937634</v>
      </c>
      <c r="I90" s="269">
        <f t="shared" si="25"/>
        <v>0</v>
      </c>
      <c r="J90" s="269">
        <f t="shared" si="31"/>
        <v>-495059.70594937634</v>
      </c>
      <c r="K90" s="269">
        <f t="shared" si="29"/>
        <v>103962.53824936903</v>
      </c>
      <c r="L90" s="269">
        <f t="shared" si="32"/>
        <v>6933.9417922687862</v>
      </c>
      <c r="M90" s="270">
        <f t="shared" si="33"/>
        <v>103962.53824936903</v>
      </c>
      <c r="N90" s="21"/>
      <c r="O90" s="271"/>
      <c r="P90" s="271"/>
      <c r="Q90" s="271"/>
      <c r="R90" s="271"/>
      <c r="S90" s="271"/>
      <c r="T90" s="271"/>
    </row>
    <row r="91" spans="1:20" s="230" customFormat="1" ht="15">
      <c r="A91" s="267">
        <f t="shared" si="34"/>
        <v>45777</v>
      </c>
      <c r="B91" s="269">
        <f t="shared" si="27"/>
        <v>4437012.8249999993</v>
      </c>
      <c r="C91" s="269">
        <f t="shared" si="27"/>
        <v>4437012.8249999993</v>
      </c>
      <c r="D91" s="269">
        <f t="shared" si="35"/>
        <v>33018.770439374995</v>
      </c>
      <c r="E91" s="269"/>
      <c r="F91" s="269">
        <f t="shared" si="30"/>
        <v>-3974971.8894899981</v>
      </c>
      <c r="G91" s="269">
        <f t="shared" si="30"/>
        <v>-4437012.8249999993</v>
      </c>
      <c r="H91" s="269">
        <f t="shared" ref="H91:I116" si="36">B91+F91</f>
        <v>462040.93551000115</v>
      </c>
      <c r="I91" s="269">
        <f t="shared" si="36"/>
        <v>0</v>
      </c>
      <c r="J91" s="269">
        <f t="shared" si="31"/>
        <v>-462040.93551000115</v>
      </c>
      <c r="K91" s="269">
        <f t="shared" si="29"/>
        <v>97028.596457100241</v>
      </c>
      <c r="L91" s="269">
        <f t="shared" si="32"/>
        <v>6933.9417922687862</v>
      </c>
      <c r="M91" s="270">
        <f t="shared" si="33"/>
        <v>97028.596457100241</v>
      </c>
      <c r="N91" s="21"/>
      <c r="O91" s="271"/>
      <c r="P91" s="271"/>
      <c r="Q91" s="271"/>
      <c r="R91" s="271"/>
      <c r="S91" s="271"/>
      <c r="T91" s="271"/>
    </row>
    <row r="92" spans="1:20" s="230" customFormat="1" ht="15">
      <c r="A92" s="267">
        <f t="shared" si="34"/>
        <v>45808</v>
      </c>
      <c r="B92" s="269">
        <f t="shared" si="27"/>
        <v>4437012.8249999993</v>
      </c>
      <c r="C92" s="269">
        <f t="shared" si="27"/>
        <v>4437012.8249999993</v>
      </c>
      <c r="D92" s="269">
        <f t="shared" si="35"/>
        <v>33018.770439374995</v>
      </c>
      <c r="E92" s="269"/>
      <c r="F92" s="269">
        <f t="shared" si="30"/>
        <v>-4007990.6599293733</v>
      </c>
      <c r="G92" s="269">
        <f t="shared" si="30"/>
        <v>-4437012.8249999993</v>
      </c>
      <c r="H92" s="269">
        <f t="shared" si="36"/>
        <v>429022.16507062595</v>
      </c>
      <c r="I92" s="269">
        <f t="shared" si="36"/>
        <v>0</v>
      </c>
      <c r="J92" s="269">
        <f t="shared" si="31"/>
        <v>-429022.16507062595</v>
      </c>
      <c r="K92" s="269">
        <f t="shared" si="29"/>
        <v>90094.65466483144</v>
      </c>
      <c r="L92" s="269">
        <f t="shared" si="32"/>
        <v>6933.9417922688008</v>
      </c>
      <c r="M92" s="270">
        <f t="shared" si="33"/>
        <v>90094.65466483144</v>
      </c>
      <c r="N92" s="21"/>
      <c r="O92" s="271"/>
      <c r="P92" s="271"/>
      <c r="Q92" s="271"/>
      <c r="R92" s="271"/>
      <c r="S92" s="271"/>
      <c r="T92" s="271"/>
    </row>
    <row r="93" spans="1:20" s="230" customFormat="1" ht="15">
      <c r="A93" s="267">
        <f t="shared" si="34"/>
        <v>45838</v>
      </c>
      <c r="B93" s="269">
        <f t="shared" si="27"/>
        <v>4437012.8249999993</v>
      </c>
      <c r="C93" s="269">
        <f t="shared" si="27"/>
        <v>4437012.8249999993</v>
      </c>
      <c r="D93" s="269">
        <f t="shared" si="35"/>
        <v>33018.770439374995</v>
      </c>
      <c r="E93" s="269"/>
      <c r="F93" s="269">
        <f t="shared" si="30"/>
        <v>-4041009.4303687485</v>
      </c>
      <c r="G93" s="269">
        <f t="shared" si="30"/>
        <v>-4437012.8249999993</v>
      </c>
      <c r="H93" s="269">
        <f t="shared" si="36"/>
        <v>396003.39463125076</v>
      </c>
      <c r="I93" s="269">
        <f t="shared" si="36"/>
        <v>0</v>
      </c>
      <c r="J93" s="269">
        <f t="shared" si="31"/>
        <v>-396003.39463125076</v>
      </c>
      <c r="K93" s="269">
        <f t="shared" si="29"/>
        <v>83160.712872562654</v>
      </c>
      <c r="L93" s="269">
        <f t="shared" si="32"/>
        <v>6933.9417922687862</v>
      </c>
      <c r="M93" s="270">
        <f t="shared" si="33"/>
        <v>83160.712872562654</v>
      </c>
      <c r="N93" s="21"/>
      <c r="O93" s="271"/>
      <c r="P93" s="271"/>
      <c r="Q93" s="271"/>
      <c r="R93" s="271"/>
      <c r="S93" s="271"/>
      <c r="T93" s="271"/>
    </row>
    <row r="94" spans="1:20" s="230" customFormat="1" ht="15">
      <c r="A94" s="267">
        <f t="shared" si="34"/>
        <v>45869</v>
      </c>
      <c r="B94" s="269">
        <f t="shared" si="27"/>
        <v>4437012.8249999993</v>
      </c>
      <c r="C94" s="269">
        <f t="shared" si="27"/>
        <v>4437012.8249999993</v>
      </c>
      <c r="D94" s="269">
        <f t="shared" si="35"/>
        <v>33018.770439374995</v>
      </c>
      <c r="E94" s="269"/>
      <c r="F94" s="269">
        <f t="shared" si="30"/>
        <v>-4074028.2008081237</v>
      </c>
      <c r="G94" s="269">
        <f t="shared" si="30"/>
        <v>-4437012.8249999993</v>
      </c>
      <c r="H94" s="269">
        <f t="shared" si="36"/>
        <v>362984.62419187557</v>
      </c>
      <c r="I94" s="269">
        <f t="shared" si="36"/>
        <v>0</v>
      </c>
      <c r="J94" s="269">
        <f t="shared" si="31"/>
        <v>-362984.62419187557</v>
      </c>
      <c r="K94" s="269">
        <f t="shared" si="29"/>
        <v>76226.771080293867</v>
      </c>
      <c r="L94" s="269">
        <f t="shared" si="32"/>
        <v>6933.9417922687862</v>
      </c>
      <c r="M94" s="270">
        <f t="shared" si="33"/>
        <v>76226.771080293867</v>
      </c>
      <c r="N94" s="21"/>
      <c r="O94" s="271"/>
      <c r="P94" s="271"/>
      <c r="Q94" s="271"/>
      <c r="R94" s="271"/>
      <c r="S94" s="271"/>
      <c r="T94" s="271"/>
    </row>
    <row r="95" spans="1:20" s="230" customFormat="1" ht="15">
      <c r="A95" s="267">
        <f t="shared" si="34"/>
        <v>45900</v>
      </c>
      <c r="B95" s="269">
        <f t="shared" si="27"/>
        <v>4437012.8249999993</v>
      </c>
      <c r="C95" s="269">
        <f t="shared" si="27"/>
        <v>4437012.8249999993</v>
      </c>
      <c r="D95" s="269">
        <f t="shared" si="35"/>
        <v>33018.770439374995</v>
      </c>
      <c r="E95" s="269"/>
      <c r="F95" s="269">
        <f t="shared" si="30"/>
        <v>-4107046.9712474989</v>
      </c>
      <c r="G95" s="269">
        <f t="shared" si="30"/>
        <v>-4437012.8249999993</v>
      </c>
      <c r="H95" s="269">
        <f t="shared" si="36"/>
        <v>329965.85375250038</v>
      </c>
      <c r="I95" s="269">
        <f t="shared" si="36"/>
        <v>0</v>
      </c>
      <c r="J95" s="269">
        <f t="shared" si="31"/>
        <v>-329965.85375250038</v>
      </c>
      <c r="K95" s="269">
        <f t="shared" si="29"/>
        <v>69292.829288025081</v>
      </c>
      <c r="L95" s="269">
        <f t="shared" si="32"/>
        <v>6933.9417922687862</v>
      </c>
      <c r="M95" s="270">
        <f t="shared" si="33"/>
        <v>69292.829288025081</v>
      </c>
      <c r="N95" s="21"/>
      <c r="O95" s="271"/>
      <c r="P95" s="271"/>
      <c r="Q95" s="271"/>
      <c r="R95" s="271"/>
      <c r="S95" s="271"/>
      <c r="T95" s="271"/>
    </row>
    <row r="96" spans="1:20" s="230" customFormat="1" ht="15">
      <c r="A96" s="267">
        <f t="shared" si="34"/>
        <v>45930</v>
      </c>
      <c r="B96" s="269">
        <f t="shared" ref="B96:C111" si="37">B95</f>
        <v>4437012.8249999993</v>
      </c>
      <c r="C96" s="269">
        <f t="shared" si="37"/>
        <v>4437012.8249999993</v>
      </c>
      <c r="D96" s="269">
        <f t="shared" si="35"/>
        <v>33018.770439374995</v>
      </c>
      <c r="E96" s="269"/>
      <c r="F96" s="269">
        <f t="shared" si="30"/>
        <v>-4140065.7416868741</v>
      </c>
      <c r="G96" s="269">
        <f t="shared" si="30"/>
        <v>-4437012.8249999993</v>
      </c>
      <c r="H96" s="269">
        <f t="shared" si="36"/>
        <v>296947.08331312519</v>
      </c>
      <c r="I96" s="269">
        <f t="shared" si="36"/>
        <v>0</v>
      </c>
      <c r="J96" s="269">
        <f t="shared" si="31"/>
        <v>-296947.08331312519</v>
      </c>
      <c r="K96" s="269">
        <f t="shared" si="29"/>
        <v>62358.887495756288</v>
      </c>
      <c r="L96" s="269">
        <f t="shared" si="32"/>
        <v>6933.9417922687935</v>
      </c>
      <c r="M96" s="270">
        <f t="shared" si="33"/>
        <v>62358.887495756288</v>
      </c>
      <c r="N96" s="21"/>
      <c r="O96" s="271"/>
      <c r="P96" s="271"/>
      <c r="Q96" s="271"/>
      <c r="R96" s="271"/>
      <c r="S96" s="271"/>
      <c r="T96" s="271"/>
    </row>
    <row r="97" spans="1:20" s="230" customFormat="1" ht="15">
      <c r="A97" s="267">
        <f t="shared" si="34"/>
        <v>45961</v>
      </c>
      <c r="B97" s="269">
        <f t="shared" si="37"/>
        <v>4437012.8249999993</v>
      </c>
      <c r="C97" s="269">
        <f t="shared" si="37"/>
        <v>4437012.8249999993</v>
      </c>
      <c r="D97" s="269">
        <f t="shared" si="35"/>
        <v>33018.770439374995</v>
      </c>
      <c r="E97" s="269"/>
      <c r="F97" s="269">
        <f t="shared" si="30"/>
        <v>-4173084.5121262493</v>
      </c>
      <c r="G97" s="269">
        <f t="shared" si="30"/>
        <v>-4437012.8249999993</v>
      </c>
      <c r="H97" s="269">
        <f t="shared" si="36"/>
        <v>263928.31287374999</v>
      </c>
      <c r="I97" s="269">
        <f t="shared" si="36"/>
        <v>0</v>
      </c>
      <c r="J97" s="269">
        <f t="shared" si="31"/>
        <v>-263928.31287374999</v>
      </c>
      <c r="K97" s="269">
        <f t="shared" si="29"/>
        <v>55424.945703487494</v>
      </c>
      <c r="L97" s="269">
        <f t="shared" si="32"/>
        <v>6933.9417922687935</v>
      </c>
      <c r="M97" s="270">
        <f t="shared" si="33"/>
        <v>55424.945703487494</v>
      </c>
      <c r="N97" s="21"/>
      <c r="O97" s="271"/>
      <c r="P97" s="271"/>
      <c r="Q97" s="271"/>
      <c r="R97" s="271"/>
      <c r="S97" s="271"/>
      <c r="T97" s="271"/>
    </row>
    <row r="98" spans="1:20" s="230" customFormat="1" ht="15">
      <c r="A98" s="267">
        <f t="shared" si="34"/>
        <v>45991</v>
      </c>
      <c r="B98" s="269">
        <f t="shared" si="37"/>
        <v>4437012.8249999993</v>
      </c>
      <c r="C98" s="269">
        <f t="shared" si="37"/>
        <v>4437012.8249999993</v>
      </c>
      <c r="D98" s="269">
        <f t="shared" si="35"/>
        <v>33018.770439374995</v>
      </c>
      <c r="E98" s="269"/>
      <c r="F98" s="269">
        <f t="shared" si="30"/>
        <v>-4206103.2825656245</v>
      </c>
      <c r="G98" s="269">
        <f t="shared" si="30"/>
        <v>-4437012.8249999993</v>
      </c>
      <c r="H98" s="269">
        <f t="shared" si="36"/>
        <v>230909.5424343748</v>
      </c>
      <c r="I98" s="269">
        <f t="shared" si="36"/>
        <v>0</v>
      </c>
      <c r="J98" s="269">
        <f t="shared" si="31"/>
        <v>-230909.5424343748</v>
      </c>
      <c r="K98" s="269">
        <f t="shared" si="29"/>
        <v>48491.003911218708</v>
      </c>
      <c r="L98" s="269">
        <f t="shared" si="32"/>
        <v>6933.9417922687862</v>
      </c>
      <c r="M98" s="270">
        <f t="shared" si="33"/>
        <v>48491.003911218708</v>
      </c>
      <c r="N98" s="21"/>
      <c r="O98" s="271"/>
      <c r="P98" s="271"/>
      <c r="Q98" s="271"/>
      <c r="R98" s="271"/>
      <c r="S98" s="271"/>
      <c r="T98" s="271"/>
    </row>
    <row r="99" spans="1:20" s="230" customFormat="1" ht="15">
      <c r="A99" s="267">
        <f t="shared" si="34"/>
        <v>46022</v>
      </c>
      <c r="B99" s="269">
        <f t="shared" si="37"/>
        <v>4437012.8249999993</v>
      </c>
      <c r="C99" s="269">
        <f t="shared" si="37"/>
        <v>4437012.8249999993</v>
      </c>
      <c r="D99" s="269">
        <f t="shared" si="35"/>
        <v>33018.770439374995</v>
      </c>
      <c r="E99" s="269"/>
      <c r="F99" s="269">
        <f t="shared" si="30"/>
        <v>-4239122.0530049996</v>
      </c>
      <c r="G99" s="269">
        <f t="shared" si="30"/>
        <v>-4437012.8249999993</v>
      </c>
      <c r="H99" s="269">
        <f t="shared" si="36"/>
        <v>197890.77199499961</v>
      </c>
      <c r="I99" s="269">
        <f t="shared" si="36"/>
        <v>0</v>
      </c>
      <c r="J99" s="269">
        <f t="shared" si="31"/>
        <v>-197890.77199499961</v>
      </c>
      <c r="K99" s="269">
        <f t="shared" si="29"/>
        <v>41557.062118949914</v>
      </c>
      <c r="L99" s="269">
        <f t="shared" si="32"/>
        <v>6933.9417922687935</v>
      </c>
      <c r="M99" s="270">
        <f t="shared" si="33"/>
        <v>41557.062118949914</v>
      </c>
      <c r="N99" s="21"/>
      <c r="O99" s="271"/>
      <c r="P99" s="271"/>
      <c r="Q99" s="271"/>
      <c r="R99" s="271"/>
      <c r="S99" s="271"/>
      <c r="T99" s="271"/>
    </row>
    <row r="100" spans="1:20" s="230" customFormat="1" ht="15">
      <c r="A100" s="267">
        <f t="shared" si="34"/>
        <v>46053</v>
      </c>
      <c r="B100" s="269">
        <f t="shared" si="37"/>
        <v>4437012.8249999993</v>
      </c>
      <c r="C100" s="269">
        <f t="shared" si="37"/>
        <v>4437012.8249999993</v>
      </c>
      <c r="D100" s="269">
        <f t="shared" ref="D100:D111" si="38">B100*$I$5/12</f>
        <v>16490.897666249995</v>
      </c>
      <c r="E100" s="269"/>
      <c r="F100" s="269">
        <f t="shared" si="30"/>
        <v>-4255612.95067125</v>
      </c>
      <c r="G100" s="269">
        <f t="shared" si="30"/>
        <v>-4437012.8249999993</v>
      </c>
      <c r="H100" s="269">
        <f t="shared" si="36"/>
        <v>181399.87432874925</v>
      </c>
      <c r="I100" s="269">
        <f t="shared" si="36"/>
        <v>0</v>
      </c>
      <c r="J100" s="269">
        <f t="shared" si="31"/>
        <v>-181399.87432874925</v>
      </c>
      <c r="K100" s="269">
        <f t="shared" si="29"/>
        <v>38093.973609037341</v>
      </c>
      <c r="L100" s="269">
        <f t="shared" si="32"/>
        <v>3463.0885099125735</v>
      </c>
      <c r="M100" s="270">
        <f t="shared" si="33"/>
        <v>38093.973609037341</v>
      </c>
      <c r="N100" s="21"/>
      <c r="O100" s="271"/>
      <c r="P100" s="271"/>
      <c r="Q100" s="271"/>
      <c r="R100" s="271"/>
      <c r="S100" s="271"/>
      <c r="T100" s="271"/>
    </row>
    <row r="101" spans="1:20" s="230" customFormat="1" ht="15">
      <c r="A101" s="267">
        <f t="shared" si="34"/>
        <v>46081</v>
      </c>
      <c r="B101" s="269">
        <f t="shared" si="37"/>
        <v>4437012.8249999993</v>
      </c>
      <c r="C101" s="269">
        <f t="shared" si="37"/>
        <v>4437012.8249999993</v>
      </c>
      <c r="D101" s="269">
        <f t="shared" si="38"/>
        <v>16490.897666249995</v>
      </c>
      <c r="E101" s="269"/>
      <c r="F101" s="269">
        <f t="shared" ref="F101:G116" si="39">F100-D101</f>
        <v>-4272103.8483375004</v>
      </c>
      <c r="G101" s="269">
        <f t="shared" si="39"/>
        <v>-4437012.8249999993</v>
      </c>
      <c r="H101" s="269">
        <f t="shared" si="36"/>
        <v>164908.9766624989</v>
      </c>
      <c r="I101" s="269">
        <f t="shared" si="36"/>
        <v>0</v>
      </c>
      <c r="J101" s="269">
        <f t="shared" si="31"/>
        <v>-164908.9766624989</v>
      </c>
      <c r="K101" s="269">
        <f t="shared" si="29"/>
        <v>34630.885099124767</v>
      </c>
      <c r="L101" s="269">
        <f t="shared" si="32"/>
        <v>3463.0885099125735</v>
      </c>
      <c r="M101" s="270">
        <f t="shared" si="33"/>
        <v>34630.885099124767</v>
      </c>
      <c r="N101" s="21"/>
      <c r="O101" s="271"/>
      <c r="P101" s="271"/>
      <c r="Q101" s="271"/>
      <c r="R101" s="271"/>
      <c r="S101" s="271"/>
      <c r="T101" s="271"/>
    </row>
    <row r="102" spans="1:20" s="230" customFormat="1" ht="15">
      <c r="A102" s="267">
        <f t="shared" si="34"/>
        <v>46112</v>
      </c>
      <c r="B102" s="269">
        <f t="shared" si="37"/>
        <v>4437012.8249999993</v>
      </c>
      <c r="C102" s="269">
        <f t="shared" si="37"/>
        <v>4437012.8249999993</v>
      </c>
      <c r="D102" s="269">
        <f t="shared" si="38"/>
        <v>16490.897666249995</v>
      </c>
      <c r="E102" s="269"/>
      <c r="F102" s="269">
        <f t="shared" si="39"/>
        <v>-4288594.7460037507</v>
      </c>
      <c r="G102" s="269">
        <f t="shared" si="39"/>
        <v>-4437012.8249999993</v>
      </c>
      <c r="H102" s="269">
        <f t="shared" si="36"/>
        <v>148418.07899624854</v>
      </c>
      <c r="I102" s="269">
        <f t="shared" si="36"/>
        <v>0</v>
      </c>
      <c r="J102" s="269">
        <f t="shared" si="31"/>
        <v>-148418.07899624854</v>
      </c>
      <c r="K102" s="269">
        <f t="shared" si="29"/>
        <v>31167.796589212194</v>
      </c>
      <c r="L102" s="269">
        <f t="shared" si="32"/>
        <v>3463.0885099125735</v>
      </c>
      <c r="M102" s="270">
        <f t="shared" si="33"/>
        <v>31167.796589212194</v>
      </c>
      <c r="N102" s="21"/>
      <c r="O102" s="271"/>
      <c r="P102" s="271"/>
      <c r="Q102" s="271"/>
      <c r="R102" s="271"/>
      <c r="S102" s="271"/>
      <c r="T102" s="271"/>
    </row>
    <row r="103" spans="1:20" s="230" customFormat="1" ht="15">
      <c r="A103" s="267">
        <f t="shared" si="34"/>
        <v>46142</v>
      </c>
      <c r="B103" s="269">
        <f t="shared" si="37"/>
        <v>4437012.8249999993</v>
      </c>
      <c r="C103" s="269">
        <f t="shared" si="37"/>
        <v>4437012.8249999993</v>
      </c>
      <c r="D103" s="269">
        <f t="shared" si="38"/>
        <v>16490.897666249995</v>
      </c>
      <c r="E103" s="269"/>
      <c r="F103" s="269">
        <f t="shared" si="39"/>
        <v>-4305085.6436700011</v>
      </c>
      <c r="G103" s="269">
        <f t="shared" si="39"/>
        <v>-4437012.8249999993</v>
      </c>
      <c r="H103" s="269">
        <f t="shared" si="36"/>
        <v>131927.18132999819</v>
      </c>
      <c r="I103" s="269">
        <f t="shared" si="36"/>
        <v>0</v>
      </c>
      <c r="J103" s="269">
        <f t="shared" si="31"/>
        <v>-131927.18132999819</v>
      </c>
      <c r="K103" s="269">
        <f t="shared" si="29"/>
        <v>27704.708079299617</v>
      </c>
      <c r="L103" s="269">
        <f t="shared" si="32"/>
        <v>3463.0885099125771</v>
      </c>
      <c r="M103" s="270">
        <f t="shared" si="33"/>
        <v>27704.708079299617</v>
      </c>
      <c r="N103" s="21"/>
      <c r="O103" s="271"/>
      <c r="P103" s="271"/>
      <c r="Q103" s="271"/>
      <c r="R103" s="271"/>
      <c r="S103" s="271"/>
      <c r="T103" s="271"/>
    </row>
    <row r="104" spans="1:20" s="230" customFormat="1" ht="15">
      <c r="A104" s="267">
        <f t="shared" si="34"/>
        <v>46173</v>
      </c>
      <c r="B104" s="269">
        <f t="shared" si="37"/>
        <v>4437012.8249999993</v>
      </c>
      <c r="C104" s="269">
        <f t="shared" si="37"/>
        <v>4437012.8249999993</v>
      </c>
      <c r="D104" s="269">
        <f t="shared" si="38"/>
        <v>16490.897666249995</v>
      </c>
      <c r="E104" s="269"/>
      <c r="F104" s="269">
        <f t="shared" si="39"/>
        <v>-4321576.5413362514</v>
      </c>
      <c r="G104" s="269">
        <f t="shared" si="39"/>
        <v>-4437012.8249999993</v>
      </c>
      <c r="H104" s="269">
        <f t="shared" si="36"/>
        <v>115436.28366374783</v>
      </c>
      <c r="I104" s="269">
        <f t="shared" si="36"/>
        <v>0</v>
      </c>
      <c r="J104" s="269">
        <f t="shared" si="31"/>
        <v>-115436.28366374783</v>
      </c>
      <c r="K104" s="269">
        <f t="shared" si="29"/>
        <v>24241.619569387043</v>
      </c>
      <c r="L104" s="269">
        <f t="shared" si="32"/>
        <v>3463.0885099125735</v>
      </c>
      <c r="M104" s="270">
        <f t="shared" si="33"/>
        <v>24241.619569387043</v>
      </c>
      <c r="N104" s="21"/>
      <c r="O104" s="271"/>
      <c r="P104" s="271"/>
      <c r="Q104" s="271"/>
      <c r="R104" s="271"/>
      <c r="S104" s="271"/>
      <c r="T104" s="271"/>
    </row>
    <row r="105" spans="1:20" s="230" customFormat="1" ht="15">
      <c r="A105" s="267">
        <f t="shared" si="34"/>
        <v>46203</v>
      </c>
      <c r="B105" s="269">
        <f t="shared" si="37"/>
        <v>4437012.8249999993</v>
      </c>
      <c r="C105" s="269">
        <f t="shared" si="37"/>
        <v>4437012.8249999993</v>
      </c>
      <c r="D105" s="269">
        <f t="shared" si="38"/>
        <v>16490.897666249995</v>
      </c>
      <c r="E105" s="269"/>
      <c r="F105" s="269">
        <f t="shared" si="39"/>
        <v>-4338067.4390025018</v>
      </c>
      <c r="G105" s="269">
        <f t="shared" si="39"/>
        <v>-4437012.8249999993</v>
      </c>
      <c r="H105" s="269">
        <f t="shared" si="36"/>
        <v>98945.385997497477</v>
      </c>
      <c r="I105" s="269">
        <f t="shared" si="36"/>
        <v>0</v>
      </c>
      <c r="J105" s="269">
        <f t="shared" si="31"/>
        <v>-98945.385997497477</v>
      </c>
      <c r="K105" s="269">
        <f t="shared" si="29"/>
        <v>20778.53105947447</v>
      </c>
      <c r="L105" s="269">
        <f t="shared" si="32"/>
        <v>3463.0885099125735</v>
      </c>
      <c r="M105" s="270">
        <f t="shared" si="33"/>
        <v>20778.53105947447</v>
      </c>
      <c r="N105" s="21"/>
      <c r="O105" s="271"/>
      <c r="P105" s="271"/>
      <c r="Q105" s="271"/>
      <c r="R105" s="271"/>
      <c r="S105" s="271"/>
      <c r="T105" s="271"/>
    </row>
    <row r="106" spans="1:20" s="230" customFormat="1" ht="15">
      <c r="A106" s="267">
        <f t="shared" si="34"/>
        <v>46234</v>
      </c>
      <c r="B106" s="269">
        <f t="shared" si="37"/>
        <v>4437012.8249999993</v>
      </c>
      <c r="C106" s="269">
        <f t="shared" si="37"/>
        <v>4437012.8249999993</v>
      </c>
      <c r="D106" s="269">
        <f t="shared" si="38"/>
        <v>16490.897666249995</v>
      </c>
      <c r="E106" s="269"/>
      <c r="F106" s="269">
        <f t="shared" si="39"/>
        <v>-4354558.3366687521</v>
      </c>
      <c r="G106" s="269">
        <f t="shared" si="39"/>
        <v>-4437012.8249999993</v>
      </c>
      <c r="H106" s="269">
        <f t="shared" si="36"/>
        <v>82454.488331247121</v>
      </c>
      <c r="I106" s="269">
        <f t="shared" si="36"/>
        <v>0</v>
      </c>
      <c r="J106" s="269">
        <f t="shared" si="31"/>
        <v>-82454.488331247121</v>
      </c>
      <c r="K106" s="269">
        <f t="shared" si="29"/>
        <v>17315.442549561896</v>
      </c>
      <c r="L106" s="269">
        <f t="shared" si="32"/>
        <v>3463.0885099125735</v>
      </c>
      <c r="M106" s="270">
        <f t="shared" si="33"/>
        <v>17315.442549561896</v>
      </c>
      <c r="N106" s="21"/>
      <c r="O106" s="271"/>
      <c r="P106" s="271"/>
      <c r="Q106" s="271"/>
      <c r="R106" s="271"/>
      <c r="S106" s="271"/>
      <c r="T106" s="271"/>
    </row>
    <row r="107" spans="1:20" s="230" customFormat="1" ht="15">
      <c r="A107" s="267">
        <f t="shared" si="34"/>
        <v>46265</v>
      </c>
      <c r="B107" s="269">
        <f t="shared" si="37"/>
        <v>4437012.8249999993</v>
      </c>
      <c r="C107" s="269">
        <f t="shared" si="37"/>
        <v>4437012.8249999993</v>
      </c>
      <c r="D107" s="269">
        <f t="shared" si="38"/>
        <v>16490.897666249995</v>
      </c>
      <c r="E107" s="269"/>
      <c r="F107" s="269">
        <f t="shared" si="39"/>
        <v>-4371049.2343350025</v>
      </c>
      <c r="G107" s="269">
        <f t="shared" si="39"/>
        <v>-4437012.8249999993</v>
      </c>
      <c r="H107" s="269">
        <f t="shared" si="36"/>
        <v>65963.590664996766</v>
      </c>
      <c r="I107" s="269">
        <f t="shared" si="36"/>
        <v>0</v>
      </c>
      <c r="J107" s="269">
        <f t="shared" si="31"/>
        <v>-65963.590664996766</v>
      </c>
      <c r="K107" s="269">
        <f t="shared" si="29"/>
        <v>13852.354039649321</v>
      </c>
      <c r="L107" s="269">
        <f t="shared" si="32"/>
        <v>3463.0885099125753</v>
      </c>
      <c r="M107" s="270">
        <f t="shared" si="33"/>
        <v>13852.354039649321</v>
      </c>
      <c r="N107" s="21"/>
      <c r="O107" s="271"/>
      <c r="P107" s="271"/>
      <c r="Q107" s="271"/>
      <c r="R107" s="271"/>
      <c r="S107" s="271"/>
      <c r="T107" s="271"/>
    </row>
    <row r="108" spans="1:20" s="230" customFormat="1" ht="15">
      <c r="A108" s="267">
        <f t="shared" si="34"/>
        <v>46295</v>
      </c>
      <c r="B108" s="269">
        <f t="shared" si="37"/>
        <v>4437012.8249999993</v>
      </c>
      <c r="C108" s="269">
        <f t="shared" si="37"/>
        <v>4437012.8249999993</v>
      </c>
      <c r="D108" s="269">
        <f t="shared" si="38"/>
        <v>16490.897666249995</v>
      </c>
      <c r="E108" s="269"/>
      <c r="F108" s="269">
        <f t="shared" si="39"/>
        <v>-4387540.1320012528</v>
      </c>
      <c r="G108" s="269">
        <f t="shared" si="39"/>
        <v>-4437012.8249999993</v>
      </c>
      <c r="H108" s="269">
        <f t="shared" si="36"/>
        <v>49472.69299874641</v>
      </c>
      <c r="I108" s="269">
        <f t="shared" si="36"/>
        <v>0</v>
      </c>
      <c r="J108" s="269">
        <f t="shared" si="31"/>
        <v>-49472.69299874641</v>
      </c>
      <c r="K108" s="269">
        <f t="shared" si="29"/>
        <v>10389.265529736746</v>
      </c>
      <c r="L108" s="269">
        <f t="shared" si="32"/>
        <v>3463.0885099125753</v>
      </c>
      <c r="M108" s="270">
        <f t="shared" si="33"/>
        <v>10389.265529736746</v>
      </c>
      <c r="N108" s="21"/>
      <c r="O108" s="271"/>
      <c r="P108" s="271"/>
      <c r="Q108" s="271"/>
      <c r="R108" s="271"/>
      <c r="S108" s="271"/>
      <c r="T108" s="271"/>
    </row>
    <row r="109" spans="1:20" s="230" customFormat="1" ht="15">
      <c r="A109" s="267">
        <f t="shared" si="34"/>
        <v>46326</v>
      </c>
      <c r="B109" s="269">
        <f t="shared" si="37"/>
        <v>4437012.8249999993</v>
      </c>
      <c r="C109" s="269">
        <f t="shared" si="37"/>
        <v>4437012.8249999993</v>
      </c>
      <c r="D109" s="269">
        <f t="shared" si="38"/>
        <v>16490.897666249995</v>
      </c>
      <c r="E109" s="269"/>
      <c r="F109" s="269">
        <f t="shared" si="39"/>
        <v>-4404031.0296675032</v>
      </c>
      <c r="G109" s="269">
        <f t="shared" si="39"/>
        <v>-4437012.8249999993</v>
      </c>
      <c r="H109" s="269">
        <f t="shared" si="36"/>
        <v>32981.795332496054</v>
      </c>
      <c r="I109" s="269">
        <f t="shared" si="36"/>
        <v>0</v>
      </c>
      <c r="J109" s="269">
        <f t="shared" si="31"/>
        <v>-32981.795332496054</v>
      </c>
      <c r="K109" s="269">
        <f t="shared" si="29"/>
        <v>6926.1770198241711</v>
      </c>
      <c r="L109" s="269">
        <f t="shared" si="32"/>
        <v>3463.0885099125744</v>
      </c>
      <c r="M109" s="270">
        <f t="shared" si="33"/>
        <v>6926.1770198241711</v>
      </c>
      <c r="N109" s="97"/>
      <c r="O109" s="271"/>
      <c r="P109" s="271"/>
      <c r="Q109" s="271"/>
      <c r="R109" s="271"/>
      <c r="S109" s="271"/>
      <c r="T109" s="271"/>
    </row>
    <row r="110" spans="1:20" s="230" customFormat="1" ht="15">
      <c r="A110" s="267">
        <f t="shared" si="34"/>
        <v>46356</v>
      </c>
      <c r="B110" s="269">
        <f t="shared" si="37"/>
        <v>4437012.8249999993</v>
      </c>
      <c r="C110" s="269">
        <f t="shared" si="37"/>
        <v>4437012.8249999993</v>
      </c>
      <c r="D110" s="269">
        <f t="shared" si="38"/>
        <v>16490.897666249995</v>
      </c>
      <c r="E110" s="269"/>
      <c r="F110" s="269">
        <f t="shared" si="39"/>
        <v>-4420521.9273337536</v>
      </c>
      <c r="G110" s="269">
        <f t="shared" si="39"/>
        <v>-4437012.8249999993</v>
      </c>
      <c r="H110" s="269">
        <f t="shared" si="36"/>
        <v>16490.897666245699</v>
      </c>
      <c r="I110" s="269">
        <f t="shared" si="36"/>
        <v>0</v>
      </c>
      <c r="J110" s="269">
        <f t="shared" si="31"/>
        <v>-16490.897666245699</v>
      </c>
      <c r="K110" s="269">
        <f t="shared" si="29"/>
        <v>3463.0885099115967</v>
      </c>
      <c r="L110" s="269">
        <f t="shared" si="32"/>
        <v>3463.0885099125744</v>
      </c>
      <c r="M110" s="270">
        <f t="shared" si="33"/>
        <v>3463.0885099115967</v>
      </c>
      <c r="N110" s="97"/>
      <c r="O110" s="271"/>
      <c r="P110" s="271"/>
      <c r="Q110" s="271"/>
      <c r="R110" s="271"/>
      <c r="S110" s="271"/>
      <c r="T110" s="271"/>
    </row>
    <row r="111" spans="1:20" s="230" customFormat="1" ht="15">
      <c r="A111" s="267">
        <f t="shared" si="34"/>
        <v>46387</v>
      </c>
      <c r="B111" s="269">
        <f t="shared" si="37"/>
        <v>4437012.8249999993</v>
      </c>
      <c r="C111" s="269">
        <f t="shared" si="37"/>
        <v>4437012.8249999993</v>
      </c>
      <c r="D111" s="269">
        <f t="shared" si="38"/>
        <v>16490.897666249995</v>
      </c>
      <c r="E111" s="269"/>
      <c r="F111" s="269">
        <f t="shared" si="39"/>
        <v>-4437012.8250000039</v>
      </c>
      <c r="G111" s="269">
        <f t="shared" si="39"/>
        <v>-4437012.8249999993</v>
      </c>
      <c r="H111" s="269">
        <f t="shared" si="36"/>
        <v>0</v>
      </c>
      <c r="I111" s="269">
        <f t="shared" si="36"/>
        <v>0</v>
      </c>
      <c r="J111" s="269">
        <f t="shared" si="31"/>
        <v>0</v>
      </c>
      <c r="K111" s="269">
        <f t="shared" si="29"/>
        <v>0</v>
      </c>
      <c r="L111" s="269">
        <f t="shared" si="32"/>
        <v>3463.0885099115967</v>
      </c>
      <c r="M111" s="270">
        <f t="shared" si="33"/>
        <v>0</v>
      </c>
      <c r="N111" s="97"/>
      <c r="O111" s="271"/>
      <c r="P111" s="271"/>
      <c r="Q111" s="271"/>
      <c r="R111" s="271"/>
      <c r="S111" s="271"/>
      <c r="T111" s="271"/>
    </row>
    <row r="112" spans="1:20" s="230" customFormat="1" ht="15">
      <c r="A112" s="267">
        <f t="shared" si="34"/>
        <v>46418</v>
      </c>
      <c r="B112" s="269">
        <f t="shared" ref="B112:C127" si="40">B111</f>
        <v>4437012.8249999993</v>
      </c>
      <c r="C112" s="269">
        <f t="shared" si="40"/>
        <v>4437012.8249999993</v>
      </c>
      <c r="D112" s="269"/>
      <c r="E112" s="269"/>
      <c r="F112" s="269">
        <f t="shared" si="39"/>
        <v>-4437012.8250000039</v>
      </c>
      <c r="G112" s="269">
        <f t="shared" si="39"/>
        <v>-4437012.8249999993</v>
      </c>
      <c r="H112" s="269">
        <f t="shared" si="36"/>
        <v>0</v>
      </c>
      <c r="I112" s="269">
        <f t="shared" si="36"/>
        <v>0</v>
      </c>
      <c r="J112" s="269">
        <f t="shared" si="31"/>
        <v>0</v>
      </c>
      <c r="K112" s="269">
        <f t="shared" si="29"/>
        <v>0</v>
      </c>
      <c r="L112" s="269">
        <f t="shared" si="32"/>
        <v>0</v>
      </c>
      <c r="M112" s="270">
        <f t="shared" si="33"/>
        <v>0</v>
      </c>
      <c r="N112" s="97"/>
      <c r="O112" s="271"/>
      <c r="P112" s="271"/>
      <c r="Q112" s="271"/>
      <c r="R112" s="271"/>
      <c r="S112" s="271"/>
      <c r="T112" s="271"/>
    </row>
    <row r="113" spans="1:20" s="230" customFormat="1" ht="15">
      <c r="A113" s="267">
        <f t="shared" si="34"/>
        <v>46446</v>
      </c>
      <c r="B113" s="269">
        <f t="shared" si="40"/>
        <v>4437012.8249999993</v>
      </c>
      <c r="C113" s="269">
        <f t="shared" si="40"/>
        <v>4437012.8249999993</v>
      </c>
      <c r="D113" s="269"/>
      <c r="E113" s="269"/>
      <c r="F113" s="269">
        <f t="shared" si="39"/>
        <v>-4437012.8250000039</v>
      </c>
      <c r="G113" s="269">
        <f t="shared" si="39"/>
        <v>-4437012.8249999993</v>
      </c>
      <c r="H113" s="269">
        <f t="shared" si="36"/>
        <v>0</v>
      </c>
      <c r="I113" s="269">
        <f t="shared" si="36"/>
        <v>0</v>
      </c>
      <c r="J113" s="269">
        <f t="shared" si="31"/>
        <v>0</v>
      </c>
      <c r="K113" s="269">
        <f t="shared" si="29"/>
        <v>0</v>
      </c>
      <c r="L113" s="269">
        <f t="shared" si="32"/>
        <v>0</v>
      </c>
      <c r="M113" s="270">
        <f t="shared" si="33"/>
        <v>0</v>
      </c>
      <c r="N113" s="97"/>
      <c r="O113" s="271"/>
      <c r="P113" s="271"/>
      <c r="Q113" s="271"/>
      <c r="R113" s="271"/>
      <c r="S113" s="271"/>
      <c r="T113" s="271"/>
    </row>
    <row r="114" spans="1:20" s="230" customFormat="1" ht="15">
      <c r="A114" s="267">
        <f t="shared" si="34"/>
        <v>46477</v>
      </c>
      <c r="B114" s="269">
        <f t="shared" si="40"/>
        <v>4437012.8249999993</v>
      </c>
      <c r="C114" s="269">
        <f t="shared" si="40"/>
        <v>4437012.8249999993</v>
      </c>
      <c r="D114" s="269"/>
      <c r="E114" s="269"/>
      <c r="F114" s="269">
        <f t="shared" si="39"/>
        <v>-4437012.8250000039</v>
      </c>
      <c r="G114" s="269">
        <f t="shared" si="39"/>
        <v>-4437012.8249999993</v>
      </c>
      <c r="H114" s="269">
        <f t="shared" si="36"/>
        <v>0</v>
      </c>
      <c r="I114" s="269">
        <f t="shared" si="36"/>
        <v>0</v>
      </c>
      <c r="J114" s="269">
        <f t="shared" si="31"/>
        <v>0</v>
      </c>
      <c r="K114" s="269">
        <f t="shared" si="29"/>
        <v>0</v>
      </c>
      <c r="L114" s="269">
        <f t="shared" si="32"/>
        <v>0</v>
      </c>
      <c r="M114" s="270">
        <f t="shared" si="33"/>
        <v>0</v>
      </c>
      <c r="N114" s="97"/>
      <c r="O114" s="271"/>
      <c r="P114" s="271"/>
      <c r="Q114" s="271"/>
      <c r="R114" s="271"/>
      <c r="S114" s="271"/>
      <c r="T114" s="271"/>
    </row>
    <row r="115" spans="1:20" s="230" customFormat="1" ht="15">
      <c r="A115" s="267">
        <f t="shared" si="34"/>
        <v>46507</v>
      </c>
      <c r="B115" s="269">
        <f t="shared" si="40"/>
        <v>4437012.8249999993</v>
      </c>
      <c r="C115" s="269">
        <f t="shared" si="40"/>
        <v>4437012.8249999993</v>
      </c>
      <c r="D115" s="269"/>
      <c r="E115" s="269"/>
      <c r="F115" s="269">
        <f t="shared" si="39"/>
        <v>-4437012.8250000039</v>
      </c>
      <c r="G115" s="269">
        <f t="shared" si="39"/>
        <v>-4437012.8249999993</v>
      </c>
      <c r="H115" s="269">
        <f t="shared" si="36"/>
        <v>0</v>
      </c>
      <c r="I115" s="269">
        <f t="shared" si="36"/>
        <v>0</v>
      </c>
      <c r="J115" s="269">
        <f t="shared" si="31"/>
        <v>0</v>
      </c>
      <c r="K115" s="269">
        <f t="shared" si="29"/>
        <v>0</v>
      </c>
      <c r="L115" s="269">
        <f t="shared" si="32"/>
        <v>0</v>
      </c>
      <c r="M115" s="270">
        <f t="shared" si="33"/>
        <v>0</v>
      </c>
      <c r="N115" s="97"/>
      <c r="O115" s="271"/>
      <c r="P115" s="271"/>
      <c r="Q115" s="271"/>
      <c r="R115" s="271"/>
      <c r="S115" s="271"/>
      <c r="T115" s="271"/>
    </row>
    <row r="116" spans="1:20" s="230" customFormat="1" ht="15">
      <c r="A116" s="267">
        <f t="shared" si="34"/>
        <v>46538</v>
      </c>
      <c r="B116" s="269">
        <f t="shared" si="40"/>
        <v>4437012.8249999993</v>
      </c>
      <c r="C116" s="269">
        <f t="shared" si="40"/>
        <v>4437012.8249999993</v>
      </c>
      <c r="D116" s="269"/>
      <c r="E116" s="269"/>
      <c r="F116" s="269">
        <f t="shared" si="39"/>
        <v>-4437012.8250000039</v>
      </c>
      <c r="G116" s="269">
        <f t="shared" si="39"/>
        <v>-4437012.8249999993</v>
      </c>
      <c r="H116" s="269">
        <f t="shared" si="36"/>
        <v>0</v>
      </c>
      <c r="I116" s="269">
        <f t="shared" si="36"/>
        <v>0</v>
      </c>
      <c r="J116" s="269">
        <f t="shared" si="31"/>
        <v>0</v>
      </c>
      <c r="K116" s="269">
        <f t="shared" ref="K116:K147" si="41">-J116*$K$15</f>
        <v>0</v>
      </c>
      <c r="L116" s="269">
        <f t="shared" si="32"/>
        <v>0</v>
      </c>
      <c r="M116" s="270">
        <f t="shared" si="33"/>
        <v>0</v>
      </c>
      <c r="N116" s="97"/>
      <c r="O116" s="271"/>
      <c r="P116" s="271"/>
      <c r="Q116" s="271"/>
      <c r="R116" s="271"/>
      <c r="S116" s="271"/>
      <c r="T116" s="271"/>
    </row>
    <row r="117" spans="1:20" s="230" customFormat="1" ht="15">
      <c r="A117" s="267">
        <f t="shared" si="34"/>
        <v>46568</v>
      </c>
      <c r="B117" s="269">
        <f t="shared" si="40"/>
        <v>4437012.8249999993</v>
      </c>
      <c r="C117" s="269">
        <f t="shared" si="40"/>
        <v>4437012.8249999993</v>
      </c>
      <c r="D117" s="269"/>
      <c r="E117" s="269"/>
      <c r="F117" s="269">
        <f t="shared" ref="F117:G132" si="42">F116-D117</f>
        <v>-4437012.8250000039</v>
      </c>
      <c r="G117" s="269">
        <f t="shared" si="42"/>
        <v>-4437012.8249999993</v>
      </c>
      <c r="H117" s="269">
        <f t="shared" ref="H117:I156" si="43">B117+F117</f>
        <v>0</v>
      </c>
      <c r="I117" s="269">
        <f t="shared" si="43"/>
        <v>0</v>
      </c>
      <c r="J117" s="269">
        <f t="shared" si="31"/>
        <v>0</v>
      </c>
      <c r="K117" s="269">
        <f t="shared" si="41"/>
        <v>0</v>
      </c>
      <c r="L117" s="269">
        <f t="shared" si="32"/>
        <v>0</v>
      </c>
      <c r="M117" s="270">
        <f t="shared" si="33"/>
        <v>0</v>
      </c>
      <c r="N117" s="97"/>
      <c r="O117" s="271"/>
      <c r="P117" s="271"/>
      <c r="Q117" s="271"/>
      <c r="R117" s="271"/>
      <c r="S117" s="271"/>
      <c r="T117" s="271"/>
    </row>
    <row r="118" spans="1:20" s="230" customFormat="1" ht="15">
      <c r="A118" s="267">
        <f t="shared" si="34"/>
        <v>46599</v>
      </c>
      <c r="B118" s="269">
        <f t="shared" si="40"/>
        <v>4437012.8249999993</v>
      </c>
      <c r="C118" s="269">
        <f t="shared" si="40"/>
        <v>4437012.8249999993</v>
      </c>
      <c r="D118" s="269"/>
      <c r="E118" s="269"/>
      <c r="F118" s="269">
        <f t="shared" si="42"/>
        <v>-4437012.8250000039</v>
      </c>
      <c r="G118" s="269">
        <f t="shared" si="42"/>
        <v>-4437012.8249999993</v>
      </c>
      <c r="H118" s="269">
        <f t="shared" si="43"/>
        <v>0</v>
      </c>
      <c r="I118" s="269">
        <f t="shared" si="43"/>
        <v>0</v>
      </c>
      <c r="J118" s="269">
        <f t="shared" si="31"/>
        <v>0</v>
      </c>
      <c r="K118" s="269">
        <f t="shared" si="41"/>
        <v>0</v>
      </c>
      <c r="L118" s="269">
        <f t="shared" si="32"/>
        <v>0</v>
      </c>
      <c r="M118" s="270">
        <f t="shared" si="33"/>
        <v>0</v>
      </c>
      <c r="N118" s="97"/>
      <c r="O118" s="271"/>
      <c r="P118" s="271"/>
      <c r="Q118" s="271"/>
      <c r="R118" s="271"/>
      <c r="S118" s="271"/>
      <c r="T118" s="271"/>
    </row>
    <row r="119" spans="1:20" s="230" customFormat="1" ht="15">
      <c r="A119" s="267">
        <f t="shared" si="34"/>
        <v>46630</v>
      </c>
      <c r="B119" s="269">
        <f t="shared" si="40"/>
        <v>4437012.8249999993</v>
      </c>
      <c r="C119" s="269">
        <f t="shared" si="40"/>
        <v>4437012.8249999993</v>
      </c>
      <c r="D119" s="269"/>
      <c r="E119" s="269"/>
      <c r="F119" s="269">
        <f t="shared" si="42"/>
        <v>-4437012.8250000039</v>
      </c>
      <c r="G119" s="269">
        <f t="shared" si="42"/>
        <v>-4437012.8249999993</v>
      </c>
      <c r="H119" s="269">
        <f t="shared" si="43"/>
        <v>0</v>
      </c>
      <c r="I119" s="269">
        <f t="shared" si="43"/>
        <v>0</v>
      </c>
      <c r="J119" s="269">
        <f t="shared" si="31"/>
        <v>0</v>
      </c>
      <c r="K119" s="269">
        <f t="shared" si="41"/>
        <v>0</v>
      </c>
      <c r="L119" s="269">
        <f t="shared" si="32"/>
        <v>0</v>
      </c>
      <c r="M119" s="270">
        <f t="shared" si="33"/>
        <v>0</v>
      </c>
      <c r="N119" s="97"/>
      <c r="O119" s="271"/>
      <c r="P119" s="271"/>
      <c r="Q119" s="271"/>
      <c r="R119" s="271"/>
      <c r="S119" s="271"/>
      <c r="T119" s="271"/>
    </row>
    <row r="120" spans="1:20" s="230" customFormat="1" ht="15">
      <c r="A120" s="267">
        <f t="shared" si="34"/>
        <v>46660</v>
      </c>
      <c r="B120" s="269">
        <f t="shared" si="40"/>
        <v>4437012.8249999993</v>
      </c>
      <c r="C120" s="269">
        <f t="shared" si="40"/>
        <v>4437012.8249999993</v>
      </c>
      <c r="D120" s="269"/>
      <c r="E120" s="269"/>
      <c r="F120" s="269">
        <f t="shared" si="42"/>
        <v>-4437012.8250000039</v>
      </c>
      <c r="G120" s="269">
        <f t="shared" si="42"/>
        <v>-4437012.8249999993</v>
      </c>
      <c r="H120" s="269">
        <f t="shared" si="43"/>
        <v>0</v>
      </c>
      <c r="I120" s="269">
        <f t="shared" si="43"/>
        <v>0</v>
      </c>
      <c r="J120" s="269">
        <f t="shared" si="31"/>
        <v>0</v>
      </c>
      <c r="K120" s="269">
        <f t="shared" si="41"/>
        <v>0</v>
      </c>
      <c r="L120" s="269">
        <f t="shared" si="32"/>
        <v>0</v>
      </c>
      <c r="M120" s="270">
        <f t="shared" si="33"/>
        <v>0</v>
      </c>
      <c r="N120" s="97"/>
      <c r="O120" s="271"/>
      <c r="P120" s="271"/>
      <c r="Q120" s="271"/>
      <c r="R120" s="271"/>
      <c r="S120" s="271"/>
      <c r="T120" s="271"/>
    </row>
    <row r="121" spans="1:20" s="230" customFormat="1" ht="15">
      <c r="A121" s="267">
        <f t="shared" si="34"/>
        <v>46691</v>
      </c>
      <c r="B121" s="269">
        <f t="shared" si="40"/>
        <v>4437012.8249999993</v>
      </c>
      <c r="C121" s="269">
        <f t="shared" si="40"/>
        <v>4437012.8249999993</v>
      </c>
      <c r="D121" s="269"/>
      <c r="E121" s="269"/>
      <c r="F121" s="269">
        <f t="shared" si="42"/>
        <v>-4437012.8250000039</v>
      </c>
      <c r="G121" s="269">
        <f t="shared" si="42"/>
        <v>-4437012.8249999993</v>
      </c>
      <c r="H121" s="269">
        <f t="shared" si="43"/>
        <v>0</v>
      </c>
      <c r="I121" s="269">
        <f t="shared" si="43"/>
        <v>0</v>
      </c>
      <c r="J121" s="269">
        <f t="shared" si="31"/>
        <v>0</v>
      </c>
      <c r="K121" s="269">
        <f t="shared" si="41"/>
        <v>0</v>
      </c>
      <c r="L121" s="269">
        <f t="shared" si="32"/>
        <v>0</v>
      </c>
      <c r="M121" s="270">
        <f t="shared" si="33"/>
        <v>0</v>
      </c>
      <c r="N121" s="97"/>
      <c r="O121" s="271"/>
      <c r="P121" s="271"/>
      <c r="Q121" s="271"/>
      <c r="R121" s="271"/>
      <c r="S121" s="271"/>
      <c r="T121" s="271"/>
    </row>
    <row r="122" spans="1:20" s="230" customFormat="1" ht="15">
      <c r="A122" s="267">
        <f t="shared" si="34"/>
        <v>46721</v>
      </c>
      <c r="B122" s="269">
        <f t="shared" si="40"/>
        <v>4437012.8249999993</v>
      </c>
      <c r="C122" s="269">
        <f t="shared" si="40"/>
        <v>4437012.8249999993</v>
      </c>
      <c r="D122" s="269"/>
      <c r="E122" s="269"/>
      <c r="F122" s="269">
        <f t="shared" si="42"/>
        <v>-4437012.8250000039</v>
      </c>
      <c r="G122" s="269">
        <f t="shared" si="42"/>
        <v>-4437012.8249999993</v>
      </c>
      <c r="H122" s="269">
        <f t="shared" si="43"/>
        <v>0</v>
      </c>
      <c r="I122" s="269">
        <f t="shared" si="43"/>
        <v>0</v>
      </c>
      <c r="J122" s="269">
        <f t="shared" si="31"/>
        <v>0</v>
      </c>
      <c r="K122" s="269">
        <f t="shared" si="41"/>
        <v>0</v>
      </c>
      <c r="L122" s="269">
        <f t="shared" si="32"/>
        <v>0</v>
      </c>
      <c r="M122" s="270">
        <f t="shared" si="33"/>
        <v>0</v>
      </c>
      <c r="N122" s="97"/>
      <c r="O122" s="271"/>
      <c r="P122" s="271"/>
      <c r="Q122" s="271"/>
      <c r="R122" s="271"/>
      <c r="S122" s="271"/>
      <c r="T122" s="271"/>
    </row>
    <row r="123" spans="1:20" s="230" customFormat="1" ht="15">
      <c r="A123" s="267">
        <f t="shared" si="34"/>
        <v>46752</v>
      </c>
      <c r="B123" s="269">
        <f t="shared" si="40"/>
        <v>4437012.8249999993</v>
      </c>
      <c r="C123" s="269">
        <f t="shared" si="40"/>
        <v>4437012.8249999993</v>
      </c>
      <c r="D123" s="269"/>
      <c r="E123" s="269"/>
      <c r="F123" s="269">
        <f t="shared" si="42"/>
        <v>-4437012.8250000039</v>
      </c>
      <c r="G123" s="269">
        <f t="shared" si="42"/>
        <v>-4437012.8249999993</v>
      </c>
      <c r="H123" s="269">
        <f t="shared" si="43"/>
        <v>0</v>
      </c>
      <c r="I123" s="269">
        <f t="shared" si="43"/>
        <v>0</v>
      </c>
      <c r="J123" s="269">
        <f t="shared" si="31"/>
        <v>0</v>
      </c>
      <c r="K123" s="269">
        <f t="shared" si="41"/>
        <v>0</v>
      </c>
      <c r="L123" s="269">
        <f t="shared" si="32"/>
        <v>0</v>
      </c>
      <c r="M123" s="270">
        <f t="shared" si="33"/>
        <v>0</v>
      </c>
      <c r="N123" s="97"/>
      <c r="O123" s="271"/>
      <c r="P123" s="271"/>
      <c r="Q123" s="271"/>
      <c r="R123" s="271"/>
      <c r="S123" s="271"/>
      <c r="T123" s="271"/>
    </row>
    <row r="124" spans="1:20" s="230" customFormat="1" ht="15">
      <c r="A124" s="267">
        <f t="shared" si="34"/>
        <v>46783</v>
      </c>
      <c r="B124" s="269">
        <f t="shared" si="40"/>
        <v>4437012.8249999993</v>
      </c>
      <c r="C124" s="269">
        <f t="shared" si="40"/>
        <v>4437012.8249999993</v>
      </c>
      <c r="D124" s="269"/>
      <c r="E124" s="269"/>
      <c r="F124" s="269">
        <f t="shared" si="42"/>
        <v>-4437012.8250000039</v>
      </c>
      <c r="G124" s="269">
        <f t="shared" si="42"/>
        <v>-4437012.8249999993</v>
      </c>
      <c r="H124" s="269">
        <f t="shared" si="43"/>
        <v>0</v>
      </c>
      <c r="I124" s="269">
        <f t="shared" si="43"/>
        <v>0</v>
      </c>
      <c r="J124" s="269">
        <f t="shared" si="31"/>
        <v>0</v>
      </c>
      <c r="K124" s="269">
        <f t="shared" si="41"/>
        <v>0</v>
      </c>
      <c r="L124" s="269">
        <f t="shared" si="32"/>
        <v>0</v>
      </c>
      <c r="M124" s="270">
        <f t="shared" si="33"/>
        <v>0</v>
      </c>
      <c r="N124" s="97"/>
      <c r="O124" s="271"/>
      <c r="P124" s="271"/>
      <c r="Q124" s="271"/>
      <c r="R124" s="271"/>
      <c r="S124" s="271"/>
      <c r="T124" s="271"/>
    </row>
    <row r="125" spans="1:20" s="230" customFormat="1" ht="15">
      <c r="A125" s="267">
        <f t="shared" si="34"/>
        <v>46812</v>
      </c>
      <c r="B125" s="269">
        <f t="shared" si="40"/>
        <v>4437012.8249999993</v>
      </c>
      <c r="C125" s="269">
        <f t="shared" si="40"/>
        <v>4437012.8249999993</v>
      </c>
      <c r="D125" s="269"/>
      <c r="E125" s="269"/>
      <c r="F125" s="269">
        <f t="shared" si="42"/>
        <v>-4437012.8250000039</v>
      </c>
      <c r="G125" s="269">
        <f t="shared" si="42"/>
        <v>-4437012.8249999993</v>
      </c>
      <c r="H125" s="269">
        <f t="shared" si="43"/>
        <v>0</v>
      </c>
      <c r="I125" s="269">
        <f t="shared" si="43"/>
        <v>0</v>
      </c>
      <c r="J125" s="269">
        <f t="shared" si="31"/>
        <v>0</v>
      </c>
      <c r="K125" s="269">
        <f t="shared" si="41"/>
        <v>0</v>
      </c>
      <c r="L125" s="269">
        <f t="shared" si="32"/>
        <v>0</v>
      </c>
      <c r="M125" s="270">
        <f t="shared" si="33"/>
        <v>0</v>
      </c>
      <c r="N125" s="97"/>
      <c r="O125" s="271"/>
      <c r="P125" s="271"/>
      <c r="Q125" s="271"/>
      <c r="R125" s="271"/>
      <c r="S125" s="271"/>
      <c r="T125" s="271"/>
    </row>
    <row r="126" spans="1:20" s="230" customFormat="1" ht="15">
      <c r="A126" s="267">
        <f t="shared" si="34"/>
        <v>46843</v>
      </c>
      <c r="B126" s="269">
        <f t="shared" si="40"/>
        <v>4437012.8249999993</v>
      </c>
      <c r="C126" s="269">
        <f t="shared" si="40"/>
        <v>4437012.8249999993</v>
      </c>
      <c r="D126" s="269"/>
      <c r="E126" s="269"/>
      <c r="F126" s="269">
        <f t="shared" si="42"/>
        <v>-4437012.8250000039</v>
      </c>
      <c r="G126" s="269">
        <f t="shared" si="42"/>
        <v>-4437012.8249999993</v>
      </c>
      <c r="H126" s="269">
        <f t="shared" si="43"/>
        <v>0</v>
      </c>
      <c r="I126" s="269">
        <f t="shared" si="43"/>
        <v>0</v>
      </c>
      <c r="J126" s="269">
        <f t="shared" si="31"/>
        <v>0</v>
      </c>
      <c r="K126" s="269">
        <f t="shared" si="41"/>
        <v>0</v>
      </c>
      <c r="L126" s="269">
        <f t="shared" si="32"/>
        <v>0</v>
      </c>
      <c r="M126" s="270">
        <f t="shared" si="33"/>
        <v>0</v>
      </c>
      <c r="N126" s="97"/>
      <c r="O126" s="271"/>
      <c r="P126" s="271"/>
      <c r="Q126" s="271"/>
      <c r="R126" s="271"/>
      <c r="S126" s="271"/>
      <c r="T126" s="271"/>
    </row>
    <row r="127" spans="1:20" s="230" customFormat="1" ht="15">
      <c r="A127" s="267">
        <f t="shared" si="34"/>
        <v>46873</v>
      </c>
      <c r="B127" s="269">
        <f t="shared" si="40"/>
        <v>4437012.8249999993</v>
      </c>
      <c r="C127" s="269">
        <f t="shared" si="40"/>
        <v>4437012.8249999993</v>
      </c>
      <c r="D127" s="269"/>
      <c r="E127" s="269"/>
      <c r="F127" s="269">
        <f t="shared" si="42"/>
        <v>-4437012.8250000039</v>
      </c>
      <c r="G127" s="269">
        <f t="shared" si="42"/>
        <v>-4437012.8249999993</v>
      </c>
      <c r="H127" s="269">
        <f t="shared" si="43"/>
        <v>0</v>
      </c>
      <c r="I127" s="269">
        <f t="shared" si="43"/>
        <v>0</v>
      </c>
      <c r="J127" s="269">
        <f t="shared" si="31"/>
        <v>0</v>
      </c>
      <c r="K127" s="269">
        <f t="shared" si="41"/>
        <v>0</v>
      </c>
      <c r="L127" s="269">
        <f t="shared" si="32"/>
        <v>0</v>
      </c>
      <c r="M127" s="270">
        <f t="shared" si="33"/>
        <v>0</v>
      </c>
      <c r="N127" s="97"/>
      <c r="O127" s="271"/>
      <c r="P127" s="271"/>
      <c r="Q127" s="271"/>
      <c r="R127" s="271"/>
      <c r="S127" s="271"/>
      <c r="T127" s="271"/>
    </row>
    <row r="128" spans="1:20" s="230" customFormat="1" ht="15">
      <c r="A128" s="267">
        <f t="shared" si="34"/>
        <v>46904</v>
      </c>
      <c r="B128" s="269">
        <f t="shared" ref="B128:C143" si="44">B127</f>
        <v>4437012.8249999993</v>
      </c>
      <c r="C128" s="269">
        <f t="shared" si="44"/>
        <v>4437012.8249999993</v>
      </c>
      <c r="D128" s="269"/>
      <c r="E128" s="269"/>
      <c r="F128" s="269">
        <f t="shared" si="42"/>
        <v>-4437012.8250000039</v>
      </c>
      <c r="G128" s="269">
        <f t="shared" si="42"/>
        <v>-4437012.8249999993</v>
      </c>
      <c r="H128" s="269">
        <f t="shared" si="43"/>
        <v>0</v>
      </c>
      <c r="I128" s="269">
        <f t="shared" si="43"/>
        <v>0</v>
      </c>
      <c r="J128" s="269">
        <f t="shared" si="31"/>
        <v>0</v>
      </c>
      <c r="K128" s="269">
        <f t="shared" si="41"/>
        <v>0</v>
      </c>
      <c r="L128" s="269">
        <f t="shared" si="32"/>
        <v>0</v>
      </c>
      <c r="M128" s="270">
        <f t="shared" si="33"/>
        <v>0</v>
      </c>
      <c r="N128" s="97"/>
      <c r="O128" s="271"/>
      <c r="P128" s="271"/>
      <c r="Q128" s="271"/>
      <c r="R128" s="271"/>
      <c r="S128" s="271"/>
      <c r="T128" s="271"/>
    </row>
    <row r="129" spans="1:20" s="230" customFormat="1" ht="15">
      <c r="A129" s="267">
        <f t="shared" si="34"/>
        <v>46934</v>
      </c>
      <c r="B129" s="269">
        <f t="shared" si="44"/>
        <v>4437012.8249999993</v>
      </c>
      <c r="C129" s="269">
        <f t="shared" si="44"/>
        <v>4437012.8249999993</v>
      </c>
      <c r="D129" s="269"/>
      <c r="E129" s="269"/>
      <c r="F129" s="269">
        <f t="shared" si="42"/>
        <v>-4437012.8250000039</v>
      </c>
      <c r="G129" s="269">
        <f t="shared" si="42"/>
        <v>-4437012.8249999993</v>
      </c>
      <c r="H129" s="269">
        <f t="shared" si="43"/>
        <v>0</v>
      </c>
      <c r="I129" s="269">
        <f t="shared" si="43"/>
        <v>0</v>
      </c>
      <c r="J129" s="269">
        <f t="shared" si="31"/>
        <v>0</v>
      </c>
      <c r="K129" s="269">
        <f t="shared" si="41"/>
        <v>0</v>
      </c>
      <c r="L129" s="269">
        <f t="shared" si="32"/>
        <v>0</v>
      </c>
      <c r="M129" s="270">
        <f t="shared" si="33"/>
        <v>0</v>
      </c>
      <c r="N129" s="97"/>
      <c r="O129" s="271"/>
      <c r="P129" s="271"/>
      <c r="Q129" s="271"/>
      <c r="R129" s="271"/>
      <c r="S129" s="271"/>
      <c r="T129" s="271"/>
    </row>
    <row r="130" spans="1:20" s="230" customFormat="1" ht="15">
      <c r="A130" s="267">
        <f t="shared" si="34"/>
        <v>46965</v>
      </c>
      <c r="B130" s="269">
        <f t="shared" si="44"/>
        <v>4437012.8249999993</v>
      </c>
      <c r="C130" s="269">
        <f t="shared" si="44"/>
        <v>4437012.8249999993</v>
      </c>
      <c r="D130" s="269"/>
      <c r="E130" s="269"/>
      <c r="F130" s="269">
        <f t="shared" si="42"/>
        <v>-4437012.8250000039</v>
      </c>
      <c r="G130" s="269">
        <f t="shared" si="42"/>
        <v>-4437012.8249999993</v>
      </c>
      <c r="H130" s="269">
        <f t="shared" si="43"/>
        <v>0</v>
      </c>
      <c r="I130" s="269">
        <f t="shared" si="43"/>
        <v>0</v>
      </c>
      <c r="J130" s="269">
        <f t="shared" si="31"/>
        <v>0</v>
      </c>
      <c r="K130" s="269">
        <f t="shared" si="41"/>
        <v>0</v>
      </c>
      <c r="L130" s="269">
        <f t="shared" si="32"/>
        <v>0</v>
      </c>
      <c r="M130" s="270">
        <f t="shared" si="33"/>
        <v>0</v>
      </c>
      <c r="N130" s="97"/>
      <c r="O130" s="271"/>
      <c r="P130" s="271"/>
      <c r="Q130" s="271"/>
      <c r="R130" s="271"/>
      <c r="S130" s="271"/>
      <c r="T130" s="271"/>
    </row>
    <row r="131" spans="1:20" s="230" customFormat="1" ht="15">
      <c r="A131" s="267">
        <f t="shared" si="34"/>
        <v>46996</v>
      </c>
      <c r="B131" s="269">
        <f t="shared" si="44"/>
        <v>4437012.8249999993</v>
      </c>
      <c r="C131" s="269">
        <f t="shared" si="44"/>
        <v>4437012.8249999993</v>
      </c>
      <c r="D131" s="269"/>
      <c r="E131" s="269"/>
      <c r="F131" s="269">
        <f t="shared" si="42"/>
        <v>-4437012.8250000039</v>
      </c>
      <c r="G131" s="269">
        <f t="shared" si="42"/>
        <v>-4437012.8249999993</v>
      </c>
      <c r="H131" s="269">
        <f t="shared" si="43"/>
        <v>0</v>
      </c>
      <c r="I131" s="269">
        <f t="shared" si="43"/>
        <v>0</v>
      </c>
      <c r="J131" s="269">
        <f t="shared" si="31"/>
        <v>0</v>
      </c>
      <c r="K131" s="269">
        <f t="shared" si="41"/>
        <v>0</v>
      </c>
      <c r="L131" s="269">
        <f t="shared" si="32"/>
        <v>0</v>
      </c>
      <c r="M131" s="270">
        <f t="shared" si="33"/>
        <v>0</v>
      </c>
      <c r="N131" s="97"/>
      <c r="O131" s="271"/>
      <c r="P131" s="271"/>
      <c r="Q131" s="271"/>
      <c r="R131" s="271"/>
      <c r="S131" s="271"/>
      <c r="T131" s="271"/>
    </row>
    <row r="132" spans="1:20" s="230" customFormat="1" ht="15">
      <c r="A132" s="267">
        <f t="shared" si="34"/>
        <v>47026</v>
      </c>
      <c r="B132" s="269">
        <f t="shared" si="44"/>
        <v>4437012.8249999993</v>
      </c>
      <c r="C132" s="269">
        <f t="shared" si="44"/>
        <v>4437012.8249999993</v>
      </c>
      <c r="D132" s="269"/>
      <c r="E132" s="269"/>
      <c r="F132" s="269">
        <f t="shared" si="42"/>
        <v>-4437012.8250000039</v>
      </c>
      <c r="G132" s="269">
        <f t="shared" si="42"/>
        <v>-4437012.8249999993</v>
      </c>
      <c r="H132" s="269">
        <f t="shared" si="43"/>
        <v>0</v>
      </c>
      <c r="I132" s="269">
        <f t="shared" si="43"/>
        <v>0</v>
      </c>
      <c r="J132" s="269">
        <f t="shared" si="31"/>
        <v>0</v>
      </c>
      <c r="K132" s="269">
        <f t="shared" si="41"/>
        <v>0</v>
      </c>
      <c r="L132" s="269">
        <f t="shared" si="32"/>
        <v>0</v>
      </c>
      <c r="M132" s="270">
        <f t="shared" si="33"/>
        <v>0</v>
      </c>
      <c r="N132" s="97"/>
      <c r="O132" s="271"/>
      <c r="P132" s="271"/>
      <c r="Q132" s="271"/>
      <c r="R132" s="271"/>
      <c r="S132" s="271"/>
      <c r="T132" s="271"/>
    </row>
    <row r="133" spans="1:20" s="230" customFormat="1" ht="15">
      <c r="A133" s="267">
        <f t="shared" si="34"/>
        <v>47057</v>
      </c>
      <c r="B133" s="269">
        <f t="shared" si="44"/>
        <v>4437012.8249999993</v>
      </c>
      <c r="C133" s="269">
        <f t="shared" si="44"/>
        <v>4437012.8249999993</v>
      </c>
      <c r="D133" s="269"/>
      <c r="E133" s="269"/>
      <c r="F133" s="269">
        <f t="shared" ref="F133:G148" si="45">F132-D133</f>
        <v>-4437012.8250000039</v>
      </c>
      <c r="G133" s="269">
        <f t="shared" si="45"/>
        <v>-4437012.8249999993</v>
      </c>
      <c r="H133" s="269">
        <f t="shared" si="43"/>
        <v>0</v>
      </c>
      <c r="I133" s="269">
        <f t="shared" si="43"/>
        <v>0</v>
      </c>
      <c r="J133" s="269">
        <f t="shared" si="31"/>
        <v>0</v>
      </c>
      <c r="K133" s="269">
        <f t="shared" si="41"/>
        <v>0</v>
      </c>
      <c r="L133" s="269">
        <f t="shared" si="32"/>
        <v>0</v>
      </c>
      <c r="M133" s="270">
        <f t="shared" si="33"/>
        <v>0</v>
      </c>
      <c r="N133" s="97"/>
      <c r="O133" s="271"/>
      <c r="P133" s="271"/>
      <c r="Q133" s="271"/>
      <c r="R133" s="271"/>
      <c r="S133" s="271"/>
      <c r="T133" s="271"/>
    </row>
    <row r="134" spans="1:20" s="230" customFormat="1" ht="15">
      <c r="A134" s="267">
        <f t="shared" si="34"/>
        <v>47087</v>
      </c>
      <c r="B134" s="269">
        <f t="shared" si="44"/>
        <v>4437012.8249999993</v>
      </c>
      <c r="C134" s="269">
        <f t="shared" si="44"/>
        <v>4437012.8249999993</v>
      </c>
      <c r="D134" s="269"/>
      <c r="E134" s="269"/>
      <c r="F134" s="269">
        <f t="shared" si="45"/>
        <v>-4437012.8250000039</v>
      </c>
      <c r="G134" s="269">
        <f t="shared" si="45"/>
        <v>-4437012.8249999993</v>
      </c>
      <c r="H134" s="269">
        <f t="shared" si="43"/>
        <v>0</v>
      </c>
      <c r="I134" s="269">
        <f t="shared" si="43"/>
        <v>0</v>
      </c>
      <c r="J134" s="269">
        <f t="shared" si="31"/>
        <v>0</v>
      </c>
      <c r="K134" s="269">
        <f t="shared" si="41"/>
        <v>0</v>
      </c>
      <c r="L134" s="269">
        <f t="shared" si="32"/>
        <v>0</v>
      </c>
      <c r="M134" s="270">
        <f t="shared" si="33"/>
        <v>0</v>
      </c>
      <c r="N134" s="97"/>
      <c r="O134" s="271"/>
      <c r="P134" s="271"/>
      <c r="Q134" s="271"/>
      <c r="R134" s="271"/>
      <c r="S134" s="271"/>
      <c r="T134" s="271"/>
    </row>
    <row r="135" spans="1:20" s="230" customFormat="1" ht="15">
      <c r="A135" s="267">
        <f t="shared" si="34"/>
        <v>47118</v>
      </c>
      <c r="B135" s="269">
        <f t="shared" si="44"/>
        <v>4437012.8249999993</v>
      </c>
      <c r="C135" s="269">
        <f t="shared" si="44"/>
        <v>4437012.8249999993</v>
      </c>
      <c r="D135" s="269"/>
      <c r="E135" s="269"/>
      <c r="F135" s="269">
        <f t="shared" si="45"/>
        <v>-4437012.8250000039</v>
      </c>
      <c r="G135" s="269">
        <f t="shared" si="45"/>
        <v>-4437012.8249999993</v>
      </c>
      <c r="H135" s="269">
        <f t="shared" si="43"/>
        <v>0</v>
      </c>
      <c r="I135" s="269">
        <f t="shared" si="43"/>
        <v>0</v>
      </c>
      <c r="J135" s="269">
        <f t="shared" si="31"/>
        <v>0</v>
      </c>
      <c r="K135" s="269">
        <f t="shared" si="41"/>
        <v>0</v>
      </c>
      <c r="L135" s="269">
        <f t="shared" si="32"/>
        <v>0</v>
      </c>
      <c r="M135" s="270">
        <f t="shared" si="33"/>
        <v>0</v>
      </c>
      <c r="N135" s="97"/>
      <c r="O135" s="271"/>
      <c r="P135" s="271"/>
      <c r="Q135" s="271"/>
      <c r="R135" s="271"/>
      <c r="S135" s="271"/>
      <c r="T135" s="271"/>
    </row>
    <row r="136" spans="1:20" s="230" customFormat="1" ht="15">
      <c r="A136" s="267">
        <f t="shared" si="34"/>
        <v>47149</v>
      </c>
      <c r="B136" s="269">
        <f t="shared" si="44"/>
        <v>4437012.8249999993</v>
      </c>
      <c r="C136" s="269">
        <f t="shared" si="44"/>
        <v>4437012.8249999993</v>
      </c>
      <c r="D136" s="269"/>
      <c r="E136" s="269"/>
      <c r="F136" s="269">
        <f t="shared" si="45"/>
        <v>-4437012.8250000039</v>
      </c>
      <c r="G136" s="269">
        <f t="shared" si="45"/>
        <v>-4437012.8249999993</v>
      </c>
      <c r="H136" s="269">
        <f t="shared" si="43"/>
        <v>0</v>
      </c>
      <c r="I136" s="269">
        <f t="shared" si="43"/>
        <v>0</v>
      </c>
      <c r="J136" s="269">
        <f t="shared" si="31"/>
        <v>0</v>
      </c>
      <c r="K136" s="269">
        <f t="shared" si="41"/>
        <v>0</v>
      </c>
      <c r="L136" s="269">
        <f t="shared" si="32"/>
        <v>0</v>
      </c>
      <c r="M136" s="270">
        <f t="shared" si="33"/>
        <v>0</v>
      </c>
      <c r="N136" s="97"/>
      <c r="O136" s="271"/>
      <c r="P136" s="271"/>
      <c r="Q136" s="271"/>
      <c r="R136" s="271"/>
      <c r="S136" s="271"/>
      <c r="T136" s="271"/>
    </row>
    <row r="137" spans="1:20" s="230" customFormat="1" ht="15">
      <c r="A137" s="267">
        <f t="shared" si="34"/>
        <v>47177</v>
      </c>
      <c r="B137" s="269">
        <f t="shared" si="44"/>
        <v>4437012.8249999993</v>
      </c>
      <c r="C137" s="269">
        <f t="shared" si="44"/>
        <v>4437012.8249999993</v>
      </c>
      <c r="D137" s="269"/>
      <c r="E137" s="269"/>
      <c r="F137" s="269">
        <f t="shared" si="45"/>
        <v>-4437012.8250000039</v>
      </c>
      <c r="G137" s="269">
        <f t="shared" si="45"/>
        <v>-4437012.8249999993</v>
      </c>
      <c r="H137" s="269">
        <f t="shared" si="43"/>
        <v>0</v>
      </c>
      <c r="I137" s="269">
        <f t="shared" si="43"/>
        <v>0</v>
      </c>
      <c r="J137" s="269">
        <f t="shared" si="31"/>
        <v>0</v>
      </c>
      <c r="K137" s="269">
        <f t="shared" si="41"/>
        <v>0</v>
      </c>
      <c r="L137" s="269">
        <f t="shared" si="32"/>
        <v>0</v>
      </c>
      <c r="M137" s="270">
        <f t="shared" si="33"/>
        <v>0</v>
      </c>
      <c r="N137" s="97"/>
      <c r="O137" s="271"/>
      <c r="P137" s="271"/>
      <c r="Q137" s="271"/>
      <c r="R137" s="271"/>
      <c r="S137" s="271"/>
      <c r="T137" s="271"/>
    </row>
    <row r="138" spans="1:20" s="230" customFormat="1" ht="15">
      <c r="A138" s="267">
        <f t="shared" si="34"/>
        <v>47208</v>
      </c>
      <c r="B138" s="269">
        <f t="shared" si="44"/>
        <v>4437012.8249999993</v>
      </c>
      <c r="C138" s="269">
        <f t="shared" si="44"/>
        <v>4437012.8249999993</v>
      </c>
      <c r="D138" s="269"/>
      <c r="E138" s="269"/>
      <c r="F138" s="269">
        <f t="shared" si="45"/>
        <v>-4437012.8250000039</v>
      </c>
      <c r="G138" s="269">
        <f t="shared" si="45"/>
        <v>-4437012.8249999993</v>
      </c>
      <c r="H138" s="269">
        <f t="shared" si="43"/>
        <v>0</v>
      </c>
      <c r="I138" s="269">
        <f t="shared" si="43"/>
        <v>0</v>
      </c>
      <c r="J138" s="269">
        <f t="shared" si="31"/>
        <v>0</v>
      </c>
      <c r="K138" s="269">
        <f t="shared" si="41"/>
        <v>0</v>
      </c>
      <c r="L138" s="269">
        <f t="shared" si="32"/>
        <v>0</v>
      </c>
      <c r="M138" s="270">
        <f t="shared" si="33"/>
        <v>0</v>
      </c>
      <c r="N138" s="97"/>
      <c r="O138" s="271"/>
      <c r="P138" s="271"/>
      <c r="Q138" s="271"/>
      <c r="R138" s="271"/>
      <c r="S138" s="271"/>
      <c r="T138" s="271"/>
    </row>
    <row r="139" spans="1:20" s="230" customFormat="1" ht="15">
      <c r="A139" s="267">
        <f t="shared" si="34"/>
        <v>47238</v>
      </c>
      <c r="B139" s="269">
        <f t="shared" si="44"/>
        <v>4437012.8249999993</v>
      </c>
      <c r="C139" s="269">
        <f t="shared" si="44"/>
        <v>4437012.8249999993</v>
      </c>
      <c r="D139" s="269"/>
      <c r="E139" s="269"/>
      <c r="F139" s="269">
        <f t="shared" si="45"/>
        <v>-4437012.8250000039</v>
      </c>
      <c r="G139" s="269">
        <f t="shared" si="45"/>
        <v>-4437012.8249999993</v>
      </c>
      <c r="H139" s="269">
        <f t="shared" si="43"/>
        <v>0</v>
      </c>
      <c r="I139" s="269">
        <f t="shared" si="43"/>
        <v>0</v>
      </c>
      <c r="J139" s="269">
        <f t="shared" si="31"/>
        <v>0</v>
      </c>
      <c r="K139" s="269">
        <f t="shared" si="41"/>
        <v>0</v>
      </c>
      <c r="L139" s="269">
        <f t="shared" si="32"/>
        <v>0</v>
      </c>
      <c r="M139" s="270">
        <f t="shared" si="33"/>
        <v>0</v>
      </c>
      <c r="N139" s="97"/>
      <c r="O139" s="271"/>
      <c r="P139" s="271"/>
      <c r="Q139" s="271"/>
      <c r="R139" s="271"/>
      <c r="S139" s="271"/>
      <c r="T139" s="271"/>
    </row>
    <row r="140" spans="1:20" s="230" customFormat="1" ht="15">
      <c r="A140" s="267">
        <f t="shared" si="34"/>
        <v>47269</v>
      </c>
      <c r="B140" s="269">
        <f t="shared" si="44"/>
        <v>4437012.8249999993</v>
      </c>
      <c r="C140" s="269">
        <f t="shared" si="44"/>
        <v>4437012.8249999993</v>
      </c>
      <c r="D140" s="269"/>
      <c r="E140" s="269"/>
      <c r="F140" s="269">
        <f t="shared" si="45"/>
        <v>-4437012.8250000039</v>
      </c>
      <c r="G140" s="269">
        <f t="shared" si="45"/>
        <v>-4437012.8249999993</v>
      </c>
      <c r="H140" s="269">
        <f t="shared" si="43"/>
        <v>0</v>
      </c>
      <c r="I140" s="269">
        <f t="shared" si="43"/>
        <v>0</v>
      </c>
      <c r="J140" s="269">
        <f t="shared" si="31"/>
        <v>0</v>
      </c>
      <c r="K140" s="269">
        <f t="shared" si="41"/>
        <v>0</v>
      </c>
      <c r="L140" s="269">
        <f t="shared" si="32"/>
        <v>0</v>
      </c>
      <c r="M140" s="270">
        <f t="shared" si="33"/>
        <v>0</v>
      </c>
      <c r="N140" s="97"/>
      <c r="O140" s="271"/>
      <c r="P140" s="271"/>
      <c r="Q140" s="271"/>
      <c r="R140" s="271"/>
      <c r="S140" s="271"/>
      <c r="T140" s="271"/>
    </row>
    <row r="141" spans="1:20" s="230" customFormat="1" ht="15">
      <c r="A141" s="267">
        <f t="shared" si="34"/>
        <v>47299</v>
      </c>
      <c r="B141" s="269">
        <f t="shared" si="44"/>
        <v>4437012.8249999993</v>
      </c>
      <c r="C141" s="269">
        <f t="shared" si="44"/>
        <v>4437012.8249999993</v>
      </c>
      <c r="D141" s="269"/>
      <c r="E141" s="269"/>
      <c r="F141" s="269">
        <f t="shared" si="45"/>
        <v>-4437012.8250000039</v>
      </c>
      <c r="G141" s="269">
        <f t="shared" si="45"/>
        <v>-4437012.8249999993</v>
      </c>
      <c r="H141" s="269">
        <f t="shared" si="43"/>
        <v>0</v>
      </c>
      <c r="I141" s="269">
        <f t="shared" si="43"/>
        <v>0</v>
      </c>
      <c r="J141" s="269">
        <f t="shared" si="31"/>
        <v>0</v>
      </c>
      <c r="K141" s="269">
        <f t="shared" si="41"/>
        <v>0</v>
      </c>
      <c r="L141" s="269">
        <f t="shared" si="32"/>
        <v>0</v>
      </c>
      <c r="M141" s="270">
        <f t="shared" si="33"/>
        <v>0</v>
      </c>
      <c r="N141" s="97"/>
      <c r="O141" s="271"/>
      <c r="P141" s="271"/>
      <c r="Q141" s="271"/>
      <c r="R141" s="271"/>
      <c r="S141" s="271"/>
      <c r="T141" s="271"/>
    </row>
    <row r="142" spans="1:20" s="230" customFormat="1" ht="15">
      <c r="A142" s="267">
        <f t="shared" si="34"/>
        <v>47330</v>
      </c>
      <c r="B142" s="269">
        <f t="shared" si="44"/>
        <v>4437012.8249999993</v>
      </c>
      <c r="C142" s="269">
        <f t="shared" si="44"/>
        <v>4437012.8249999993</v>
      </c>
      <c r="D142" s="269"/>
      <c r="E142" s="269"/>
      <c r="F142" s="269">
        <f t="shared" si="45"/>
        <v>-4437012.8250000039</v>
      </c>
      <c r="G142" s="269">
        <f t="shared" si="45"/>
        <v>-4437012.8249999993</v>
      </c>
      <c r="H142" s="269">
        <f t="shared" si="43"/>
        <v>0</v>
      </c>
      <c r="I142" s="269">
        <f t="shared" si="43"/>
        <v>0</v>
      </c>
      <c r="J142" s="269">
        <f t="shared" si="31"/>
        <v>0</v>
      </c>
      <c r="K142" s="269">
        <f t="shared" si="41"/>
        <v>0</v>
      </c>
      <c r="L142" s="269">
        <f t="shared" si="32"/>
        <v>0</v>
      </c>
      <c r="M142" s="270">
        <f t="shared" si="33"/>
        <v>0</v>
      </c>
      <c r="N142" s="97"/>
      <c r="O142" s="271"/>
      <c r="P142" s="271"/>
      <c r="Q142" s="271"/>
      <c r="R142" s="271"/>
      <c r="S142" s="271"/>
      <c r="T142" s="271"/>
    </row>
    <row r="143" spans="1:20" s="230" customFormat="1" ht="15">
      <c r="A143" s="267">
        <f t="shared" si="34"/>
        <v>47361</v>
      </c>
      <c r="B143" s="269">
        <f t="shared" si="44"/>
        <v>4437012.8249999993</v>
      </c>
      <c r="C143" s="269">
        <f t="shared" si="44"/>
        <v>4437012.8249999993</v>
      </c>
      <c r="D143" s="269"/>
      <c r="E143" s="269"/>
      <c r="F143" s="269">
        <f t="shared" si="45"/>
        <v>-4437012.8250000039</v>
      </c>
      <c r="G143" s="269">
        <f t="shared" si="45"/>
        <v>-4437012.8249999993</v>
      </c>
      <c r="H143" s="269">
        <f t="shared" si="43"/>
        <v>0</v>
      </c>
      <c r="I143" s="269">
        <f t="shared" si="43"/>
        <v>0</v>
      </c>
      <c r="J143" s="269">
        <f t="shared" si="31"/>
        <v>0</v>
      </c>
      <c r="K143" s="269">
        <f t="shared" si="41"/>
        <v>0</v>
      </c>
      <c r="L143" s="269">
        <f t="shared" si="32"/>
        <v>0</v>
      </c>
      <c r="M143" s="270">
        <f t="shared" si="33"/>
        <v>0</v>
      </c>
      <c r="N143" s="97"/>
      <c r="O143" s="271"/>
      <c r="P143" s="271"/>
      <c r="Q143" s="271"/>
      <c r="R143" s="271"/>
      <c r="S143" s="271"/>
      <c r="T143" s="271"/>
    </row>
    <row r="144" spans="1:20" s="230" customFormat="1" ht="15">
      <c r="A144" s="267">
        <f t="shared" si="34"/>
        <v>47391</v>
      </c>
      <c r="B144" s="269">
        <f t="shared" ref="B144:C159" si="46">B143</f>
        <v>4437012.8249999993</v>
      </c>
      <c r="C144" s="269">
        <f t="shared" si="46"/>
        <v>4437012.8249999993</v>
      </c>
      <c r="D144" s="269"/>
      <c r="E144" s="269"/>
      <c r="F144" s="269">
        <f t="shared" si="45"/>
        <v>-4437012.8250000039</v>
      </c>
      <c r="G144" s="269">
        <f t="shared" si="45"/>
        <v>-4437012.8249999993</v>
      </c>
      <c r="H144" s="269">
        <f t="shared" si="43"/>
        <v>0</v>
      </c>
      <c r="I144" s="269">
        <f t="shared" si="43"/>
        <v>0</v>
      </c>
      <c r="J144" s="269">
        <f t="shared" si="31"/>
        <v>0</v>
      </c>
      <c r="K144" s="269">
        <f t="shared" si="41"/>
        <v>0</v>
      </c>
      <c r="L144" s="269">
        <f t="shared" si="32"/>
        <v>0</v>
      </c>
      <c r="M144" s="270">
        <f t="shared" si="33"/>
        <v>0</v>
      </c>
      <c r="N144" s="97"/>
      <c r="O144" s="271"/>
      <c r="P144" s="271"/>
      <c r="Q144" s="271"/>
      <c r="R144" s="271"/>
      <c r="S144" s="271"/>
      <c r="T144" s="271"/>
    </row>
    <row r="145" spans="1:20" s="230" customFormat="1" ht="15">
      <c r="A145" s="267">
        <f t="shared" si="34"/>
        <v>47422</v>
      </c>
      <c r="B145" s="269">
        <f t="shared" si="46"/>
        <v>4437012.8249999993</v>
      </c>
      <c r="C145" s="269">
        <f t="shared" si="46"/>
        <v>4437012.8249999993</v>
      </c>
      <c r="D145" s="269"/>
      <c r="E145" s="269"/>
      <c r="F145" s="269">
        <f t="shared" si="45"/>
        <v>-4437012.8250000039</v>
      </c>
      <c r="G145" s="269">
        <f t="shared" si="45"/>
        <v>-4437012.8249999993</v>
      </c>
      <c r="H145" s="269">
        <f t="shared" si="43"/>
        <v>0</v>
      </c>
      <c r="I145" s="269">
        <f t="shared" si="43"/>
        <v>0</v>
      </c>
      <c r="J145" s="269">
        <f t="shared" si="31"/>
        <v>0</v>
      </c>
      <c r="K145" s="269">
        <f t="shared" si="41"/>
        <v>0</v>
      </c>
      <c r="L145" s="269">
        <f t="shared" si="32"/>
        <v>0</v>
      </c>
      <c r="M145" s="270">
        <f t="shared" si="33"/>
        <v>0</v>
      </c>
      <c r="N145" s="97"/>
      <c r="O145" s="271"/>
      <c r="P145" s="271"/>
      <c r="Q145" s="271"/>
      <c r="R145" s="271"/>
      <c r="S145" s="271"/>
      <c r="T145" s="271"/>
    </row>
    <row r="146" spans="1:20" s="230" customFormat="1" ht="15">
      <c r="A146" s="267">
        <f t="shared" si="34"/>
        <v>47452</v>
      </c>
      <c r="B146" s="269">
        <f t="shared" si="46"/>
        <v>4437012.8249999993</v>
      </c>
      <c r="C146" s="269">
        <f t="shared" si="46"/>
        <v>4437012.8249999993</v>
      </c>
      <c r="D146" s="269"/>
      <c r="E146" s="269"/>
      <c r="F146" s="269">
        <f t="shared" si="45"/>
        <v>-4437012.8250000039</v>
      </c>
      <c r="G146" s="269">
        <f t="shared" si="45"/>
        <v>-4437012.8249999993</v>
      </c>
      <c r="H146" s="269">
        <f t="shared" si="43"/>
        <v>0</v>
      </c>
      <c r="I146" s="269">
        <f t="shared" si="43"/>
        <v>0</v>
      </c>
      <c r="J146" s="269">
        <f t="shared" si="31"/>
        <v>0</v>
      </c>
      <c r="K146" s="269">
        <f t="shared" si="41"/>
        <v>0</v>
      </c>
      <c r="L146" s="269">
        <f t="shared" si="32"/>
        <v>0</v>
      </c>
      <c r="M146" s="270">
        <f t="shared" si="33"/>
        <v>0</v>
      </c>
      <c r="N146" s="97"/>
      <c r="O146" s="271"/>
      <c r="P146" s="271"/>
      <c r="Q146" s="271"/>
      <c r="R146" s="271"/>
      <c r="S146" s="271"/>
      <c r="T146" s="271"/>
    </row>
    <row r="147" spans="1:20" s="230" customFormat="1" ht="15">
      <c r="A147" s="267">
        <f t="shared" si="34"/>
        <v>47483</v>
      </c>
      <c r="B147" s="269">
        <f t="shared" si="46"/>
        <v>4437012.8249999993</v>
      </c>
      <c r="C147" s="269">
        <f t="shared" si="46"/>
        <v>4437012.8249999993</v>
      </c>
      <c r="D147" s="269"/>
      <c r="E147" s="269"/>
      <c r="F147" s="269">
        <f t="shared" si="45"/>
        <v>-4437012.8250000039</v>
      </c>
      <c r="G147" s="269">
        <f t="shared" si="45"/>
        <v>-4437012.8249999993</v>
      </c>
      <c r="H147" s="269">
        <f t="shared" si="43"/>
        <v>0</v>
      </c>
      <c r="I147" s="269">
        <f t="shared" si="43"/>
        <v>0</v>
      </c>
      <c r="J147" s="269">
        <f t="shared" si="31"/>
        <v>0</v>
      </c>
      <c r="K147" s="269">
        <f t="shared" si="41"/>
        <v>0</v>
      </c>
      <c r="L147" s="269">
        <f t="shared" si="32"/>
        <v>0</v>
      </c>
      <c r="M147" s="270">
        <f t="shared" si="33"/>
        <v>0</v>
      </c>
      <c r="N147" s="97"/>
      <c r="O147" s="271"/>
      <c r="P147" s="271"/>
      <c r="Q147" s="271"/>
      <c r="R147" s="271"/>
      <c r="S147" s="271"/>
      <c r="T147" s="271"/>
    </row>
    <row r="148" spans="1:20" s="230" customFormat="1" ht="15">
      <c r="A148" s="267">
        <f t="shared" si="34"/>
        <v>47514</v>
      </c>
      <c r="B148" s="269">
        <f t="shared" si="46"/>
        <v>4437012.8249999993</v>
      </c>
      <c r="C148" s="269">
        <f t="shared" si="46"/>
        <v>4437012.8249999993</v>
      </c>
      <c r="D148" s="269"/>
      <c r="E148" s="269"/>
      <c r="F148" s="269">
        <f t="shared" si="45"/>
        <v>-4437012.8250000039</v>
      </c>
      <c r="G148" s="269">
        <f t="shared" si="45"/>
        <v>-4437012.8249999993</v>
      </c>
      <c r="H148" s="269">
        <f t="shared" si="43"/>
        <v>0</v>
      </c>
      <c r="I148" s="269">
        <f t="shared" si="43"/>
        <v>0</v>
      </c>
      <c r="J148" s="269">
        <f t="shared" si="31"/>
        <v>0</v>
      </c>
      <c r="K148" s="269">
        <f t="shared" ref="K148:K179" si="47">-J148*$K$15</f>
        <v>0</v>
      </c>
      <c r="L148" s="269">
        <f t="shared" si="32"/>
        <v>0</v>
      </c>
      <c r="M148" s="270">
        <f t="shared" si="33"/>
        <v>0</v>
      </c>
      <c r="N148" s="97"/>
      <c r="O148" s="271"/>
      <c r="P148" s="271"/>
      <c r="Q148" s="271"/>
      <c r="R148" s="271"/>
      <c r="S148" s="271"/>
      <c r="T148" s="271"/>
    </row>
    <row r="149" spans="1:20" s="230" customFormat="1" ht="15">
      <c r="A149" s="267">
        <f t="shared" si="34"/>
        <v>47542</v>
      </c>
      <c r="B149" s="269">
        <f t="shared" si="46"/>
        <v>4437012.8249999993</v>
      </c>
      <c r="C149" s="269">
        <f t="shared" si="46"/>
        <v>4437012.8249999993</v>
      </c>
      <c r="D149" s="269"/>
      <c r="E149" s="269"/>
      <c r="F149" s="269">
        <f t="shared" ref="F149:G164" si="48">F148-D149</f>
        <v>-4437012.8250000039</v>
      </c>
      <c r="G149" s="269">
        <f t="shared" si="48"/>
        <v>-4437012.8249999993</v>
      </c>
      <c r="H149" s="269">
        <f t="shared" si="43"/>
        <v>0</v>
      </c>
      <c r="I149" s="269">
        <f t="shared" si="43"/>
        <v>0</v>
      </c>
      <c r="J149" s="269">
        <f t="shared" ref="J149:J186" si="49">I149-H149</f>
        <v>0</v>
      </c>
      <c r="K149" s="269">
        <f t="shared" si="47"/>
        <v>0</v>
      </c>
      <c r="L149" s="269">
        <f t="shared" ref="L149:L186" si="50">-K149+K148</f>
        <v>0</v>
      </c>
      <c r="M149" s="270">
        <f t="shared" ref="M149:M187" si="51">I149+K149</f>
        <v>0</v>
      </c>
      <c r="N149" s="97"/>
      <c r="O149" s="271"/>
      <c r="P149" s="271"/>
      <c r="Q149" s="271"/>
      <c r="R149" s="271"/>
      <c r="S149" s="271"/>
      <c r="T149" s="271"/>
    </row>
    <row r="150" spans="1:20" s="230" customFormat="1" ht="15">
      <c r="A150" s="267">
        <f t="shared" ref="A150:A186" si="52">EOMONTH(A149,1)</f>
        <v>47573</v>
      </c>
      <c r="B150" s="269">
        <f t="shared" si="46"/>
        <v>4437012.8249999993</v>
      </c>
      <c r="C150" s="269">
        <f t="shared" si="46"/>
        <v>4437012.8249999993</v>
      </c>
      <c r="D150" s="269"/>
      <c r="E150" s="269"/>
      <c r="F150" s="269">
        <f t="shared" si="48"/>
        <v>-4437012.8250000039</v>
      </c>
      <c r="G150" s="269">
        <f t="shared" si="48"/>
        <v>-4437012.8249999993</v>
      </c>
      <c r="H150" s="269">
        <f t="shared" si="43"/>
        <v>0</v>
      </c>
      <c r="I150" s="269">
        <f t="shared" si="43"/>
        <v>0</v>
      </c>
      <c r="J150" s="269">
        <f t="shared" si="49"/>
        <v>0</v>
      </c>
      <c r="K150" s="269">
        <f t="shared" si="47"/>
        <v>0</v>
      </c>
      <c r="L150" s="269">
        <f t="shared" si="50"/>
        <v>0</v>
      </c>
      <c r="M150" s="270">
        <f t="shared" si="51"/>
        <v>0</v>
      </c>
      <c r="N150" s="97"/>
      <c r="O150" s="271"/>
      <c r="P150" s="271"/>
      <c r="Q150" s="271"/>
      <c r="R150" s="271"/>
      <c r="S150" s="271"/>
      <c r="T150" s="271"/>
    </row>
    <row r="151" spans="1:20" s="230" customFormat="1" ht="15">
      <c r="A151" s="267">
        <f t="shared" si="52"/>
        <v>47603</v>
      </c>
      <c r="B151" s="269">
        <f t="shared" si="46"/>
        <v>4437012.8249999993</v>
      </c>
      <c r="C151" s="269">
        <f t="shared" si="46"/>
        <v>4437012.8249999993</v>
      </c>
      <c r="D151" s="269"/>
      <c r="E151" s="269"/>
      <c r="F151" s="269">
        <f t="shared" si="48"/>
        <v>-4437012.8250000039</v>
      </c>
      <c r="G151" s="269">
        <f t="shared" si="48"/>
        <v>-4437012.8249999993</v>
      </c>
      <c r="H151" s="269">
        <f t="shared" si="43"/>
        <v>0</v>
      </c>
      <c r="I151" s="269">
        <f t="shared" si="43"/>
        <v>0</v>
      </c>
      <c r="J151" s="269">
        <f t="shared" si="49"/>
        <v>0</v>
      </c>
      <c r="K151" s="269">
        <f t="shared" si="47"/>
        <v>0</v>
      </c>
      <c r="L151" s="269">
        <f t="shared" si="50"/>
        <v>0</v>
      </c>
      <c r="M151" s="270">
        <f t="shared" si="51"/>
        <v>0</v>
      </c>
      <c r="N151" s="97"/>
      <c r="O151" s="271"/>
      <c r="P151" s="271"/>
      <c r="Q151" s="271"/>
      <c r="R151" s="271"/>
      <c r="S151" s="271"/>
      <c r="T151" s="271"/>
    </row>
    <row r="152" spans="1:20" s="230" customFormat="1" ht="15">
      <c r="A152" s="267">
        <f t="shared" si="52"/>
        <v>47634</v>
      </c>
      <c r="B152" s="269">
        <f t="shared" si="46"/>
        <v>4437012.8249999993</v>
      </c>
      <c r="C152" s="269">
        <f t="shared" si="46"/>
        <v>4437012.8249999993</v>
      </c>
      <c r="D152" s="269"/>
      <c r="E152" s="269"/>
      <c r="F152" s="269">
        <f t="shared" si="48"/>
        <v>-4437012.8250000039</v>
      </c>
      <c r="G152" s="269">
        <f t="shared" si="48"/>
        <v>-4437012.8249999993</v>
      </c>
      <c r="H152" s="269">
        <f t="shared" si="43"/>
        <v>0</v>
      </c>
      <c r="I152" s="269">
        <f t="shared" si="43"/>
        <v>0</v>
      </c>
      <c r="J152" s="269">
        <f t="shared" si="49"/>
        <v>0</v>
      </c>
      <c r="K152" s="269">
        <f t="shared" si="47"/>
        <v>0</v>
      </c>
      <c r="L152" s="269">
        <f t="shared" si="50"/>
        <v>0</v>
      </c>
      <c r="M152" s="270">
        <f t="shared" si="51"/>
        <v>0</v>
      </c>
      <c r="N152" s="97"/>
      <c r="O152" s="271"/>
      <c r="P152" s="271"/>
      <c r="Q152" s="271"/>
      <c r="R152" s="271"/>
      <c r="S152" s="271"/>
      <c r="T152" s="271"/>
    </row>
    <row r="153" spans="1:20" s="230" customFormat="1" ht="15">
      <c r="A153" s="267">
        <f t="shared" si="52"/>
        <v>47664</v>
      </c>
      <c r="B153" s="269">
        <f t="shared" si="46"/>
        <v>4437012.8249999993</v>
      </c>
      <c r="C153" s="269">
        <f t="shared" si="46"/>
        <v>4437012.8249999993</v>
      </c>
      <c r="D153" s="269"/>
      <c r="E153" s="269"/>
      <c r="F153" s="269">
        <f t="shared" si="48"/>
        <v>-4437012.8250000039</v>
      </c>
      <c r="G153" s="269">
        <f t="shared" si="48"/>
        <v>-4437012.8249999993</v>
      </c>
      <c r="H153" s="269">
        <f t="shared" si="43"/>
        <v>0</v>
      </c>
      <c r="I153" s="269">
        <f t="shared" si="43"/>
        <v>0</v>
      </c>
      <c r="J153" s="269">
        <f t="shared" si="49"/>
        <v>0</v>
      </c>
      <c r="K153" s="269">
        <f t="shared" si="47"/>
        <v>0</v>
      </c>
      <c r="L153" s="269">
        <f t="shared" si="50"/>
        <v>0</v>
      </c>
      <c r="M153" s="270">
        <f t="shared" si="51"/>
        <v>0</v>
      </c>
      <c r="N153" s="97"/>
      <c r="O153" s="271"/>
      <c r="P153" s="271"/>
      <c r="Q153" s="271"/>
      <c r="R153" s="271"/>
      <c r="S153" s="271"/>
      <c r="T153" s="271"/>
    </row>
    <row r="154" spans="1:20" s="230" customFormat="1" ht="15">
      <c r="A154" s="267">
        <f t="shared" si="52"/>
        <v>47695</v>
      </c>
      <c r="B154" s="269">
        <f t="shared" si="46"/>
        <v>4437012.8249999993</v>
      </c>
      <c r="C154" s="269">
        <f t="shared" si="46"/>
        <v>4437012.8249999993</v>
      </c>
      <c r="D154" s="269"/>
      <c r="E154" s="269"/>
      <c r="F154" s="269">
        <f t="shared" si="48"/>
        <v>-4437012.8250000039</v>
      </c>
      <c r="G154" s="269">
        <f t="shared" si="48"/>
        <v>-4437012.8249999993</v>
      </c>
      <c r="H154" s="269">
        <f t="shared" si="43"/>
        <v>0</v>
      </c>
      <c r="I154" s="269">
        <f t="shared" si="43"/>
        <v>0</v>
      </c>
      <c r="J154" s="269">
        <f t="shared" si="49"/>
        <v>0</v>
      </c>
      <c r="K154" s="269">
        <f t="shared" si="47"/>
        <v>0</v>
      </c>
      <c r="L154" s="269">
        <f t="shared" si="50"/>
        <v>0</v>
      </c>
      <c r="M154" s="270">
        <f t="shared" si="51"/>
        <v>0</v>
      </c>
      <c r="N154" s="97"/>
      <c r="O154" s="271"/>
      <c r="P154" s="271"/>
      <c r="Q154" s="271"/>
      <c r="R154" s="271"/>
      <c r="S154" s="271"/>
      <c r="T154" s="271"/>
    </row>
    <row r="155" spans="1:20" s="230" customFormat="1" ht="15">
      <c r="A155" s="267">
        <f t="shared" si="52"/>
        <v>47726</v>
      </c>
      <c r="B155" s="269">
        <f t="shared" si="46"/>
        <v>4437012.8249999993</v>
      </c>
      <c r="C155" s="269">
        <f t="shared" si="46"/>
        <v>4437012.8249999993</v>
      </c>
      <c r="D155" s="269"/>
      <c r="E155" s="269"/>
      <c r="F155" s="269">
        <f t="shared" si="48"/>
        <v>-4437012.8250000039</v>
      </c>
      <c r="G155" s="269">
        <f t="shared" si="48"/>
        <v>-4437012.8249999993</v>
      </c>
      <c r="H155" s="269">
        <f t="shared" si="43"/>
        <v>0</v>
      </c>
      <c r="I155" s="269">
        <f t="shared" si="43"/>
        <v>0</v>
      </c>
      <c r="J155" s="269">
        <f t="shared" si="49"/>
        <v>0</v>
      </c>
      <c r="K155" s="269">
        <f t="shared" si="47"/>
        <v>0</v>
      </c>
      <c r="L155" s="269">
        <f t="shared" si="50"/>
        <v>0</v>
      </c>
      <c r="M155" s="270">
        <f t="shared" si="51"/>
        <v>0</v>
      </c>
      <c r="N155" s="97"/>
      <c r="O155" s="271"/>
      <c r="P155" s="271"/>
      <c r="Q155" s="271"/>
      <c r="R155" s="271"/>
      <c r="S155" s="271"/>
      <c r="T155" s="271"/>
    </row>
    <row r="156" spans="1:20" s="230" customFormat="1" ht="15">
      <c r="A156" s="267">
        <f t="shared" si="52"/>
        <v>47756</v>
      </c>
      <c r="B156" s="269">
        <f t="shared" si="46"/>
        <v>4437012.8249999993</v>
      </c>
      <c r="C156" s="269">
        <f t="shared" si="46"/>
        <v>4437012.8249999993</v>
      </c>
      <c r="D156" s="269"/>
      <c r="E156" s="269"/>
      <c r="F156" s="269">
        <f t="shared" si="48"/>
        <v>-4437012.8250000039</v>
      </c>
      <c r="G156" s="269">
        <f t="shared" si="48"/>
        <v>-4437012.8249999993</v>
      </c>
      <c r="H156" s="269">
        <f t="shared" si="43"/>
        <v>0</v>
      </c>
      <c r="I156" s="269">
        <f t="shared" si="43"/>
        <v>0</v>
      </c>
      <c r="J156" s="269">
        <f t="shared" si="49"/>
        <v>0</v>
      </c>
      <c r="K156" s="269">
        <f t="shared" si="47"/>
        <v>0</v>
      </c>
      <c r="L156" s="269">
        <f t="shared" si="50"/>
        <v>0</v>
      </c>
      <c r="M156" s="270">
        <f t="shared" si="51"/>
        <v>0</v>
      </c>
      <c r="N156" s="97"/>
      <c r="O156" s="271"/>
      <c r="P156" s="271"/>
      <c r="Q156" s="271"/>
      <c r="R156" s="271"/>
      <c r="S156" s="271"/>
      <c r="T156" s="271"/>
    </row>
    <row r="157" spans="1:20" s="230" customFormat="1" ht="15">
      <c r="A157" s="267">
        <f t="shared" si="52"/>
        <v>47787</v>
      </c>
      <c r="B157" s="269">
        <f t="shared" si="46"/>
        <v>4437012.8249999993</v>
      </c>
      <c r="C157" s="269">
        <f t="shared" si="46"/>
        <v>4437012.8249999993</v>
      </c>
      <c r="D157" s="269"/>
      <c r="E157" s="269"/>
      <c r="F157" s="269">
        <f t="shared" si="48"/>
        <v>-4437012.8250000039</v>
      </c>
      <c r="G157" s="269">
        <f t="shared" si="48"/>
        <v>-4437012.8249999993</v>
      </c>
      <c r="H157" s="269">
        <f t="shared" ref="H157:I172" si="53">B157+F157</f>
        <v>0</v>
      </c>
      <c r="I157" s="269">
        <f t="shared" si="53"/>
        <v>0</v>
      </c>
      <c r="J157" s="269">
        <f t="shared" si="49"/>
        <v>0</v>
      </c>
      <c r="K157" s="269">
        <f t="shared" si="47"/>
        <v>0</v>
      </c>
      <c r="L157" s="269">
        <f t="shared" si="50"/>
        <v>0</v>
      </c>
      <c r="M157" s="270">
        <f t="shared" si="51"/>
        <v>0</v>
      </c>
      <c r="N157" s="97"/>
      <c r="O157" s="271"/>
      <c r="P157" s="271"/>
      <c r="Q157" s="271"/>
      <c r="R157" s="271"/>
      <c r="S157" s="271"/>
      <c r="T157" s="271"/>
    </row>
    <row r="158" spans="1:20" s="230" customFormat="1" ht="15">
      <c r="A158" s="267">
        <f t="shared" si="52"/>
        <v>47817</v>
      </c>
      <c r="B158" s="269">
        <f t="shared" si="46"/>
        <v>4437012.8249999993</v>
      </c>
      <c r="C158" s="269">
        <f t="shared" si="46"/>
        <v>4437012.8249999993</v>
      </c>
      <c r="D158" s="269"/>
      <c r="E158" s="269"/>
      <c r="F158" s="269">
        <f t="shared" si="48"/>
        <v>-4437012.8250000039</v>
      </c>
      <c r="G158" s="269">
        <f t="shared" si="48"/>
        <v>-4437012.8249999993</v>
      </c>
      <c r="H158" s="269">
        <f t="shared" si="53"/>
        <v>0</v>
      </c>
      <c r="I158" s="269">
        <f t="shared" si="53"/>
        <v>0</v>
      </c>
      <c r="J158" s="269">
        <f t="shared" si="49"/>
        <v>0</v>
      </c>
      <c r="K158" s="269">
        <f t="shared" si="47"/>
        <v>0</v>
      </c>
      <c r="L158" s="269">
        <f t="shared" si="50"/>
        <v>0</v>
      </c>
      <c r="M158" s="270">
        <f t="shared" si="51"/>
        <v>0</v>
      </c>
      <c r="N158" s="97"/>
      <c r="O158" s="271"/>
      <c r="P158" s="271"/>
      <c r="Q158" s="271"/>
      <c r="R158" s="271"/>
      <c r="S158" s="271"/>
      <c r="T158" s="271"/>
    </row>
    <row r="159" spans="1:20" s="230" customFormat="1" ht="15">
      <c r="A159" s="267">
        <f t="shared" si="52"/>
        <v>47848</v>
      </c>
      <c r="B159" s="269">
        <f t="shared" si="46"/>
        <v>4437012.8249999993</v>
      </c>
      <c r="C159" s="269">
        <f t="shared" si="46"/>
        <v>4437012.8249999993</v>
      </c>
      <c r="D159" s="269"/>
      <c r="E159" s="269"/>
      <c r="F159" s="269">
        <f t="shared" si="48"/>
        <v>-4437012.8250000039</v>
      </c>
      <c r="G159" s="269">
        <f t="shared" si="48"/>
        <v>-4437012.8249999993</v>
      </c>
      <c r="H159" s="269">
        <f t="shared" si="53"/>
        <v>0</v>
      </c>
      <c r="I159" s="269">
        <f t="shared" si="53"/>
        <v>0</v>
      </c>
      <c r="J159" s="269">
        <f t="shared" si="49"/>
        <v>0</v>
      </c>
      <c r="K159" s="269">
        <f t="shared" si="47"/>
        <v>0</v>
      </c>
      <c r="L159" s="269">
        <f t="shared" si="50"/>
        <v>0</v>
      </c>
      <c r="M159" s="270">
        <f t="shared" si="51"/>
        <v>0</v>
      </c>
      <c r="N159" s="97"/>
      <c r="O159" s="271"/>
      <c r="P159" s="271"/>
      <c r="Q159" s="271"/>
      <c r="R159" s="271"/>
      <c r="S159" s="271"/>
      <c r="T159" s="271"/>
    </row>
    <row r="160" spans="1:20" s="230" customFormat="1" ht="15">
      <c r="A160" s="267">
        <f t="shared" si="52"/>
        <v>47879</v>
      </c>
      <c r="B160" s="269">
        <f t="shared" ref="B160:C175" si="54">B159</f>
        <v>4437012.8249999993</v>
      </c>
      <c r="C160" s="269">
        <f t="shared" si="54"/>
        <v>4437012.8249999993</v>
      </c>
      <c r="D160" s="269"/>
      <c r="E160" s="269"/>
      <c r="F160" s="269">
        <f t="shared" si="48"/>
        <v>-4437012.8250000039</v>
      </c>
      <c r="G160" s="269">
        <f t="shared" si="48"/>
        <v>-4437012.8249999993</v>
      </c>
      <c r="H160" s="269">
        <f t="shared" si="53"/>
        <v>0</v>
      </c>
      <c r="I160" s="269">
        <f t="shared" si="53"/>
        <v>0</v>
      </c>
      <c r="J160" s="269">
        <f t="shared" si="49"/>
        <v>0</v>
      </c>
      <c r="K160" s="269">
        <f t="shared" si="47"/>
        <v>0</v>
      </c>
      <c r="L160" s="269">
        <f t="shared" si="50"/>
        <v>0</v>
      </c>
      <c r="M160" s="270">
        <f t="shared" si="51"/>
        <v>0</v>
      </c>
      <c r="N160" s="97"/>
      <c r="O160" s="271"/>
      <c r="P160" s="271"/>
      <c r="Q160" s="271"/>
      <c r="R160" s="271"/>
      <c r="S160" s="271"/>
      <c r="T160" s="271"/>
    </row>
    <row r="161" spans="1:20" s="230" customFormat="1" ht="15">
      <c r="A161" s="267">
        <f t="shared" si="52"/>
        <v>47907</v>
      </c>
      <c r="B161" s="269">
        <f t="shared" si="54"/>
        <v>4437012.8249999993</v>
      </c>
      <c r="C161" s="269">
        <f t="shared" si="54"/>
        <v>4437012.8249999993</v>
      </c>
      <c r="D161" s="269"/>
      <c r="E161" s="269"/>
      <c r="F161" s="269">
        <f t="shared" si="48"/>
        <v>-4437012.8250000039</v>
      </c>
      <c r="G161" s="269">
        <f t="shared" si="48"/>
        <v>-4437012.8249999993</v>
      </c>
      <c r="H161" s="269">
        <f t="shared" si="53"/>
        <v>0</v>
      </c>
      <c r="I161" s="269">
        <f t="shared" si="53"/>
        <v>0</v>
      </c>
      <c r="J161" s="269">
        <f t="shared" si="49"/>
        <v>0</v>
      </c>
      <c r="K161" s="269">
        <f t="shared" si="47"/>
        <v>0</v>
      </c>
      <c r="L161" s="269">
        <f t="shared" si="50"/>
        <v>0</v>
      </c>
      <c r="M161" s="270">
        <f t="shared" si="51"/>
        <v>0</v>
      </c>
      <c r="N161" s="97"/>
      <c r="O161" s="271"/>
      <c r="P161" s="271"/>
      <c r="Q161" s="271"/>
      <c r="R161" s="271"/>
      <c r="S161" s="271"/>
      <c r="T161" s="271"/>
    </row>
    <row r="162" spans="1:20" s="230" customFormat="1" ht="15">
      <c r="A162" s="267">
        <f t="shared" si="52"/>
        <v>47938</v>
      </c>
      <c r="B162" s="269">
        <f t="shared" si="54"/>
        <v>4437012.8249999993</v>
      </c>
      <c r="C162" s="269">
        <f t="shared" si="54"/>
        <v>4437012.8249999993</v>
      </c>
      <c r="D162" s="269"/>
      <c r="E162" s="269"/>
      <c r="F162" s="269">
        <f t="shared" si="48"/>
        <v>-4437012.8250000039</v>
      </c>
      <c r="G162" s="269">
        <f t="shared" si="48"/>
        <v>-4437012.8249999993</v>
      </c>
      <c r="H162" s="269">
        <f t="shared" si="53"/>
        <v>0</v>
      </c>
      <c r="I162" s="269">
        <f t="shared" si="53"/>
        <v>0</v>
      </c>
      <c r="J162" s="269">
        <f t="shared" si="49"/>
        <v>0</v>
      </c>
      <c r="K162" s="269">
        <f t="shared" si="47"/>
        <v>0</v>
      </c>
      <c r="L162" s="269">
        <f t="shared" si="50"/>
        <v>0</v>
      </c>
      <c r="M162" s="270">
        <f t="shared" si="51"/>
        <v>0</v>
      </c>
      <c r="N162" s="97"/>
      <c r="O162" s="271"/>
      <c r="P162" s="271"/>
      <c r="Q162" s="271"/>
      <c r="R162" s="271"/>
      <c r="S162" s="271"/>
      <c r="T162" s="271"/>
    </row>
    <row r="163" spans="1:20" s="230" customFormat="1" ht="15">
      <c r="A163" s="267">
        <f t="shared" si="52"/>
        <v>47968</v>
      </c>
      <c r="B163" s="269">
        <f t="shared" si="54"/>
        <v>4437012.8249999993</v>
      </c>
      <c r="C163" s="269">
        <f t="shared" si="54"/>
        <v>4437012.8249999993</v>
      </c>
      <c r="D163" s="269"/>
      <c r="E163" s="269"/>
      <c r="F163" s="269">
        <f t="shared" si="48"/>
        <v>-4437012.8250000039</v>
      </c>
      <c r="G163" s="269">
        <f t="shared" si="48"/>
        <v>-4437012.8249999993</v>
      </c>
      <c r="H163" s="269">
        <f t="shared" si="53"/>
        <v>0</v>
      </c>
      <c r="I163" s="269">
        <f t="shared" si="53"/>
        <v>0</v>
      </c>
      <c r="J163" s="269">
        <f t="shared" si="49"/>
        <v>0</v>
      </c>
      <c r="K163" s="269">
        <f t="shared" si="47"/>
        <v>0</v>
      </c>
      <c r="L163" s="269">
        <f t="shared" si="50"/>
        <v>0</v>
      </c>
      <c r="M163" s="270">
        <f t="shared" si="51"/>
        <v>0</v>
      </c>
      <c r="N163" s="97"/>
      <c r="O163" s="271"/>
      <c r="P163" s="271"/>
      <c r="Q163" s="271"/>
      <c r="R163" s="271"/>
      <c r="S163" s="271"/>
      <c r="T163" s="271"/>
    </row>
    <row r="164" spans="1:20" s="230" customFormat="1" ht="15">
      <c r="A164" s="267">
        <f t="shared" si="52"/>
        <v>47999</v>
      </c>
      <c r="B164" s="269">
        <f t="shared" si="54"/>
        <v>4437012.8249999993</v>
      </c>
      <c r="C164" s="269">
        <f t="shared" si="54"/>
        <v>4437012.8249999993</v>
      </c>
      <c r="D164" s="269"/>
      <c r="E164" s="269"/>
      <c r="F164" s="269">
        <f t="shared" si="48"/>
        <v>-4437012.8250000039</v>
      </c>
      <c r="G164" s="269">
        <f t="shared" si="48"/>
        <v>-4437012.8249999993</v>
      </c>
      <c r="H164" s="269">
        <f t="shared" si="53"/>
        <v>0</v>
      </c>
      <c r="I164" s="269">
        <f t="shared" si="53"/>
        <v>0</v>
      </c>
      <c r="J164" s="269">
        <f t="shared" si="49"/>
        <v>0</v>
      </c>
      <c r="K164" s="269">
        <f t="shared" si="47"/>
        <v>0</v>
      </c>
      <c r="L164" s="269">
        <f t="shared" si="50"/>
        <v>0</v>
      </c>
      <c r="M164" s="270">
        <f t="shared" si="51"/>
        <v>0</v>
      </c>
      <c r="N164" s="97"/>
      <c r="O164" s="271"/>
      <c r="P164" s="271"/>
      <c r="Q164" s="271"/>
      <c r="R164" s="271"/>
      <c r="S164" s="271"/>
      <c r="T164" s="271"/>
    </row>
    <row r="165" spans="1:20" s="230" customFormat="1" ht="15">
      <c r="A165" s="267">
        <f t="shared" si="52"/>
        <v>48029</v>
      </c>
      <c r="B165" s="269">
        <f t="shared" si="54"/>
        <v>4437012.8249999993</v>
      </c>
      <c r="C165" s="269">
        <f t="shared" si="54"/>
        <v>4437012.8249999993</v>
      </c>
      <c r="D165" s="269"/>
      <c r="E165" s="269"/>
      <c r="F165" s="269">
        <f t="shared" ref="F165:G180" si="55">F164-D165</f>
        <v>-4437012.8250000039</v>
      </c>
      <c r="G165" s="269">
        <f t="shared" si="55"/>
        <v>-4437012.8249999993</v>
      </c>
      <c r="H165" s="269">
        <f t="shared" si="53"/>
        <v>0</v>
      </c>
      <c r="I165" s="269">
        <f t="shared" si="53"/>
        <v>0</v>
      </c>
      <c r="J165" s="269">
        <f t="shared" si="49"/>
        <v>0</v>
      </c>
      <c r="K165" s="269">
        <f t="shared" si="47"/>
        <v>0</v>
      </c>
      <c r="L165" s="269">
        <f t="shared" si="50"/>
        <v>0</v>
      </c>
      <c r="M165" s="270">
        <f t="shared" si="51"/>
        <v>0</v>
      </c>
      <c r="N165" s="97"/>
      <c r="O165" s="271"/>
      <c r="P165" s="271"/>
      <c r="Q165" s="271"/>
      <c r="R165" s="271"/>
      <c r="S165" s="271"/>
      <c r="T165" s="271"/>
    </row>
    <row r="166" spans="1:20" s="230" customFormat="1" ht="15">
      <c r="A166" s="267">
        <f t="shared" si="52"/>
        <v>48060</v>
      </c>
      <c r="B166" s="269">
        <f t="shared" si="54"/>
        <v>4437012.8249999993</v>
      </c>
      <c r="C166" s="269">
        <f t="shared" si="54"/>
        <v>4437012.8249999993</v>
      </c>
      <c r="D166" s="269"/>
      <c r="E166" s="269"/>
      <c r="F166" s="269">
        <f t="shared" si="55"/>
        <v>-4437012.8250000039</v>
      </c>
      <c r="G166" s="269">
        <f t="shared" si="55"/>
        <v>-4437012.8249999993</v>
      </c>
      <c r="H166" s="269">
        <f t="shared" si="53"/>
        <v>0</v>
      </c>
      <c r="I166" s="269">
        <f t="shared" si="53"/>
        <v>0</v>
      </c>
      <c r="J166" s="269">
        <f t="shared" si="49"/>
        <v>0</v>
      </c>
      <c r="K166" s="269">
        <f t="shared" si="47"/>
        <v>0</v>
      </c>
      <c r="L166" s="269">
        <f t="shared" si="50"/>
        <v>0</v>
      </c>
      <c r="M166" s="270">
        <f t="shared" si="51"/>
        <v>0</v>
      </c>
      <c r="N166" s="97"/>
      <c r="O166" s="271"/>
      <c r="P166" s="271"/>
      <c r="Q166" s="271"/>
      <c r="R166" s="271"/>
      <c r="S166" s="271"/>
      <c r="T166" s="271"/>
    </row>
    <row r="167" spans="1:20" s="230" customFormat="1" ht="15">
      <c r="A167" s="267">
        <f t="shared" si="52"/>
        <v>48091</v>
      </c>
      <c r="B167" s="269">
        <f t="shared" si="54"/>
        <v>4437012.8249999993</v>
      </c>
      <c r="C167" s="269">
        <f t="shared" si="54"/>
        <v>4437012.8249999993</v>
      </c>
      <c r="D167" s="269"/>
      <c r="E167" s="269"/>
      <c r="F167" s="269">
        <f t="shared" si="55"/>
        <v>-4437012.8250000039</v>
      </c>
      <c r="G167" s="269">
        <f t="shared" si="55"/>
        <v>-4437012.8249999993</v>
      </c>
      <c r="H167" s="269">
        <f t="shared" si="53"/>
        <v>0</v>
      </c>
      <c r="I167" s="269">
        <f t="shared" si="53"/>
        <v>0</v>
      </c>
      <c r="J167" s="269">
        <f t="shared" si="49"/>
        <v>0</v>
      </c>
      <c r="K167" s="269">
        <f t="shared" si="47"/>
        <v>0</v>
      </c>
      <c r="L167" s="269">
        <f t="shared" si="50"/>
        <v>0</v>
      </c>
      <c r="M167" s="270">
        <f t="shared" si="51"/>
        <v>0</v>
      </c>
      <c r="N167" s="97"/>
      <c r="O167" s="271"/>
      <c r="P167" s="271"/>
      <c r="Q167" s="271"/>
      <c r="R167" s="271"/>
      <c r="S167" s="271"/>
      <c r="T167" s="271"/>
    </row>
    <row r="168" spans="1:20" s="230" customFormat="1" ht="15">
      <c r="A168" s="267">
        <f t="shared" si="52"/>
        <v>48121</v>
      </c>
      <c r="B168" s="269">
        <f t="shared" si="54"/>
        <v>4437012.8249999993</v>
      </c>
      <c r="C168" s="269">
        <f t="shared" si="54"/>
        <v>4437012.8249999993</v>
      </c>
      <c r="D168" s="269"/>
      <c r="E168" s="269"/>
      <c r="F168" s="269">
        <f t="shared" si="55"/>
        <v>-4437012.8250000039</v>
      </c>
      <c r="G168" s="269">
        <f t="shared" si="55"/>
        <v>-4437012.8249999993</v>
      </c>
      <c r="H168" s="269">
        <f t="shared" si="53"/>
        <v>0</v>
      </c>
      <c r="I168" s="269">
        <f t="shared" si="53"/>
        <v>0</v>
      </c>
      <c r="J168" s="269">
        <f t="shared" si="49"/>
        <v>0</v>
      </c>
      <c r="K168" s="269">
        <f t="shared" si="47"/>
        <v>0</v>
      </c>
      <c r="L168" s="269">
        <f t="shared" si="50"/>
        <v>0</v>
      </c>
      <c r="M168" s="270">
        <f t="shared" si="51"/>
        <v>0</v>
      </c>
      <c r="N168" s="97"/>
      <c r="O168" s="271"/>
      <c r="P168" s="271"/>
      <c r="Q168" s="271"/>
      <c r="R168" s="271"/>
      <c r="S168" s="271"/>
      <c r="T168" s="271"/>
    </row>
    <row r="169" spans="1:20" s="230" customFormat="1" ht="15">
      <c r="A169" s="267">
        <f t="shared" si="52"/>
        <v>48152</v>
      </c>
      <c r="B169" s="269">
        <f t="shared" si="54"/>
        <v>4437012.8249999993</v>
      </c>
      <c r="C169" s="269">
        <f t="shared" si="54"/>
        <v>4437012.8249999993</v>
      </c>
      <c r="D169" s="269"/>
      <c r="E169" s="269"/>
      <c r="F169" s="269">
        <f t="shared" si="55"/>
        <v>-4437012.8250000039</v>
      </c>
      <c r="G169" s="269">
        <f t="shared" si="55"/>
        <v>-4437012.8249999993</v>
      </c>
      <c r="H169" s="269">
        <f t="shared" si="53"/>
        <v>0</v>
      </c>
      <c r="I169" s="269">
        <f t="shared" si="53"/>
        <v>0</v>
      </c>
      <c r="J169" s="269">
        <f t="shared" si="49"/>
        <v>0</v>
      </c>
      <c r="K169" s="269">
        <f t="shared" si="47"/>
        <v>0</v>
      </c>
      <c r="L169" s="269">
        <f t="shared" si="50"/>
        <v>0</v>
      </c>
      <c r="M169" s="270">
        <f t="shared" si="51"/>
        <v>0</v>
      </c>
      <c r="N169" s="97"/>
      <c r="O169" s="271"/>
      <c r="P169" s="271"/>
      <c r="Q169" s="271"/>
      <c r="R169" s="271"/>
      <c r="S169" s="271"/>
      <c r="T169" s="271"/>
    </row>
    <row r="170" spans="1:20" s="230" customFormat="1" ht="15">
      <c r="A170" s="267">
        <f t="shared" si="52"/>
        <v>48182</v>
      </c>
      <c r="B170" s="269">
        <f t="shared" si="54"/>
        <v>4437012.8249999993</v>
      </c>
      <c r="C170" s="269">
        <f t="shared" si="54"/>
        <v>4437012.8249999993</v>
      </c>
      <c r="D170" s="269"/>
      <c r="E170" s="269"/>
      <c r="F170" s="269">
        <f t="shared" si="55"/>
        <v>-4437012.8250000039</v>
      </c>
      <c r="G170" s="269">
        <f t="shared" si="55"/>
        <v>-4437012.8249999993</v>
      </c>
      <c r="H170" s="269">
        <f t="shared" si="53"/>
        <v>0</v>
      </c>
      <c r="I170" s="269">
        <f t="shared" si="53"/>
        <v>0</v>
      </c>
      <c r="J170" s="269">
        <f t="shared" si="49"/>
        <v>0</v>
      </c>
      <c r="K170" s="269">
        <f t="shared" si="47"/>
        <v>0</v>
      </c>
      <c r="L170" s="269">
        <f t="shared" si="50"/>
        <v>0</v>
      </c>
      <c r="M170" s="270">
        <f t="shared" si="51"/>
        <v>0</v>
      </c>
      <c r="N170" s="97"/>
      <c r="O170" s="271"/>
      <c r="P170" s="271"/>
      <c r="Q170" s="271"/>
      <c r="R170" s="271"/>
      <c r="S170" s="271"/>
      <c r="T170" s="271"/>
    </row>
    <row r="171" spans="1:20" s="230" customFormat="1" ht="15">
      <c r="A171" s="267">
        <f t="shared" si="52"/>
        <v>48213</v>
      </c>
      <c r="B171" s="269">
        <f t="shared" si="54"/>
        <v>4437012.8249999993</v>
      </c>
      <c r="C171" s="269">
        <f t="shared" si="54"/>
        <v>4437012.8249999993</v>
      </c>
      <c r="D171" s="269"/>
      <c r="E171" s="269"/>
      <c r="F171" s="269">
        <f t="shared" si="55"/>
        <v>-4437012.8250000039</v>
      </c>
      <c r="G171" s="269">
        <f t="shared" si="55"/>
        <v>-4437012.8249999993</v>
      </c>
      <c r="H171" s="269">
        <f t="shared" si="53"/>
        <v>0</v>
      </c>
      <c r="I171" s="269">
        <f t="shared" si="53"/>
        <v>0</v>
      </c>
      <c r="J171" s="269">
        <f t="shared" si="49"/>
        <v>0</v>
      </c>
      <c r="K171" s="269">
        <f t="shared" si="47"/>
        <v>0</v>
      </c>
      <c r="L171" s="269">
        <f t="shared" si="50"/>
        <v>0</v>
      </c>
      <c r="M171" s="270">
        <f t="shared" si="51"/>
        <v>0</v>
      </c>
      <c r="N171" s="97"/>
      <c r="O171" s="271"/>
      <c r="P171" s="271"/>
      <c r="Q171" s="271"/>
      <c r="R171" s="271"/>
      <c r="S171" s="271"/>
      <c r="T171" s="271"/>
    </row>
    <row r="172" spans="1:20" s="230" customFormat="1" ht="15">
      <c r="A172" s="267">
        <f t="shared" si="52"/>
        <v>48244</v>
      </c>
      <c r="B172" s="269">
        <f t="shared" si="54"/>
        <v>4437012.8249999993</v>
      </c>
      <c r="C172" s="269">
        <f t="shared" si="54"/>
        <v>4437012.8249999993</v>
      </c>
      <c r="D172" s="269"/>
      <c r="E172" s="269"/>
      <c r="F172" s="269">
        <f t="shared" si="55"/>
        <v>-4437012.8250000039</v>
      </c>
      <c r="G172" s="269">
        <f t="shared" si="55"/>
        <v>-4437012.8249999993</v>
      </c>
      <c r="H172" s="269">
        <f t="shared" si="53"/>
        <v>0</v>
      </c>
      <c r="I172" s="269">
        <f t="shared" si="53"/>
        <v>0</v>
      </c>
      <c r="J172" s="269">
        <f t="shared" si="49"/>
        <v>0</v>
      </c>
      <c r="K172" s="269">
        <f t="shared" si="47"/>
        <v>0</v>
      </c>
      <c r="L172" s="269">
        <f t="shared" si="50"/>
        <v>0</v>
      </c>
      <c r="M172" s="270">
        <f t="shared" si="51"/>
        <v>0</v>
      </c>
      <c r="N172" s="97"/>
      <c r="O172" s="271"/>
      <c r="P172" s="271"/>
      <c r="Q172" s="271"/>
      <c r="R172" s="271"/>
      <c r="S172" s="271"/>
      <c r="T172" s="271"/>
    </row>
    <row r="173" spans="1:20" s="230" customFormat="1" ht="15">
      <c r="A173" s="267">
        <f t="shared" si="52"/>
        <v>48273</v>
      </c>
      <c r="B173" s="269">
        <f t="shared" si="54"/>
        <v>4437012.8249999993</v>
      </c>
      <c r="C173" s="269">
        <f t="shared" si="54"/>
        <v>4437012.8249999993</v>
      </c>
      <c r="D173" s="269"/>
      <c r="E173" s="269"/>
      <c r="F173" s="269">
        <f t="shared" si="55"/>
        <v>-4437012.8250000039</v>
      </c>
      <c r="G173" s="269">
        <f t="shared" si="55"/>
        <v>-4437012.8249999993</v>
      </c>
      <c r="H173" s="269">
        <f t="shared" ref="H173:I186" si="56">B173+F173</f>
        <v>0</v>
      </c>
      <c r="I173" s="269">
        <f t="shared" si="56"/>
        <v>0</v>
      </c>
      <c r="J173" s="269">
        <f t="shared" si="49"/>
        <v>0</v>
      </c>
      <c r="K173" s="269">
        <f t="shared" si="47"/>
        <v>0</v>
      </c>
      <c r="L173" s="269">
        <f t="shared" si="50"/>
        <v>0</v>
      </c>
      <c r="M173" s="270">
        <f t="shared" si="51"/>
        <v>0</v>
      </c>
      <c r="N173" s="97"/>
      <c r="O173" s="271"/>
      <c r="P173" s="271"/>
      <c r="Q173" s="271"/>
      <c r="R173" s="271"/>
      <c r="S173" s="271"/>
      <c r="T173" s="271"/>
    </row>
    <row r="174" spans="1:20" s="230" customFormat="1" ht="15">
      <c r="A174" s="267">
        <f t="shared" si="52"/>
        <v>48304</v>
      </c>
      <c r="B174" s="269">
        <f t="shared" si="54"/>
        <v>4437012.8249999993</v>
      </c>
      <c r="C174" s="269">
        <f t="shared" si="54"/>
        <v>4437012.8249999993</v>
      </c>
      <c r="D174" s="269"/>
      <c r="E174" s="269"/>
      <c r="F174" s="269">
        <f t="shared" si="55"/>
        <v>-4437012.8250000039</v>
      </c>
      <c r="G174" s="269">
        <f t="shared" si="55"/>
        <v>-4437012.8249999993</v>
      </c>
      <c r="H174" s="269">
        <f t="shared" si="56"/>
        <v>0</v>
      </c>
      <c r="I174" s="269">
        <f t="shared" si="56"/>
        <v>0</v>
      </c>
      <c r="J174" s="269">
        <f t="shared" si="49"/>
        <v>0</v>
      </c>
      <c r="K174" s="269">
        <f t="shared" si="47"/>
        <v>0</v>
      </c>
      <c r="L174" s="269">
        <f t="shared" si="50"/>
        <v>0</v>
      </c>
      <c r="M174" s="270">
        <f t="shared" si="51"/>
        <v>0</v>
      </c>
      <c r="N174" s="97"/>
      <c r="O174" s="271"/>
      <c r="P174" s="271"/>
      <c r="Q174" s="271"/>
      <c r="R174" s="271"/>
      <c r="S174" s="271"/>
      <c r="T174" s="271"/>
    </row>
    <row r="175" spans="1:20" s="230" customFormat="1" ht="15">
      <c r="A175" s="267">
        <f t="shared" si="52"/>
        <v>48334</v>
      </c>
      <c r="B175" s="269">
        <f t="shared" si="54"/>
        <v>4437012.8249999993</v>
      </c>
      <c r="C175" s="269">
        <f t="shared" si="54"/>
        <v>4437012.8249999993</v>
      </c>
      <c r="D175" s="269"/>
      <c r="E175" s="269"/>
      <c r="F175" s="269">
        <f t="shared" si="55"/>
        <v>-4437012.8250000039</v>
      </c>
      <c r="G175" s="269">
        <f t="shared" si="55"/>
        <v>-4437012.8249999993</v>
      </c>
      <c r="H175" s="269">
        <f t="shared" si="56"/>
        <v>0</v>
      </c>
      <c r="I175" s="269">
        <f t="shared" si="56"/>
        <v>0</v>
      </c>
      <c r="J175" s="269">
        <f t="shared" si="49"/>
        <v>0</v>
      </c>
      <c r="K175" s="269">
        <f t="shared" si="47"/>
        <v>0</v>
      </c>
      <c r="L175" s="269">
        <f t="shared" si="50"/>
        <v>0</v>
      </c>
      <c r="M175" s="270">
        <f t="shared" si="51"/>
        <v>0</v>
      </c>
      <c r="N175" s="97"/>
      <c r="O175" s="271"/>
      <c r="P175" s="271"/>
      <c r="Q175" s="271"/>
      <c r="R175" s="271"/>
      <c r="S175" s="271"/>
      <c r="T175" s="271"/>
    </row>
    <row r="176" spans="1:20" s="230" customFormat="1" ht="15">
      <c r="A176" s="267">
        <f t="shared" si="52"/>
        <v>48365</v>
      </c>
      <c r="B176" s="269">
        <f t="shared" ref="B176:C186" si="57">B175</f>
        <v>4437012.8249999993</v>
      </c>
      <c r="C176" s="269">
        <f t="shared" si="57"/>
        <v>4437012.8249999993</v>
      </c>
      <c r="D176" s="269"/>
      <c r="E176" s="269"/>
      <c r="F176" s="269">
        <f t="shared" si="55"/>
        <v>-4437012.8250000039</v>
      </c>
      <c r="G176" s="269">
        <f t="shared" si="55"/>
        <v>-4437012.8249999993</v>
      </c>
      <c r="H176" s="269">
        <f t="shared" si="56"/>
        <v>0</v>
      </c>
      <c r="I176" s="269">
        <f t="shared" si="56"/>
        <v>0</v>
      </c>
      <c r="J176" s="269">
        <f t="shared" si="49"/>
        <v>0</v>
      </c>
      <c r="K176" s="269">
        <f t="shared" si="47"/>
        <v>0</v>
      </c>
      <c r="L176" s="269">
        <f t="shared" si="50"/>
        <v>0</v>
      </c>
      <c r="M176" s="270">
        <f t="shared" si="51"/>
        <v>0</v>
      </c>
      <c r="N176" s="97"/>
      <c r="O176" s="271"/>
      <c r="P176" s="271"/>
      <c r="Q176" s="271"/>
      <c r="R176" s="271"/>
      <c r="S176" s="271"/>
      <c r="T176" s="271"/>
    </row>
    <row r="177" spans="1:20" s="230" customFormat="1" ht="15">
      <c r="A177" s="267">
        <f t="shared" si="52"/>
        <v>48395</v>
      </c>
      <c r="B177" s="269">
        <f t="shared" si="57"/>
        <v>4437012.8249999993</v>
      </c>
      <c r="C177" s="269">
        <f t="shared" si="57"/>
        <v>4437012.8249999993</v>
      </c>
      <c r="D177" s="269"/>
      <c r="E177" s="269"/>
      <c r="F177" s="269">
        <f t="shared" si="55"/>
        <v>-4437012.8250000039</v>
      </c>
      <c r="G177" s="269">
        <f t="shared" si="55"/>
        <v>-4437012.8249999993</v>
      </c>
      <c r="H177" s="269">
        <f t="shared" si="56"/>
        <v>0</v>
      </c>
      <c r="I177" s="269">
        <f t="shared" si="56"/>
        <v>0</v>
      </c>
      <c r="J177" s="269">
        <f t="shared" si="49"/>
        <v>0</v>
      </c>
      <c r="K177" s="269">
        <f t="shared" si="47"/>
        <v>0</v>
      </c>
      <c r="L177" s="269">
        <f t="shared" si="50"/>
        <v>0</v>
      </c>
      <c r="M177" s="270">
        <f t="shared" si="51"/>
        <v>0</v>
      </c>
      <c r="N177" s="97"/>
      <c r="O177" s="271"/>
      <c r="P177" s="271"/>
      <c r="Q177" s="271"/>
      <c r="R177" s="271"/>
      <c r="S177" s="271"/>
      <c r="T177" s="271"/>
    </row>
    <row r="178" spans="1:20" s="230" customFormat="1" ht="15">
      <c r="A178" s="267">
        <f t="shared" si="52"/>
        <v>48426</v>
      </c>
      <c r="B178" s="269">
        <f t="shared" si="57"/>
        <v>4437012.8249999993</v>
      </c>
      <c r="C178" s="269">
        <f t="shared" si="57"/>
        <v>4437012.8249999993</v>
      </c>
      <c r="D178" s="269"/>
      <c r="E178" s="269"/>
      <c r="F178" s="269">
        <f t="shared" si="55"/>
        <v>-4437012.8250000039</v>
      </c>
      <c r="G178" s="269">
        <f t="shared" si="55"/>
        <v>-4437012.8249999993</v>
      </c>
      <c r="H178" s="269">
        <f t="shared" si="56"/>
        <v>0</v>
      </c>
      <c r="I178" s="269">
        <f t="shared" si="56"/>
        <v>0</v>
      </c>
      <c r="J178" s="269">
        <f t="shared" si="49"/>
        <v>0</v>
      </c>
      <c r="K178" s="269">
        <f t="shared" si="47"/>
        <v>0</v>
      </c>
      <c r="L178" s="269">
        <f t="shared" si="50"/>
        <v>0</v>
      </c>
      <c r="M178" s="270">
        <f t="shared" si="51"/>
        <v>0</v>
      </c>
      <c r="N178" s="97"/>
      <c r="O178" s="271"/>
      <c r="P178" s="271"/>
      <c r="Q178" s="271"/>
      <c r="R178" s="271"/>
      <c r="S178" s="271"/>
      <c r="T178" s="271"/>
    </row>
    <row r="179" spans="1:20" s="230" customFormat="1" ht="15">
      <c r="A179" s="267">
        <f t="shared" si="52"/>
        <v>48457</v>
      </c>
      <c r="B179" s="269">
        <f t="shared" si="57"/>
        <v>4437012.8249999993</v>
      </c>
      <c r="C179" s="269">
        <f t="shared" si="57"/>
        <v>4437012.8249999993</v>
      </c>
      <c r="D179" s="269"/>
      <c r="E179" s="269"/>
      <c r="F179" s="269">
        <f t="shared" si="55"/>
        <v>-4437012.8250000039</v>
      </c>
      <c r="G179" s="269">
        <f t="shared" si="55"/>
        <v>-4437012.8249999993</v>
      </c>
      <c r="H179" s="269">
        <f t="shared" si="56"/>
        <v>0</v>
      </c>
      <c r="I179" s="269">
        <f t="shared" si="56"/>
        <v>0</v>
      </c>
      <c r="J179" s="269">
        <f t="shared" si="49"/>
        <v>0</v>
      </c>
      <c r="K179" s="269">
        <f t="shared" si="47"/>
        <v>0</v>
      </c>
      <c r="L179" s="269">
        <f t="shared" si="50"/>
        <v>0</v>
      </c>
      <c r="M179" s="270">
        <f t="shared" si="51"/>
        <v>0</v>
      </c>
      <c r="N179" s="97"/>
      <c r="O179" s="271"/>
      <c r="P179" s="271"/>
      <c r="Q179" s="271"/>
      <c r="R179" s="271"/>
      <c r="S179" s="271"/>
      <c r="T179" s="271"/>
    </row>
    <row r="180" spans="1:20" s="230" customFormat="1" ht="15">
      <c r="A180" s="267">
        <f t="shared" si="52"/>
        <v>48487</v>
      </c>
      <c r="B180" s="269">
        <f t="shared" si="57"/>
        <v>4437012.8249999993</v>
      </c>
      <c r="C180" s="269">
        <f t="shared" si="57"/>
        <v>4437012.8249999993</v>
      </c>
      <c r="D180" s="269"/>
      <c r="E180" s="269"/>
      <c r="F180" s="269">
        <f t="shared" si="55"/>
        <v>-4437012.8250000039</v>
      </c>
      <c r="G180" s="269">
        <f t="shared" si="55"/>
        <v>-4437012.8249999993</v>
      </c>
      <c r="H180" s="269">
        <f t="shared" si="56"/>
        <v>0</v>
      </c>
      <c r="I180" s="269">
        <f t="shared" si="56"/>
        <v>0</v>
      </c>
      <c r="J180" s="269">
        <f t="shared" si="49"/>
        <v>0</v>
      </c>
      <c r="K180" s="269">
        <f t="shared" ref="K180:K186" si="58">-J180*$K$15</f>
        <v>0</v>
      </c>
      <c r="L180" s="269">
        <f t="shared" si="50"/>
        <v>0</v>
      </c>
      <c r="M180" s="270">
        <f t="shared" si="51"/>
        <v>0</v>
      </c>
      <c r="N180" s="97"/>
      <c r="O180" s="271"/>
      <c r="P180" s="271"/>
      <c r="Q180" s="271"/>
      <c r="R180" s="271"/>
      <c r="S180" s="271"/>
      <c r="T180" s="271"/>
    </row>
    <row r="181" spans="1:20" s="230" customFormat="1" ht="15">
      <c r="A181" s="267">
        <f t="shared" si="52"/>
        <v>48518</v>
      </c>
      <c r="B181" s="269">
        <f t="shared" si="57"/>
        <v>4437012.8249999993</v>
      </c>
      <c r="C181" s="269">
        <f t="shared" si="57"/>
        <v>4437012.8249999993</v>
      </c>
      <c r="D181" s="269"/>
      <c r="E181" s="269"/>
      <c r="F181" s="269">
        <f t="shared" ref="F181:G186" si="59">F180-D181</f>
        <v>-4437012.8250000039</v>
      </c>
      <c r="G181" s="269">
        <f t="shared" si="59"/>
        <v>-4437012.8249999993</v>
      </c>
      <c r="H181" s="269">
        <f t="shared" si="56"/>
        <v>0</v>
      </c>
      <c r="I181" s="269">
        <f t="shared" si="56"/>
        <v>0</v>
      </c>
      <c r="J181" s="269">
        <f t="shared" si="49"/>
        <v>0</v>
      </c>
      <c r="K181" s="269">
        <f t="shared" si="58"/>
        <v>0</v>
      </c>
      <c r="L181" s="269">
        <f t="shared" si="50"/>
        <v>0</v>
      </c>
      <c r="M181" s="270">
        <f t="shared" si="51"/>
        <v>0</v>
      </c>
      <c r="N181" s="97"/>
      <c r="O181" s="271"/>
      <c r="P181" s="271"/>
      <c r="Q181" s="271"/>
      <c r="R181" s="271"/>
      <c r="S181" s="271"/>
      <c r="T181" s="271"/>
    </row>
    <row r="182" spans="1:20" s="230" customFormat="1" ht="15">
      <c r="A182" s="267">
        <f t="shared" si="52"/>
        <v>48548</v>
      </c>
      <c r="B182" s="269">
        <f t="shared" si="57"/>
        <v>4437012.8249999993</v>
      </c>
      <c r="C182" s="269">
        <f t="shared" si="57"/>
        <v>4437012.8249999993</v>
      </c>
      <c r="D182" s="269"/>
      <c r="E182" s="269"/>
      <c r="F182" s="269">
        <f t="shared" si="59"/>
        <v>-4437012.8250000039</v>
      </c>
      <c r="G182" s="269">
        <f t="shared" si="59"/>
        <v>-4437012.8249999993</v>
      </c>
      <c r="H182" s="269">
        <f t="shared" si="56"/>
        <v>0</v>
      </c>
      <c r="I182" s="269">
        <f t="shared" si="56"/>
        <v>0</v>
      </c>
      <c r="J182" s="269">
        <f t="shared" si="49"/>
        <v>0</v>
      </c>
      <c r="K182" s="269">
        <f t="shared" si="58"/>
        <v>0</v>
      </c>
      <c r="L182" s="269">
        <f t="shared" si="50"/>
        <v>0</v>
      </c>
      <c r="M182" s="270">
        <f t="shared" si="51"/>
        <v>0</v>
      </c>
      <c r="N182" s="97"/>
      <c r="O182" s="271"/>
      <c r="P182" s="271"/>
      <c r="Q182" s="271"/>
      <c r="R182" s="271"/>
      <c r="S182" s="271"/>
      <c r="T182" s="271"/>
    </row>
    <row r="183" spans="1:20" s="230" customFormat="1" ht="15">
      <c r="A183" s="267">
        <f t="shared" si="52"/>
        <v>48579</v>
      </c>
      <c r="B183" s="269">
        <f t="shared" si="57"/>
        <v>4437012.8249999993</v>
      </c>
      <c r="C183" s="269">
        <f t="shared" si="57"/>
        <v>4437012.8249999993</v>
      </c>
      <c r="D183" s="269"/>
      <c r="E183" s="269"/>
      <c r="F183" s="269">
        <f t="shared" si="59"/>
        <v>-4437012.8250000039</v>
      </c>
      <c r="G183" s="269">
        <f t="shared" si="59"/>
        <v>-4437012.8249999993</v>
      </c>
      <c r="H183" s="269">
        <f t="shared" si="56"/>
        <v>0</v>
      </c>
      <c r="I183" s="269">
        <f t="shared" si="56"/>
        <v>0</v>
      </c>
      <c r="J183" s="269">
        <f t="shared" si="49"/>
        <v>0</v>
      </c>
      <c r="K183" s="269">
        <f t="shared" si="58"/>
        <v>0</v>
      </c>
      <c r="L183" s="269">
        <f t="shared" si="50"/>
        <v>0</v>
      </c>
      <c r="M183" s="270">
        <f t="shared" si="51"/>
        <v>0</v>
      </c>
      <c r="N183" s="97"/>
      <c r="O183" s="271"/>
      <c r="P183" s="271"/>
      <c r="Q183" s="271"/>
      <c r="R183" s="271"/>
      <c r="S183" s="271"/>
      <c r="T183" s="271"/>
    </row>
    <row r="184" spans="1:20" s="230" customFormat="1" ht="15">
      <c r="A184" s="267">
        <f t="shared" si="52"/>
        <v>48610</v>
      </c>
      <c r="B184" s="269">
        <f t="shared" si="57"/>
        <v>4437012.8249999993</v>
      </c>
      <c r="C184" s="269">
        <f t="shared" si="57"/>
        <v>4437012.8249999993</v>
      </c>
      <c r="D184" s="269"/>
      <c r="E184" s="269"/>
      <c r="F184" s="269">
        <f t="shared" si="59"/>
        <v>-4437012.8250000039</v>
      </c>
      <c r="G184" s="269">
        <f t="shared" si="59"/>
        <v>-4437012.8249999993</v>
      </c>
      <c r="H184" s="269">
        <f t="shared" si="56"/>
        <v>0</v>
      </c>
      <c r="I184" s="269">
        <f t="shared" si="56"/>
        <v>0</v>
      </c>
      <c r="J184" s="269">
        <f t="shared" si="49"/>
        <v>0</v>
      </c>
      <c r="K184" s="269">
        <f t="shared" si="58"/>
        <v>0</v>
      </c>
      <c r="L184" s="269">
        <f t="shared" si="50"/>
        <v>0</v>
      </c>
      <c r="M184" s="270">
        <f t="shared" si="51"/>
        <v>0</v>
      </c>
      <c r="N184" s="97"/>
      <c r="O184" s="271"/>
      <c r="P184" s="271"/>
      <c r="Q184" s="271"/>
      <c r="R184" s="271"/>
      <c r="S184" s="271"/>
      <c r="T184" s="271"/>
    </row>
    <row r="185" spans="1:20" s="230" customFormat="1" ht="15">
      <c r="A185" s="267">
        <f t="shared" si="52"/>
        <v>48638</v>
      </c>
      <c r="B185" s="269">
        <f t="shared" si="57"/>
        <v>4437012.8249999993</v>
      </c>
      <c r="C185" s="269">
        <f t="shared" si="57"/>
        <v>4437012.8249999993</v>
      </c>
      <c r="D185" s="269"/>
      <c r="E185" s="269"/>
      <c r="F185" s="269">
        <f t="shared" si="59"/>
        <v>-4437012.8250000039</v>
      </c>
      <c r="G185" s="269">
        <f t="shared" si="59"/>
        <v>-4437012.8249999993</v>
      </c>
      <c r="H185" s="269">
        <f t="shared" si="56"/>
        <v>0</v>
      </c>
      <c r="I185" s="269">
        <f t="shared" si="56"/>
        <v>0</v>
      </c>
      <c r="J185" s="269">
        <f t="shared" si="49"/>
        <v>0</v>
      </c>
      <c r="K185" s="269">
        <f t="shared" si="58"/>
        <v>0</v>
      </c>
      <c r="L185" s="269">
        <f t="shared" si="50"/>
        <v>0</v>
      </c>
      <c r="M185" s="270">
        <f t="shared" si="51"/>
        <v>0</v>
      </c>
      <c r="N185" s="97"/>
      <c r="O185" s="271"/>
      <c r="P185" s="271"/>
      <c r="Q185" s="271"/>
      <c r="R185" s="271"/>
      <c r="S185" s="271"/>
      <c r="T185" s="271"/>
    </row>
    <row r="186" spans="1:20" s="230" customFormat="1" ht="15">
      <c r="A186" s="267">
        <f t="shared" si="52"/>
        <v>48669</v>
      </c>
      <c r="B186" s="269">
        <f t="shared" si="57"/>
        <v>4437012.8249999993</v>
      </c>
      <c r="C186" s="269">
        <f t="shared" si="57"/>
        <v>4437012.8249999993</v>
      </c>
      <c r="D186" s="269"/>
      <c r="E186" s="269"/>
      <c r="F186" s="269">
        <f t="shared" si="59"/>
        <v>-4437012.8250000039</v>
      </c>
      <c r="G186" s="269">
        <f t="shared" si="59"/>
        <v>-4437012.8249999993</v>
      </c>
      <c r="H186" s="269">
        <f t="shared" si="56"/>
        <v>0</v>
      </c>
      <c r="I186" s="269">
        <f t="shared" si="56"/>
        <v>0</v>
      </c>
      <c r="J186" s="269">
        <f t="shared" si="49"/>
        <v>0</v>
      </c>
      <c r="K186" s="269">
        <f t="shared" si="58"/>
        <v>0</v>
      </c>
      <c r="L186" s="269">
        <f t="shared" si="50"/>
        <v>0</v>
      </c>
      <c r="M186" s="270">
        <f t="shared" si="51"/>
        <v>0</v>
      </c>
      <c r="N186" s="97"/>
      <c r="O186" s="271"/>
      <c r="P186" s="271"/>
      <c r="Q186" s="271"/>
      <c r="R186" s="271"/>
      <c r="S186" s="271"/>
      <c r="T186" s="271"/>
    </row>
    <row r="187" spans="1:20" ht="6" customHeight="1" thickBot="1">
      <c r="A187" s="276"/>
      <c r="B187" s="277"/>
      <c r="C187" s="277"/>
      <c r="D187" s="277"/>
      <c r="E187" s="277"/>
      <c r="F187" s="277"/>
      <c r="G187" s="277"/>
      <c r="H187" s="277"/>
      <c r="I187" s="277"/>
      <c r="J187" s="277"/>
      <c r="K187" s="277"/>
      <c r="L187" s="277"/>
      <c r="M187" s="278">
        <f t="shared" si="51"/>
        <v>0</v>
      </c>
      <c r="N187" s="97"/>
      <c r="O187" s="279"/>
      <c r="P187" s="279"/>
      <c r="Q187" s="279"/>
      <c r="R187" s="279"/>
      <c r="S187" s="279"/>
      <c r="T187" s="279"/>
    </row>
    <row r="188" spans="1:20" s="230" customFormat="1" ht="15">
      <c r="A188" s="280"/>
      <c r="B188" s="281"/>
      <c r="C188" s="281"/>
      <c r="D188" s="282"/>
      <c r="E188" s="282"/>
      <c r="F188" s="283"/>
      <c r="G188" s="281"/>
      <c r="H188" s="281"/>
      <c r="I188" s="281"/>
      <c r="J188" s="281"/>
      <c r="K188" s="281"/>
      <c r="L188" s="281"/>
      <c r="M188" s="97"/>
      <c r="N188" s="97"/>
      <c r="O188" s="97"/>
    </row>
    <row r="189" spans="1:20" ht="15">
      <c r="A189" s="97"/>
      <c r="B189" s="97"/>
      <c r="C189" s="97"/>
      <c r="D189" s="227"/>
      <c r="E189" s="97"/>
      <c r="F189" s="97"/>
      <c r="G189" s="227"/>
      <c r="H189" s="97"/>
      <c r="I189" s="97"/>
      <c r="J189" s="97"/>
      <c r="K189" s="97"/>
      <c r="L189" s="97"/>
      <c r="M189" s="97"/>
      <c r="N189" s="97"/>
      <c r="O189" s="97"/>
    </row>
    <row r="190" spans="1:20" ht="15">
      <c r="A190" s="97"/>
      <c r="B190" s="97"/>
      <c r="C190" s="97"/>
      <c r="D190" s="227"/>
      <c r="E190" s="97"/>
      <c r="F190" s="97"/>
      <c r="G190" s="97"/>
      <c r="H190" s="97"/>
      <c r="I190" s="97"/>
      <c r="J190" s="97"/>
      <c r="K190" s="97"/>
      <c r="L190" s="97"/>
      <c r="M190" s="97"/>
      <c r="N190" s="97"/>
      <c r="O190" s="97"/>
      <c r="P190" s="97"/>
      <c r="Q190" s="97"/>
    </row>
    <row r="191" spans="1:20" ht="15">
      <c r="A191" s="284"/>
      <c r="B191" s="97"/>
      <c r="C191" s="97"/>
      <c r="D191" s="97"/>
      <c r="E191" s="97"/>
      <c r="F191" s="97"/>
      <c r="G191" s="97"/>
      <c r="H191" s="97"/>
      <c r="I191" s="97"/>
      <c r="J191" s="97"/>
      <c r="K191" s="97"/>
      <c r="L191" s="97"/>
      <c r="M191" s="97"/>
      <c r="N191" s="97"/>
      <c r="O191" s="97"/>
      <c r="P191" s="97"/>
      <c r="Q191" s="97"/>
    </row>
    <row r="192" spans="1:20" ht="15">
      <c r="A192" s="97"/>
      <c r="B192" s="97"/>
      <c r="C192" s="97"/>
      <c r="D192" s="97"/>
      <c r="E192" s="97"/>
      <c r="F192" s="97"/>
      <c r="G192" s="97"/>
      <c r="H192" s="97"/>
      <c r="I192" s="97"/>
      <c r="J192" s="97"/>
      <c r="K192" s="97"/>
      <c r="L192" s="97"/>
      <c r="M192" s="97"/>
      <c r="N192" s="97"/>
    </row>
    <row r="193" spans="1:15" ht="15">
      <c r="A193" s="97"/>
      <c r="B193" s="97"/>
      <c r="C193" s="97"/>
      <c r="D193" s="97"/>
      <c r="E193" s="97"/>
      <c r="F193" s="97"/>
      <c r="G193" s="97"/>
      <c r="H193" s="97"/>
      <c r="I193" s="97"/>
      <c r="J193" s="97"/>
      <c r="K193" s="97"/>
      <c r="L193" s="97"/>
      <c r="M193" s="97"/>
      <c r="N193" s="97"/>
      <c r="O193"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185"/>
  <sheetViews>
    <sheetView zoomScale="88" zoomScaleNormal="88" workbookViewId="0">
      <pane xSplit="1" ySplit="18" topLeftCell="B163"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2020</v>
      </c>
      <c r="C4" s="222">
        <f>+B4+1</f>
        <v>2021</v>
      </c>
      <c r="D4" s="222">
        <f t="shared" ref="D4:E4" si="0">+C4+1</f>
        <v>2022</v>
      </c>
      <c r="E4" s="222">
        <f t="shared" si="0"/>
        <v>2023</v>
      </c>
      <c r="F4" s="222">
        <f>+E4+1</f>
        <v>2024</v>
      </c>
      <c r="G4" s="222">
        <f t="shared" ref="G4:P4" si="1">+F4+1</f>
        <v>2025</v>
      </c>
      <c r="H4" s="222">
        <f t="shared" si="1"/>
        <v>2026</v>
      </c>
      <c r="I4" s="222">
        <f t="shared" si="1"/>
        <v>2027</v>
      </c>
      <c r="J4" s="222">
        <f t="shared" si="1"/>
        <v>2028</v>
      </c>
      <c r="K4" s="222">
        <f t="shared" si="1"/>
        <v>2029</v>
      </c>
      <c r="L4" s="222">
        <f t="shared" si="1"/>
        <v>2030</v>
      </c>
      <c r="M4" s="222">
        <f t="shared" si="1"/>
        <v>2031</v>
      </c>
      <c r="N4" s="222">
        <f t="shared" si="1"/>
        <v>2032</v>
      </c>
      <c r="O4" s="222">
        <f t="shared" si="1"/>
        <v>2033</v>
      </c>
      <c r="P4" s="222">
        <f t="shared" si="1"/>
        <v>2034</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2035</v>
      </c>
      <c r="C7" s="222">
        <f>+B7+1</f>
        <v>2036</v>
      </c>
      <c r="D7" s="222">
        <f>+C7+1</f>
        <v>2037</v>
      </c>
      <c r="E7" s="222">
        <f>+D7+1</f>
        <v>2038</v>
      </c>
      <c r="F7" s="222">
        <f>+E7+1</f>
        <v>2039</v>
      </c>
      <c r="G7" s="222">
        <f>+F7+1</f>
        <v>2040</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85" t="s">
        <v>356</v>
      </c>
      <c r="M17" s="286" t="s">
        <v>357</v>
      </c>
    </row>
    <row r="18" spans="1:20" ht="7.5" customHeight="1">
      <c r="A18" s="264"/>
      <c r="B18" s="265"/>
      <c r="C18" s="265"/>
      <c r="D18" s="265"/>
      <c r="E18" s="265"/>
      <c r="F18" s="265"/>
      <c r="G18" s="265"/>
      <c r="H18" s="265"/>
      <c r="I18" s="265"/>
      <c r="J18" s="265"/>
      <c r="K18" s="265"/>
      <c r="L18" s="287"/>
      <c r="M18" s="288"/>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43861</v>
      </c>
      <c r="B20" s="269">
        <f>C20</f>
        <v>144198.50013020833</v>
      </c>
      <c r="C20" s="269">
        <f>'EV Capex Summary'!$G$57/12</f>
        <v>144198.50013020833</v>
      </c>
      <c r="D20" s="269">
        <f>B27*$B$5/8</f>
        <v>20605.965668606768</v>
      </c>
      <c r="E20" s="269">
        <f>C20*E$12/12</f>
        <v>2403.3083355034723</v>
      </c>
      <c r="F20" s="269">
        <f>-D20</f>
        <v>-20605.965668606768</v>
      </c>
      <c r="G20" s="269">
        <f>-E20</f>
        <v>-2403.3083355034723</v>
      </c>
      <c r="H20" s="269">
        <f t="shared" ref="H20:I38" si="2">B20+F20</f>
        <v>123592.53446160155</v>
      </c>
      <c r="I20" s="269">
        <f t="shared" si="2"/>
        <v>141795.19179470485</v>
      </c>
      <c r="J20" s="269">
        <f>I20-H20</f>
        <v>18202.6573331033</v>
      </c>
      <c r="K20" s="269">
        <f t="shared" ref="K20:K51" si="3">-J20*$K$15</f>
        <v>-3822.558039951693</v>
      </c>
      <c r="L20" s="269">
        <f>-K20</f>
        <v>3822.558039951693</v>
      </c>
      <c r="M20" s="270">
        <f>I20+K20</f>
        <v>137972.63375475316</v>
      </c>
      <c r="N20" s="271"/>
      <c r="O20" s="271"/>
      <c r="P20" s="271"/>
      <c r="Q20" s="271"/>
      <c r="R20" s="271"/>
      <c r="S20" s="271"/>
      <c r="T20" s="271"/>
    </row>
    <row r="21" spans="1:20" s="230" customFormat="1">
      <c r="A21" s="267">
        <f>EOMONTH(A20,1)</f>
        <v>43890</v>
      </c>
      <c r="B21" s="269">
        <f t="shared" ref="B21:B84" si="4">C21</f>
        <v>288397.00026041665</v>
      </c>
      <c r="C21" s="269">
        <f>'EV Capex Summary'!$G$57/12+C20</f>
        <v>288397.00026041665</v>
      </c>
      <c r="D21" s="269">
        <f t="shared" ref="D21:D27" si="5">B28*$B$5/8</f>
        <v>23181.711377182615</v>
      </c>
      <c r="E21" s="269">
        <f>C21*E$12/12</f>
        <v>4806.6166710069447</v>
      </c>
      <c r="F21" s="269">
        <f t="shared" ref="F21:G36" si="6">F20-D21</f>
        <v>-43787.677045789387</v>
      </c>
      <c r="G21" s="269">
        <f t="shared" si="6"/>
        <v>-7209.925006510417</v>
      </c>
      <c r="H21" s="269">
        <f t="shared" si="2"/>
        <v>244609.32321462728</v>
      </c>
      <c r="I21" s="269">
        <f t="shared" si="2"/>
        <v>281187.07525390625</v>
      </c>
      <c r="J21" s="269">
        <f t="shared" ref="J21:J84" si="7">I21-H21</f>
        <v>36577.752039278974</v>
      </c>
      <c r="K21" s="269">
        <f t="shared" si="3"/>
        <v>-7681.3279282485846</v>
      </c>
      <c r="L21" s="269">
        <f t="shared" ref="L21:L84" si="8">-K21+K20</f>
        <v>3858.7698882968916</v>
      </c>
      <c r="M21" s="270">
        <f t="shared" ref="M21:M84" si="9">I21+K21</f>
        <v>273505.74732565769</v>
      </c>
      <c r="N21" s="271"/>
      <c r="O21" s="271"/>
      <c r="P21" s="271"/>
      <c r="Q21" s="271"/>
      <c r="R21" s="271"/>
      <c r="S21" s="271"/>
      <c r="T21" s="271"/>
    </row>
    <row r="22" spans="1:20" s="230" customFormat="1">
      <c r="A22" s="267">
        <f t="shared" ref="A22:A85" si="10">EOMONTH(A21,1)</f>
        <v>43921</v>
      </c>
      <c r="B22" s="269">
        <f t="shared" si="4"/>
        <v>432595.50039062498</v>
      </c>
      <c r="C22" s="269">
        <f>'EV Capex Summary'!$G$57/12+C21</f>
        <v>432595.50039062498</v>
      </c>
      <c r="D22" s="269">
        <f t="shared" si="5"/>
        <v>25757.457085758459</v>
      </c>
      <c r="E22" s="269">
        <f t="shared" ref="E22:E74" si="11">C22*E$12/12</f>
        <v>7209.925006510417</v>
      </c>
      <c r="F22" s="269">
        <f t="shared" si="6"/>
        <v>-69545.134131547849</v>
      </c>
      <c r="G22" s="269">
        <f t="shared" si="6"/>
        <v>-14419.850013020834</v>
      </c>
      <c r="H22" s="269">
        <f t="shared" si="2"/>
        <v>363050.3662590771</v>
      </c>
      <c r="I22" s="269">
        <f t="shared" si="2"/>
        <v>418175.65037760412</v>
      </c>
      <c r="J22" s="269">
        <f t="shared" si="7"/>
        <v>55125.284118527023</v>
      </c>
      <c r="K22" s="269">
        <f t="shared" si="3"/>
        <v>-11576.309664890674</v>
      </c>
      <c r="L22" s="269">
        <f t="shared" si="8"/>
        <v>3894.9817366420893</v>
      </c>
      <c r="M22" s="270">
        <f t="shared" si="9"/>
        <v>406599.34071271343</v>
      </c>
      <c r="N22" s="271"/>
      <c r="O22" s="271"/>
      <c r="P22" s="271"/>
      <c r="Q22" s="271"/>
      <c r="R22" s="271"/>
      <c r="S22" s="271"/>
      <c r="T22" s="271"/>
    </row>
    <row r="23" spans="1:20" s="230" customFormat="1">
      <c r="A23" s="267">
        <f t="shared" si="10"/>
        <v>43951</v>
      </c>
      <c r="B23" s="269">
        <f t="shared" si="4"/>
        <v>576794.0005208333</v>
      </c>
      <c r="C23" s="269">
        <f>'EV Capex Summary'!$G$57/12+C22</f>
        <v>576794.0005208333</v>
      </c>
      <c r="D23" s="269">
        <f t="shared" si="5"/>
        <v>28333.202794334302</v>
      </c>
      <c r="E23" s="269">
        <f t="shared" si="11"/>
        <v>9613.2333420138893</v>
      </c>
      <c r="F23" s="269">
        <f t="shared" si="6"/>
        <v>-97878.336925882148</v>
      </c>
      <c r="G23" s="269">
        <f t="shared" si="6"/>
        <v>-24033.083355034723</v>
      </c>
      <c r="H23" s="269">
        <f t="shared" si="2"/>
        <v>478915.66359495115</v>
      </c>
      <c r="I23" s="269">
        <f t="shared" si="2"/>
        <v>552760.9171657986</v>
      </c>
      <c r="J23" s="269">
        <f t="shared" si="7"/>
        <v>73845.253570847446</v>
      </c>
      <c r="K23" s="269">
        <f t="shared" si="3"/>
        <v>-15507.503249877964</v>
      </c>
      <c r="L23" s="269">
        <f t="shared" si="8"/>
        <v>3931.1935849872898</v>
      </c>
      <c r="M23" s="270">
        <f t="shared" si="9"/>
        <v>537253.41391592065</v>
      </c>
      <c r="N23" s="272"/>
      <c r="O23" s="273"/>
      <c r="P23" s="271"/>
      <c r="Q23" s="271"/>
      <c r="R23" s="271"/>
      <c r="S23" s="271"/>
      <c r="T23" s="271"/>
    </row>
    <row r="24" spans="1:20" s="230" customFormat="1">
      <c r="A24" s="267">
        <f t="shared" si="10"/>
        <v>43982</v>
      </c>
      <c r="B24" s="269">
        <f t="shared" si="4"/>
        <v>720992.50065104163</v>
      </c>
      <c r="C24" s="269">
        <f>'EV Capex Summary'!$G$57/12+C23</f>
        <v>720992.50065104163</v>
      </c>
      <c r="D24" s="269">
        <f t="shared" si="5"/>
        <v>30908.948502910145</v>
      </c>
      <c r="E24" s="269">
        <f t="shared" si="11"/>
        <v>12016.54167751736</v>
      </c>
      <c r="F24" s="269">
        <f t="shared" si="6"/>
        <v>-128787.2854287923</v>
      </c>
      <c r="G24" s="269">
        <f t="shared" si="6"/>
        <v>-36049.625032552081</v>
      </c>
      <c r="H24" s="269">
        <f t="shared" si="2"/>
        <v>592205.21522224927</v>
      </c>
      <c r="I24" s="269">
        <f t="shared" si="2"/>
        <v>684942.87561848958</v>
      </c>
      <c r="J24" s="269">
        <f t="shared" si="7"/>
        <v>92737.660396240302</v>
      </c>
      <c r="K24" s="269">
        <f t="shared" si="3"/>
        <v>-19474.908683210462</v>
      </c>
      <c r="L24" s="269">
        <f t="shared" si="8"/>
        <v>3967.4054333324984</v>
      </c>
      <c r="M24" s="270">
        <f t="shared" si="9"/>
        <v>665467.96693527908</v>
      </c>
      <c r="N24" s="271"/>
      <c r="O24" s="271"/>
      <c r="P24" s="271"/>
      <c r="Q24" s="271"/>
      <c r="R24" s="271"/>
      <c r="S24" s="271"/>
      <c r="T24" s="271"/>
    </row>
    <row r="25" spans="1:20" s="230" customFormat="1">
      <c r="A25" s="267">
        <f t="shared" si="10"/>
        <v>44012</v>
      </c>
      <c r="B25" s="269">
        <f t="shared" si="4"/>
        <v>865191.00078124995</v>
      </c>
      <c r="C25" s="269">
        <f>'EV Capex Summary'!$G$57/12+C24</f>
        <v>865191.00078124995</v>
      </c>
      <c r="D25" s="269">
        <f t="shared" si="5"/>
        <v>30908.948502910145</v>
      </c>
      <c r="E25" s="269">
        <f t="shared" si="11"/>
        <v>14419.850013020834</v>
      </c>
      <c r="F25" s="269">
        <f t="shared" si="6"/>
        <v>-159696.23393170245</v>
      </c>
      <c r="G25" s="269">
        <f t="shared" si="6"/>
        <v>-50469.475045572915</v>
      </c>
      <c r="H25" s="269">
        <f t="shared" si="2"/>
        <v>705494.76684954751</v>
      </c>
      <c r="I25" s="269">
        <f t="shared" si="2"/>
        <v>814721.52573567699</v>
      </c>
      <c r="J25" s="269">
        <f t="shared" si="7"/>
        <v>109226.75888612948</v>
      </c>
      <c r="K25" s="269">
        <f t="shared" si="3"/>
        <v>-22937.61936608719</v>
      </c>
      <c r="L25" s="269">
        <f t="shared" si="8"/>
        <v>3462.7106828767282</v>
      </c>
      <c r="M25" s="270">
        <f t="shared" si="9"/>
        <v>791783.90636958985</v>
      </c>
      <c r="N25" s="271"/>
      <c r="O25" s="271"/>
      <c r="P25" s="271"/>
      <c r="Q25" s="271"/>
      <c r="R25" s="271"/>
      <c r="S25" s="271"/>
      <c r="T25" s="271"/>
    </row>
    <row r="26" spans="1:20" s="230" customFormat="1">
      <c r="A26" s="267">
        <f t="shared" si="10"/>
        <v>44043</v>
      </c>
      <c r="B26" s="269">
        <f t="shared" si="4"/>
        <v>1009389.5009114583</v>
      </c>
      <c r="C26" s="269">
        <f>'EV Capex Summary'!$G$57/12+C25</f>
        <v>1009389.5009114583</v>
      </c>
      <c r="D26" s="269">
        <f t="shared" si="5"/>
        <v>30908.948502910145</v>
      </c>
      <c r="E26" s="269">
        <f t="shared" si="11"/>
        <v>16823.158348524306</v>
      </c>
      <c r="F26" s="269">
        <f t="shared" si="6"/>
        <v>-190605.18243461259</v>
      </c>
      <c r="G26" s="269">
        <f t="shared" si="6"/>
        <v>-67292.633394097225</v>
      </c>
      <c r="H26" s="269">
        <f t="shared" si="2"/>
        <v>818784.31847684574</v>
      </c>
      <c r="I26" s="269">
        <f t="shared" si="2"/>
        <v>942096.86751736107</v>
      </c>
      <c r="J26" s="269">
        <f t="shared" si="7"/>
        <v>123312.54904051533</v>
      </c>
      <c r="K26" s="269">
        <f t="shared" si="3"/>
        <v>-25895.635298508216</v>
      </c>
      <c r="L26" s="269">
        <f>-K26+K25</f>
        <v>2958.0159324210254</v>
      </c>
      <c r="M26" s="270">
        <f t="shared" si="9"/>
        <v>916201.23221885285</v>
      </c>
      <c r="N26" s="271"/>
      <c r="O26" s="271"/>
      <c r="P26" s="271"/>
      <c r="Q26" s="271"/>
      <c r="R26" s="271"/>
      <c r="S26" s="271"/>
      <c r="T26" s="271"/>
    </row>
    <row r="27" spans="1:20" s="230" customFormat="1">
      <c r="A27" s="267">
        <f t="shared" si="10"/>
        <v>44074</v>
      </c>
      <c r="B27" s="269">
        <f t="shared" si="4"/>
        <v>1153588.0010416666</v>
      </c>
      <c r="C27" s="269">
        <f>'EV Capex Summary'!$G$57/12+C26</f>
        <v>1153588.0010416666</v>
      </c>
      <c r="D27" s="269">
        <f t="shared" si="5"/>
        <v>30908.948502910145</v>
      </c>
      <c r="E27" s="269">
        <f t="shared" si="11"/>
        <v>19226.466684027779</v>
      </c>
      <c r="F27" s="269">
        <f t="shared" si="6"/>
        <v>-221514.13093752274</v>
      </c>
      <c r="G27" s="269">
        <f t="shared" si="6"/>
        <v>-86519.100078125004</v>
      </c>
      <c r="H27" s="269">
        <f t="shared" si="2"/>
        <v>932073.87010414386</v>
      </c>
      <c r="I27" s="269">
        <f t="shared" si="2"/>
        <v>1067068.9009635416</v>
      </c>
      <c r="J27" s="269">
        <f t="shared" si="7"/>
        <v>134995.03085939772</v>
      </c>
      <c r="K27" s="269">
        <f t="shared" si="3"/>
        <v>-28348.95648047352</v>
      </c>
      <c r="L27" s="269">
        <f>-K27+K26</f>
        <v>2453.3211819653043</v>
      </c>
      <c r="M27" s="270">
        <f t="shared" si="9"/>
        <v>1038719.9444830681</v>
      </c>
      <c r="N27" s="271"/>
      <c r="O27" s="271"/>
      <c r="P27" s="271"/>
      <c r="Q27" s="271"/>
      <c r="R27" s="271"/>
      <c r="S27" s="271"/>
      <c r="T27" s="271"/>
    </row>
    <row r="28" spans="1:20" s="230" customFormat="1">
      <c r="A28" s="267">
        <f t="shared" si="10"/>
        <v>44104</v>
      </c>
      <c r="B28" s="269">
        <f t="shared" si="4"/>
        <v>1297786.5011718748</v>
      </c>
      <c r="C28" s="269">
        <f>'EV Capex Summary'!$G$57/12+C27</f>
        <v>1297786.5011718748</v>
      </c>
      <c r="D28" s="269">
        <f t="shared" ref="D28:D39" si="12">B28*$C$5/12</f>
        <v>26485.659511416012</v>
      </c>
      <c r="E28" s="269">
        <f t="shared" si="11"/>
        <v>21629.775019531247</v>
      </c>
      <c r="F28" s="269">
        <f t="shared" si="6"/>
        <v>-247999.79044893876</v>
      </c>
      <c r="G28" s="269">
        <f t="shared" si="6"/>
        <v>-108148.87509765624</v>
      </c>
      <c r="H28" s="269">
        <f t="shared" si="2"/>
        <v>1049786.7107229361</v>
      </c>
      <c r="I28" s="269">
        <f t="shared" si="2"/>
        <v>1189637.6260742187</v>
      </c>
      <c r="J28" s="269">
        <f t="shared" si="7"/>
        <v>139850.91535128257</v>
      </c>
      <c r="K28" s="269">
        <f t="shared" si="3"/>
        <v>-29368.69222376934</v>
      </c>
      <c r="L28" s="269">
        <f>-K28+K27</f>
        <v>1019.7357432958197</v>
      </c>
      <c r="M28" s="270">
        <f t="shared" si="9"/>
        <v>1160268.9338504493</v>
      </c>
      <c r="N28" s="271"/>
      <c r="O28" s="271"/>
      <c r="P28" s="271"/>
      <c r="Q28" s="271"/>
      <c r="R28" s="271"/>
      <c r="S28" s="271"/>
      <c r="T28" s="271"/>
    </row>
    <row r="29" spans="1:20" s="230" customFormat="1">
      <c r="A29" s="267">
        <f t="shared" si="10"/>
        <v>44135</v>
      </c>
      <c r="B29" s="269">
        <f t="shared" si="4"/>
        <v>1441985.001302083</v>
      </c>
      <c r="C29" s="269">
        <f>'EV Capex Summary'!$G$57/12+C28</f>
        <v>1441985.001302083</v>
      </c>
      <c r="D29" s="269">
        <f t="shared" si="12"/>
        <v>29428.510568240014</v>
      </c>
      <c r="E29" s="269">
        <f t="shared" si="11"/>
        <v>24033.083355034716</v>
      </c>
      <c r="F29" s="269">
        <f t="shared" si="6"/>
        <v>-277428.30101717875</v>
      </c>
      <c r="G29" s="269">
        <f t="shared" si="6"/>
        <v>-132181.95845269097</v>
      </c>
      <c r="H29" s="269">
        <f t="shared" si="2"/>
        <v>1164556.7002849043</v>
      </c>
      <c r="I29" s="269">
        <f t="shared" si="2"/>
        <v>1309803.0428493922</v>
      </c>
      <c r="J29" s="269">
        <f t="shared" si="7"/>
        <v>145246.34256448783</v>
      </c>
      <c r="K29" s="269">
        <f t="shared" si="3"/>
        <v>-30501.731938542442</v>
      </c>
      <c r="L29" s="269">
        <f t="shared" si="8"/>
        <v>1133.0397147731019</v>
      </c>
      <c r="M29" s="270">
        <f t="shared" si="9"/>
        <v>1279301.3109108498</v>
      </c>
      <c r="N29" s="271"/>
      <c r="O29" s="271"/>
      <c r="P29" s="271"/>
      <c r="Q29" s="271"/>
      <c r="R29" s="271"/>
      <c r="S29" s="271"/>
      <c r="T29" s="271"/>
    </row>
    <row r="30" spans="1:20" s="230" customFormat="1">
      <c r="A30" s="267">
        <f t="shared" si="10"/>
        <v>44165</v>
      </c>
      <c r="B30" s="269">
        <f t="shared" si="4"/>
        <v>1586183.5014322912</v>
      </c>
      <c r="C30" s="269">
        <f>'EV Capex Summary'!$G$57/12+C29</f>
        <v>1586183.5014322912</v>
      </c>
      <c r="D30" s="269">
        <f t="shared" si="12"/>
        <v>32371.361625064008</v>
      </c>
      <c r="E30" s="269">
        <f t="shared" si="11"/>
        <v>26436.391690538188</v>
      </c>
      <c r="F30" s="269">
        <f t="shared" si="6"/>
        <v>-309799.66264224274</v>
      </c>
      <c r="G30" s="269">
        <f t="shared" si="6"/>
        <v>-158618.35014322915</v>
      </c>
      <c r="H30" s="269">
        <f t="shared" si="2"/>
        <v>1276383.8387900484</v>
      </c>
      <c r="I30" s="269">
        <f t="shared" si="2"/>
        <v>1427565.1512890621</v>
      </c>
      <c r="J30" s="269">
        <f t="shared" si="7"/>
        <v>151181.31249901373</v>
      </c>
      <c r="K30" s="269">
        <f t="shared" si="3"/>
        <v>-31748.07562479288</v>
      </c>
      <c r="L30" s="269">
        <f t="shared" si="8"/>
        <v>1246.3436862504386</v>
      </c>
      <c r="M30" s="270">
        <f t="shared" si="9"/>
        <v>1395817.0756642693</v>
      </c>
      <c r="N30" s="271"/>
      <c r="O30" s="271"/>
      <c r="P30" s="271"/>
      <c r="Q30" s="271"/>
      <c r="R30" s="271"/>
      <c r="S30" s="271"/>
      <c r="T30" s="271"/>
    </row>
    <row r="31" spans="1:20" s="230" customFormat="1">
      <c r="A31" s="267">
        <f t="shared" si="10"/>
        <v>44196</v>
      </c>
      <c r="B31" s="269">
        <f t="shared" si="4"/>
        <v>1730382.0015624994</v>
      </c>
      <c r="C31" s="269">
        <f>'EV Capex Summary'!$G$57/12+C30</f>
        <v>1730382.0015624994</v>
      </c>
      <c r="D31" s="269">
        <f t="shared" si="12"/>
        <v>35314.212681888013</v>
      </c>
      <c r="E31" s="269">
        <f t="shared" si="11"/>
        <v>28839.700026041657</v>
      </c>
      <c r="F31" s="269">
        <f t="shared" si="6"/>
        <v>-345113.87532413076</v>
      </c>
      <c r="G31" s="269">
        <f t="shared" si="6"/>
        <v>-187458.05016927081</v>
      </c>
      <c r="H31" s="269">
        <f t="shared" si="2"/>
        <v>1385268.1262383687</v>
      </c>
      <c r="I31" s="269">
        <f t="shared" si="2"/>
        <v>1542923.9513932287</v>
      </c>
      <c r="J31" s="269">
        <f t="shared" si="7"/>
        <v>157655.82515486004</v>
      </c>
      <c r="K31" s="269">
        <f t="shared" si="3"/>
        <v>-33107.723282520608</v>
      </c>
      <c r="L31" s="269">
        <f t="shared" si="8"/>
        <v>1359.6476577277281</v>
      </c>
      <c r="M31" s="270">
        <f t="shared" si="9"/>
        <v>1509816.2281107081</v>
      </c>
      <c r="N31" s="271"/>
      <c r="O31" s="271"/>
      <c r="P31" s="271"/>
      <c r="Q31" s="271"/>
      <c r="R31" s="271"/>
      <c r="S31" s="271"/>
      <c r="T31" s="271"/>
    </row>
    <row r="32" spans="1:20" s="230" customFormat="1">
      <c r="A32" s="267">
        <f t="shared" si="10"/>
        <v>44227</v>
      </c>
      <c r="B32" s="269">
        <f t="shared" si="4"/>
        <v>1730382.0015624994</v>
      </c>
      <c r="C32" s="269">
        <f t="shared" ref="C32:C95" si="13">C31</f>
        <v>1730382.0015624994</v>
      </c>
      <c r="D32" s="269">
        <f t="shared" si="12"/>
        <v>35314.212681888013</v>
      </c>
      <c r="E32" s="269">
        <f t="shared" si="11"/>
        <v>28839.700026041657</v>
      </c>
      <c r="F32" s="269">
        <f t="shared" si="6"/>
        <v>-380428.08800601878</v>
      </c>
      <c r="G32" s="269">
        <f t="shared" si="6"/>
        <v>-216297.75019531246</v>
      </c>
      <c r="H32" s="269">
        <f t="shared" si="2"/>
        <v>1349953.9135564808</v>
      </c>
      <c r="I32" s="269">
        <f t="shared" si="2"/>
        <v>1514084.2513671869</v>
      </c>
      <c r="J32" s="269">
        <f t="shared" si="7"/>
        <v>164130.33781070611</v>
      </c>
      <c r="K32" s="269">
        <f t="shared" si="3"/>
        <v>-34467.370940248285</v>
      </c>
      <c r="L32" s="269">
        <f t="shared" si="8"/>
        <v>1359.6476577276771</v>
      </c>
      <c r="M32" s="270">
        <f t="shared" si="9"/>
        <v>1479616.8804269386</v>
      </c>
      <c r="N32" s="271"/>
      <c r="O32" s="271"/>
      <c r="P32" s="271"/>
      <c r="Q32" s="271"/>
      <c r="R32" s="271"/>
      <c r="S32" s="271"/>
      <c r="T32" s="271"/>
    </row>
    <row r="33" spans="1:20" s="230" customFormat="1">
      <c r="A33" s="267">
        <f t="shared" si="10"/>
        <v>44255</v>
      </c>
      <c r="B33" s="269">
        <f t="shared" si="4"/>
        <v>1730382.0015624994</v>
      </c>
      <c r="C33" s="269">
        <f t="shared" si="13"/>
        <v>1730382.0015624994</v>
      </c>
      <c r="D33" s="269">
        <f t="shared" si="12"/>
        <v>35314.212681888013</v>
      </c>
      <c r="E33" s="269">
        <f t="shared" si="11"/>
        <v>28839.700026041657</v>
      </c>
      <c r="F33" s="269">
        <f t="shared" si="6"/>
        <v>-415742.3006879068</v>
      </c>
      <c r="G33" s="269">
        <f t="shared" si="6"/>
        <v>-245137.45022135411</v>
      </c>
      <c r="H33" s="269">
        <f t="shared" si="2"/>
        <v>1314639.7008745926</v>
      </c>
      <c r="I33" s="269">
        <f t="shared" si="2"/>
        <v>1485244.5513411453</v>
      </c>
      <c r="J33" s="269">
        <f t="shared" si="7"/>
        <v>170604.85046655266</v>
      </c>
      <c r="K33" s="269">
        <f t="shared" si="3"/>
        <v>-35827.018597976057</v>
      </c>
      <c r="L33" s="269">
        <f t="shared" si="8"/>
        <v>1359.6476577277717</v>
      </c>
      <c r="M33" s="270">
        <f t="shared" si="9"/>
        <v>1449417.5327431692</v>
      </c>
      <c r="N33" s="274"/>
      <c r="O33" s="271"/>
      <c r="P33" s="271"/>
      <c r="Q33" s="271"/>
      <c r="R33" s="271"/>
      <c r="S33" s="271"/>
      <c r="T33" s="271"/>
    </row>
    <row r="34" spans="1:20" s="230" customFormat="1">
      <c r="A34" s="267">
        <f t="shared" si="10"/>
        <v>44286</v>
      </c>
      <c r="B34" s="269">
        <f t="shared" si="4"/>
        <v>1730382.0015624994</v>
      </c>
      <c r="C34" s="269">
        <f t="shared" si="13"/>
        <v>1730382.0015624994</v>
      </c>
      <c r="D34" s="269">
        <f t="shared" si="12"/>
        <v>35314.212681888013</v>
      </c>
      <c r="E34" s="269">
        <f t="shared" si="11"/>
        <v>28839.700026041657</v>
      </c>
      <c r="F34" s="269">
        <f t="shared" si="6"/>
        <v>-451056.51336979482</v>
      </c>
      <c r="G34" s="269">
        <f t="shared" si="6"/>
        <v>-273977.1502473958</v>
      </c>
      <c r="H34" s="269">
        <f t="shared" si="2"/>
        <v>1279325.4881927045</v>
      </c>
      <c r="I34" s="269">
        <f t="shared" si="2"/>
        <v>1456404.8513151037</v>
      </c>
      <c r="J34" s="269">
        <f t="shared" si="7"/>
        <v>177079.3631223992</v>
      </c>
      <c r="K34" s="269">
        <f t="shared" si="3"/>
        <v>-37186.666255703829</v>
      </c>
      <c r="L34" s="269">
        <f t="shared" si="8"/>
        <v>1359.6476577277717</v>
      </c>
      <c r="M34" s="270">
        <f t="shared" si="9"/>
        <v>1419218.1850593998</v>
      </c>
      <c r="N34" s="274"/>
      <c r="O34" s="271"/>
      <c r="P34" s="271"/>
      <c r="Q34" s="271"/>
      <c r="R34" s="271"/>
      <c r="S34" s="271"/>
      <c r="T34" s="271"/>
    </row>
    <row r="35" spans="1:20" s="230" customFormat="1">
      <c r="A35" s="267">
        <f t="shared" si="10"/>
        <v>44316</v>
      </c>
      <c r="B35" s="269">
        <f t="shared" si="4"/>
        <v>1730382.0015624994</v>
      </c>
      <c r="C35" s="269">
        <f t="shared" si="13"/>
        <v>1730382.0015624994</v>
      </c>
      <c r="D35" s="269">
        <f t="shared" si="12"/>
        <v>35314.212681888013</v>
      </c>
      <c r="E35" s="269">
        <f t="shared" si="11"/>
        <v>28839.700026041657</v>
      </c>
      <c r="F35" s="269">
        <f t="shared" si="6"/>
        <v>-486370.72605168284</v>
      </c>
      <c r="G35" s="269">
        <f t="shared" si="6"/>
        <v>-302816.85027343745</v>
      </c>
      <c r="H35" s="269">
        <f t="shared" si="2"/>
        <v>1244011.2755108166</v>
      </c>
      <c r="I35" s="269">
        <f t="shared" si="2"/>
        <v>1427565.1512890621</v>
      </c>
      <c r="J35" s="269">
        <f t="shared" si="7"/>
        <v>183553.87577824551</v>
      </c>
      <c r="K35" s="269">
        <f t="shared" si="3"/>
        <v>-38546.313913431557</v>
      </c>
      <c r="L35" s="269">
        <f t="shared" si="8"/>
        <v>1359.6476577277281</v>
      </c>
      <c r="M35" s="270">
        <f t="shared" si="9"/>
        <v>1389018.8373756306</v>
      </c>
      <c r="N35" s="274"/>
      <c r="O35" s="271"/>
      <c r="P35" s="271"/>
      <c r="Q35" s="271"/>
      <c r="R35" s="271"/>
      <c r="S35" s="271"/>
      <c r="T35" s="271"/>
    </row>
    <row r="36" spans="1:20" s="230" customFormat="1">
      <c r="A36" s="267">
        <f t="shared" si="10"/>
        <v>44347</v>
      </c>
      <c r="B36" s="269">
        <f t="shared" si="4"/>
        <v>1730382.0015624994</v>
      </c>
      <c r="C36" s="269">
        <f t="shared" si="13"/>
        <v>1730382.0015624994</v>
      </c>
      <c r="D36" s="269">
        <f t="shared" si="12"/>
        <v>35314.212681888013</v>
      </c>
      <c r="E36" s="269">
        <f t="shared" si="11"/>
        <v>28839.700026041657</v>
      </c>
      <c r="F36" s="269">
        <f t="shared" si="6"/>
        <v>-521684.93873357086</v>
      </c>
      <c r="G36" s="269">
        <f t="shared" si="6"/>
        <v>-331656.5502994791</v>
      </c>
      <c r="H36" s="269">
        <f t="shared" si="2"/>
        <v>1208697.0628289287</v>
      </c>
      <c r="I36" s="269">
        <f t="shared" si="2"/>
        <v>1398725.4512630203</v>
      </c>
      <c r="J36" s="269">
        <f t="shared" si="7"/>
        <v>190028.38843409158</v>
      </c>
      <c r="K36" s="269">
        <f t="shared" si="3"/>
        <v>-39905.961571159234</v>
      </c>
      <c r="L36" s="269">
        <f t="shared" si="8"/>
        <v>1359.6476577276771</v>
      </c>
      <c r="M36" s="270">
        <f t="shared" si="9"/>
        <v>1358819.489691861</v>
      </c>
      <c r="N36" s="271"/>
      <c r="O36" s="275"/>
      <c r="P36" s="271"/>
      <c r="Q36" s="271"/>
      <c r="R36" s="271"/>
      <c r="S36" s="271"/>
      <c r="T36" s="271"/>
    </row>
    <row r="37" spans="1:20" s="230" customFormat="1">
      <c r="A37" s="267">
        <f t="shared" si="10"/>
        <v>44377</v>
      </c>
      <c r="B37" s="269">
        <f t="shared" si="4"/>
        <v>1730382.0015624994</v>
      </c>
      <c r="C37" s="269">
        <f t="shared" si="13"/>
        <v>1730382.0015624994</v>
      </c>
      <c r="D37" s="269">
        <f t="shared" si="12"/>
        <v>35314.212681888013</v>
      </c>
      <c r="E37" s="269">
        <f t="shared" si="11"/>
        <v>28839.700026041657</v>
      </c>
      <c r="F37" s="269">
        <f t="shared" ref="F37:G52" si="14">F36-D37</f>
        <v>-556999.15141545888</v>
      </c>
      <c r="G37" s="269">
        <f t="shared" si="14"/>
        <v>-360496.25032552076</v>
      </c>
      <c r="H37" s="269">
        <f t="shared" si="2"/>
        <v>1173382.8501470406</v>
      </c>
      <c r="I37" s="269">
        <f t="shared" si="2"/>
        <v>1369885.7512369787</v>
      </c>
      <c r="J37" s="269">
        <f t="shared" si="7"/>
        <v>196502.90108993812</v>
      </c>
      <c r="K37" s="269">
        <f t="shared" si="3"/>
        <v>-41265.609228887006</v>
      </c>
      <c r="L37" s="269">
        <f t="shared" si="8"/>
        <v>1359.6476577277717</v>
      </c>
      <c r="M37" s="270">
        <f t="shared" si="9"/>
        <v>1328620.1420080918</v>
      </c>
      <c r="N37" s="271"/>
      <c r="O37" s="275"/>
      <c r="P37" s="271"/>
      <c r="Q37" s="271"/>
      <c r="R37" s="271"/>
      <c r="S37" s="271"/>
      <c r="T37" s="271"/>
    </row>
    <row r="38" spans="1:20" s="230" customFormat="1">
      <c r="A38" s="267">
        <f t="shared" si="10"/>
        <v>44408</v>
      </c>
      <c r="B38" s="269">
        <f t="shared" si="4"/>
        <v>1730382.0015624994</v>
      </c>
      <c r="C38" s="269">
        <f t="shared" si="13"/>
        <v>1730382.0015624994</v>
      </c>
      <c r="D38" s="269">
        <f t="shared" si="12"/>
        <v>35314.212681888013</v>
      </c>
      <c r="E38" s="269">
        <f t="shared" si="11"/>
        <v>28839.700026041657</v>
      </c>
      <c r="F38" s="269">
        <f t="shared" si="14"/>
        <v>-592313.3640973469</v>
      </c>
      <c r="G38" s="269">
        <f t="shared" si="14"/>
        <v>-389335.95035156241</v>
      </c>
      <c r="H38" s="269">
        <f t="shared" si="2"/>
        <v>1138068.6374651524</v>
      </c>
      <c r="I38" s="269">
        <f t="shared" si="2"/>
        <v>1341046.0512109371</v>
      </c>
      <c r="J38" s="269">
        <f t="shared" si="7"/>
        <v>202977.41374578467</v>
      </c>
      <c r="K38" s="269">
        <f t="shared" si="3"/>
        <v>-42625.256886614778</v>
      </c>
      <c r="L38" s="269">
        <f t="shared" si="8"/>
        <v>1359.6476577277717</v>
      </c>
      <c r="M38" s="270">
        <f t="shared" si="9"/>
        <v>1298420.7943243224</v>
      </c>
      <c r="N38" s="271"/>
      <c r="O38" s="275"/>
      <c r="P38" s="271"/>
      <c r="Q38" s="271"/>
      <c r="R38" s="271"/>
      <c r="S38" s="271"/>
      <c r="T38" s="271"/>
    </row>
    <row r="39" spans="1:20" s="230" customFormat="1">
      <c r="A39" s="267">
        <f t="shared" si="10"/>
        <v>44439</v>
      </c>
      <c r="B39" s="269">
        <f t="shared" si="4"/>
        <v>1730382.0015624994</v>
      </c>
      <c r="C39" s="269">
        <f t="shared" si="13"/>
        <v>1730382.0015624994</v>
      </c>
      <c r="D39" s="269">
        <f t="shared" si="12"/>
        <v>35314.212681888013</v>
      </c>
      <c r="E39" s="269">
        <f t="shared" si="11"/>
        <v>28839.700026041657</v>
      </c>
      <c r="F39" s="269">
        <f t="shared" si="14"/>
        <v>-627627.57677923492</v>
      </c>
      <c r="G39" s="269">
        <f t="shared" si="14"/>
        <v>-418175.65037760406</v>
      </c>
      <c r="H39" s="269">
        <f t="shared" ref="H39:I74" si="15">B39+F39</f>
        <v>1102754.4247832645</v>
      </c>
      <c r="I39" s="269">
        <f t="shared" si="15"/>
        <v>1312206.3511848953</v>
      </c>
      <c r="J39" s="269">
        <f t="shared" si="7"/>
        <v>209451.92640163074</v>
      </c>
      <c r="K39" s="269">
        <f t="shared" si="3"/>
        <v>-43984.904544342455</v>
      </c>
      <c r="L39" s="269">
        <f t="shared" si="8"/>
        <v>1359.6476577276771</v>
      </c>
      <c r="M39" s="270">
        <f t="shared" si="9"/>
        <v>1268221.4466405527</v>
      </c>
      <c r="N39" s="271"/>
      <c r="O39" s="275"/>
      <c r="P39" s="271"/>
      <c r="Q39" s="271"/>
      <c r="R39" s="271"/>
      <c r="S39" s="271"/>
      <c r="T39" s="271"/>
    </row>
    <row r="40" spans="1:20" s="230" customFormat="1">
      <c r="A40" s="267">
        <f t="shared" si="10"/>
        <v>44469</v>
      </c>
      <c r="B40" s="269">
        <f t="shared" si="4"/>
        <v>1730382.0015624994</v>
      </c>
      <c r="C40" s="269">
        <f t="shared" si="13"/>
        <v>1730382.0015624994</v>
      </c>
      <c r="D40" s="269">
        <f>B40*$D$5/12</f>
        <v>25220.317672773428</v>
      </c>
      <c r="E40" s="269">
        <f t="shared" si="11"/>
        <v>28839.700026041657</v>
      </c>
      <c r="F40" s="269">
        <f t="shared" si="14"/>
        <v>-652847.8944520083</v>
      </c>
      <c r="G40" s="269">
        <f t="shared" si="14"/>
        <v>-447015.35040364572</v>
      </c>
      <c r="H40" s="269">
        <f t="shared" si="15"/>
        <v>1077534.107110491</v>
      </c>
      <c r="I40" s="269">
        <f t="shared" si="15"/>
        <v>1283366.6511588537</v>
      </c>
      <c r="J40" s="269">
        <f t="shared" si="7"/>
        <v>205832.54404836264</v>
      </c>
      <c r="K40" s="269">
        <f t="shared" si="3"/>
        <v>-43224.834250156156</v>
      </c>
      <c r="L40" s="269">
        <f t="shared" si="8"/>
        <v>-760.07029418629827</v>
      </c>
      <c r="M40" s="270">
        <f t="shared" si="9"/>
        <v>1240141.8169086976</v>
      </c>
      <c r="N40" s="271"/>
      <c r="O40" s="275"/>
      <c r="P40" s="271"/>
      <c r="Q40" s="271"/>
      <c r="R40" s="271"/>
      <c r="S40" s="271"/>
      <c r="T40" s="271"/>
    </row>
    <row r="41" spans="1:20" s="230" customFormat="1">
      <c r="A41" s="267">
        <f t="shared" si="10"/>
        <v>44500</v>
      </c>
      <c r="B41" s="269">
        <f t="shared" si="4"/>
        <v>1730382.0015624994</v>
      </c>
      <c r="C41" s="269">
        <f t="shared" si="13"/>
        <v>1730382.0015624994</v>
      </c>
      <c r="D41" s="269">
        <f t="shared" ref="D41:D51" si="16">B41*$D$5/12</f>
        <v>25220.317672773428</v>
      </c>
      <c r="E41" s="269">
        <f t="shared" si="11"/>
        <v>28839.700026041657</v>
      </c>
      <c r="F41" s="269">
        <f t="shared" si="14"/>
        <v>-678068.21212478168</v>
      </c>
      <c r="G41" s="269">
        <f t="shared" si="14"/>
        <v>-475855.05042968737</v>
      </c>
      <c r="H41" s="269">
        <f t="shared" si="15"/>
        <v>1052313.7894377178</v>
      </c>
      <c r="I41" s="269">
        <f t="shared" si="15"/>
        <v>1254526.9511328121</v>
      </c>
      <c r="J41" s="269">
        <f t="shared" si="7"/>
        <v>202213.16169509431</v>
      </c>
      <c r="K41" s="269">
        <f t="shared" si="3"/>
        <v>-42464.763955969807</v>
      </c>
      <c r="L41" s="269">
        <f t="shared" si="8"/>
        <v>-760.0702941863492</v>
      </c>
      <c r="M41" s="270">
        <f t="shared" si="9"/>
        <v>1212062.1871768422</v>
      </c>
      <c r="N41" s="271"/>
      <c r="O41" s="275"/>
      <c r="P41" s="271"/>
      <c r="Q41" s="271"/>
      <c r="R41" s="271"/>
      <c r="S41" s="271"/>
      <c r="T41" s="271"/>
    </row>
    <row r="42" spans="1:20" s="230" customFormat="1">
      <c r="A42" s="267">
        <f t="shared" si="10"/>
        <v>44530</v>
      </c>
      <c r="B42" s="269">
        <f t="shared" si="4"/>
        <v>1730382.0015624994</v>
      </c>
      <c r="C42" s="269">
        <f t="shared" si="13"/>
        <v>1730382.0015624994</v>
      </c>
      <c r="D42" s="269">
        <f t="shared" si="16"/>
        <v>25220.317672773428</v>
      </c>
      <c r="E42" s="269">
        <f t="shared" si="11"/>
        <v>28839.700026041657</v>
      </c>
      <c r="F42" s="269">
        <f t="shared" si="14"/>
        <v>-703288.52979755506</v>
      </c>
      <c r="G42" s="269">
        <f t="shared" si="14"/>
        <v>-504694.75045572902</v>
      </c>
      <c r="H42" s="269">
        <f t="shared" si="15"/>
        <v>1027093.4717649444</v>
      </c>
      <c r="I42" s="269">
        <f t="shared" si="15"/>
        <v>1225687.2511067705</v>
      </c>
      <c r="J42" s="269">
        <f t="shared" si="7"/>
        <v>198593.7793418261</v>
      </c>
      <c r="K42" s="269">
        <f t="shared" si="3"/>
        <v>-41704.69366178348</v>
      </c>
      <c r="L42" s="269">
        <f t="shared" si="8"/>
        <v>-760.07029418632737</v>
      </c>
      <c r="M42" s="270">
        <f t="shared" si="9"/>
        <v>1183982.5574449869</v>
      </c>
      <c r="N42" s="271"/>
      <c r="O42" s="275"/>
      <c r="P42" s="271"/>
      <c r="Q42" s="271"/>
      <c r="R42" s="271"/>
      <c r="S42" s="271"/>
      <c r="T42" s="271"/>
    </row>
    <row r="43" spans="1:20" s="230" customFormat="1">
      <c r="A43" s="267">
        <f t="shared" si="10"/>
        <v>44561</v>
      </c>
      <c r="B43" s="269">
        <f t="shared" si="4"/>
        <v>1730382.0015624994</v>
      </c>
      <c r="C43" s="269">
        <f t="shared" si="13"/>
        <v>1730382.0015624994</v>
      </c>
      <c r="D43" s="269">
        <f t="shared" si="16"/>
        <v>25220.317672773428</v>
      </c>
      <c r="E43" s="269">
        <f t="shared" si="11"/>
        <v>28839.700026041657</v>
      </c>
      <c r="F43" s="269">
        <f t="shared" si="14"/>
        <v>-728508.84747032844</v>
      </c>
      <c r="G43" s="269">
        <f t="shared" si="14"/>
        <v>-533534.45048177068</v>
      </c>
      <c r="H43" s="269">
        <f t="shared" si="15"/>
        <v>1001873.154092171</v>
      </c>
      <c r="I43" s="269">
        <f t="shared" si="15"/>
        <v>1196847.5510807289</v>
      </c>
      <c r="J43" s="269">
        <f t="shared" si="7"/>
        <v>194974.39698855788</v>
      </c>
      <c r="K43" s="269">
        <f t="shared" si="3"/>
        <v>-40944.623367597153</v>
      </c>
      <c r="L43" s="269">
        <f t="shared" si="8"/>
        <v>-760.07029418632737</v>
      </c>
      <c r="M43" s="270">
        <f t="shared" si="9"/>
        <v>1155902.9277131318</v>
      </c>
      <c r="N43" s="271"/>
      <c r="O43" s="275"/>
      <c r="P43" s="271"/>
      <c r="Q43" s="271"/>
      <c r="R43" s="271"/>
      <c r="S43" s="271"/>
      <c r="T43" s="271"/>
    </row>
    <row r="44" spans="1:20" s="230" customFormat="1">
      <c r="A44" s="267">
        <f t="shared" si="10"/>
        <v>44592</v>
      </c>
      <c r="B44" s="269">
        <f t="shared" si="4"/>
        <v>1730382.0015624994</v>
      </c>
      <c r="C44" s="269">
        <f t="shared" si="13"/>
        <v>1730382.0015624994</v>
      </c>
      <c r="D44" s="269">
        <f t="shared" si="16"/>
        <v>25220.317672773428</v>
      </c>
      <c r="E44" s="269">
        <f t="shared" si="11"/>
        <v>28839.700026041657</v>
      </c>
      <c r="F44" s="269">
        <f t="shared" si="14"/>
        <v>-753729.16514310183</v>
      </c>
      <c r="G44" s="269">
        <f t="shared" si="14"/>
        <v>-562374.15050781239</v>
      </c>
      <c r="H44" s="269">
        <f t="shared" si="15"/>
        <v>976652.83641939762</v>
      </c>
      <c r="I44" s="269">
        <f t="shared" si="15"/>
        <v>1168007.8510546871</v>
      </c>
      <c r="J44" s="269">
        <f t="shared" si="7"/>
        <v>191355.01463528944</v>
      </c>
      <c r="K44" s="269">
        <f t="shared" si="3"/>
        <v>-40184.553073410782</v>
      </c>
      <c r="L44" s="269">
        <f t="shared" si="8"/>
        <v>-760.07029418637103</v>
      </c>
      <c r="M44" s="270">
        <f t="shared" si="9"/>
        <v>1127823.2979812762</v>
      </c>
      <c r="N44" s="271"/>
      <c r="O44" s="275"/>
      <c r="P44" s="271"/>
      <c r="Q44" s="271"/>
      <c r="R44" s="271"/>
      <c r="S44" s="271"/>
      <c r="T44" s="271"/>
    </row>
    <row r="45" spans="1:20" s="230" customFormat="1">
      <c r="A45" s="267">
        <f t="shared" si="10"/>
        <v>44620</v>
      </c>
      <c r="B45" s="269">
        <f t="shared" si="4"/>
        <v>1730382.0015624994</v>
      </c>
      <c r="C45" s="269">
        <f t="shared" si="13"/>
        <v>1730382.0015624994</v>
      </c>
      <c r="D45" s="269">
        <f t="shared" si="16"/>
        <v>25220.317672773428</v>
      </c>
      <c r="E45" s="269">
        <f t="shared" si="11"/>
        <v>28839.700026041657</v>
      </c>
      <c r="F45" s="269">
        <f t="shared" si="14"/>
        <v>-778949.48281587521</v>
      </c>
      <c r="G45" s="269">
        <f t="shared" si="14"/>
        <v>-591213.8505338541</v>
      </c>
      <c r="H45" s="269">
        <f t="shared" si="15"/>
        <v>951432.51874662424</v>
      </c>
      <c r="I45" s="269">
        <f t="shared" si="15"/>
        <v>1139168.1510286452</v>
      </c>
      <c r="J45" s="269">
        <f t="shared" si="7"/>
        <v>187735.63228202099</v>
      </c>
      <c r="K45" s="269">
        <f t="shared" si="3"/>
        <v>-39424.482779224403</v>
      </c>
      <c r="L45" s="269">
        <f t="shared" si="8"/>
        <v>-760.07029418637831</v>
      </c>
      <c r="M45" s="270">
        <f t="shared" si="9"/>
        <v>1099743.6682494208</v>
      </c>
      <c r="N45" s="271"/>
      <c r="O45" s="275"/>
      <c r="P45" s="271"/>
      <c r="Q45" s="271"/>
      <c r="R45" s="271"/>
      <c r="S45" s="271"/>
      <c r="T45" s="271"/>
    </row>
    <row r="46" spans="1:20" s="230" customFormat="1">
      <c r="A46" s="267">
        <f t="shared" si="10"/>
        <v>44651</v>
      </c>
      <c r="B46" s="269">
        <f t="shared" si="4"/>
        <v>1730382.0015624994</v>
      </c>
      <c r="C46" s="269">
        <f t="shared" si="13"/>
        <v>1730382.0015624994</v>
      </c>
      <c r="D46" s="269">
        <f t="shared" si="16"/>
        <v>25220.317672773428</v>
      </c>
      <c r="E46" s="269">
        <f t="shared" si="11"/>
        <v>28839.700026041657</v>
      </c>
      <c r="F46" s="269">
        <f t="shared" si="14"/>
        <v>-804169.80048864859</v>
      </c>
      <c r="G46" s="269">
        <f t="shared" si="14"/>
        <v>-620053.55055989581</v>
      </c>
      <c r="H46" s="269">
        <f t="shared" si="15"/>
        <v>926212.20107385085</v>
      </c>
      <c r="I46" s="269">
        <f t="shared" si="15"/>
        <v>1110328.4510026036</v>
      </c>
      <c r="J46" s="269">
        <f t="shared" si="7"/>
        <v>184116.24992875278</v>
      </c>
      <c r="K46" s="269">
        <f t="shared" si="3"/>
        <v>-38664.412485038083</v>
      </c>
      <c r="L46" s="269">
        <f t="shared" si="8"/>
        <v>-760.0702941863201</v>
      </c>
      <c r="M46" s="270">
        <f t="shared" si="9"/>
        <v>1071664.0385175655</v>
      </c>
      <c r="N46" s="271"/>
      <c r="O46" s="275"/>
      <c r="P46" s="271"/>
      <c r="Q46" s="271"/>
      <c r="R46" s="271"/>
      <c r="S46" s="271"/>
      <c r="T46" s="271"/>
    </row>
    <row r="47" spans="1:20" s="230" customFormat="1">
      <c r="A47" s="267">
        <f t="shared" si="10"/>
        <v>44681</v>
      </c>
      <c r="B47" s="269">
        <f t="shared" si="4"/>
        <v>1730382.0015624994</v>
      </c>
      <c r="C47" s="269">
        <f t="shared" si="13"/>
        <v>1730382.0015624994</v>
      </c>
      <c r="D47" s="269">
        <f t="shared" si="16"/>
        <v>25220.317672773428</v>
      </c>
      <c r="E47" s="269">
        <f t="shared" si="11"/>
        <v>28839.700026041657</v>
      </c>
      <c r="F47" s="269">
        <f t="shared" si="14"/>
        <v>-829390.11816142197</v>
      </c>
      <c r="G47" s="269">
        <f t="shared" si="14"/>
        <v>-648893.25058593752</v>
      </c>
      <c r="H47" s="269">
        <f t="shared" si="15"/>
        <v>900991.88340107747</v>
      </c>
      <c r="I47" s="269">
        <f t="shared" si="15"/>
        <v>1081488.750976562</v>
      </c>
      <c r="J47" s="269">
        <f t="shared" si="7"/>
        <v>180496.86757548456</v>
      </c>
      <c r="K47" s="269">
        <f t="shared" si="3"/>
        <v>-37904.342190851756</v>
      </c>
      <c r="L47" s="269">
        <f t="shared" si="8"/>
        <v>-760.07029418632737</v>
      </c>
      <c r="M47" s="270">
        <f t="shared" si="9"/>
        <v>1043584.4087857102</v>
      </c>
      <c r="N47" s="271"/>
      <c r="O47" s="275"/>
      <c r="P47" s="271"/>
      <c r="Q47" s="271"/>
      <c r="R47" s="271"/>
      <c r="S47" s="271"/>
      <c r="T47" s="271"/>
    </row>
    <row r="48" spans="1:20" s="230" customFormat="1">
      <c r="A48" s="267">
        <f t="shared" si="10"/>
        <v>44712</v>
      </c>
      <c r="B48" s="269">
        <f t="shared" si="4"/>
        <v>1730382.0015624994</v>
      </c>
      <c r="C48" s="269">
        <f t="shared" si="13"/>
        <v>1730382.0015624994</v>
      </c>
      <c r="D48" s="269">
        <f t="shared" si="16"/>
        <v>25220.317672773428</v>
      </c>
      <c r="E48" s="269">
        <f t="shared" si="11"/>
        <v>28839.700026041657</v>
      </c>
      <c r="F48" s="269">
        <f t="shared" si="14"/>
        <v>-854610.43583419535</v>
      </c>
      <c r="G48" s="269">
        <f t="shared" si="14"/>
        <v>-677732.95061197923</v>
      </c>
      <c r="H48" s="269">
        <f t="shared" si="15"/>
        <v>875771.56572830409</v>
      </c>
      <c r="I48" s="269">
        <f t="shared" si="15"/>
        <v>1052649.0509505202</v>
      </c>
      <c r="J48" s="269">
        <f t="shared" si="7"/>
        <v>176877.48522221611</v>
      </c>
      <c r="K48" s="269">
        <f t="shared" si="3"/>
        <v>-37144.271896665385</v>
      </c>
      <c r="L48" s="269">
        <f t="shared" si="8"/>
        <v>-760.07029418637103</v>
      </c>
      <c r="M48" s="270">
        <f t="shared" si="9"/>
        <v>1015504.7790538549</v>
      </c>
      <c r="N48" s="271"/>
      <c r="O48" s="275"/>
      <c r="P48" s="271"/>
      <c r="Q48" s="271"/>
      <c r="R48" s="271"/>
      <c r="S48" s="271"/>
      <c r="T48" s="271"/>
    </row>
    <row r="49" spans="1:20" s="230" customFormat="1">
      <c r="A49" s="267">
        <f t="shared" si="10"/>
        <v>44742</v>
      </c>
      <c r="B49" s="269">
        <f t="shared" si="4"/>
        <v>1730382.0015624994</v>
      </c>
      <c r="C49" s="269">
        <f t="shared" si="13"/>
        <v>1730382.0015624994</v>
      </c>
      <c r="D49" s="269">
        <f t="shared" si="16"/>
        <v>25220.317672773428</v>
      </c>
      <c r="E49" s="269">
        <f t="shared" si="11"/>
        <v>28839.700026041657</v>
      </c>
      <c r="F49" s="269">
        <f t="shared" si="14"/>
        <v>-879830.75350696873</v>
      </c>
      <c r="G49" s="269">
        <f t="shared" si="14"/>
        <v>-706572.65063802095</v>
      </c>
      <c r="H49" s="269">
        <f t="shared" si="15"/>
        <v>850551.24805553071</v>
      </c>
      <c r="I49" s="269">
        <f t="shared" si="15"/>
        <v>1023809.3509244785</v>
      </c>
      <c r="J49" s="269">
        <f t="shared" si="7"/>
        <v>173258.10286894778</v>
      </c>
      <c r="K49" s="269">
        <f t="shared" si="3"/>
        <v>-36384.201602479036</v>
      </c>
      <c r="L49" s="269">
        <f t="shared" si="8"/>
        <v>-760.0702941863492</v>
      </c>
      <c r="M49" s="270">
        <f t="shared" si="9"/>
        <v>987425.1493219994</v>
      </c>
      <c r="N49" s="271"/>
      <c r="O49" s="275"/>
      <c r="P49" s="271"/>
      <c r="Q49" s="271"/>
      <c r="R49" s="271"/>
      <c r="S49" s="271"/>
      <c r="T49" s="271"/>
    </row>
    <row r="50" spans="1:20" s="230" customFormat="1">
      <c r="A50" s="267">
        <f t="shared" si="10"/>
        <v>44773</v>
      </c>
      <c r="B50" s="269">
        <f t="shared" si="4"/>
        <v>1730382.0015624994</v>
      </c>
      <c r="C50" s="269">
        <f t="shared" si="13"/>
        <v>1730382.0015624994</v>
      </c>
      <c r="D50" s="269">
        <f t="shared" si="16"/>
        <v>25220.317672773428</v>
      </c>
      <c r="E50" s="269">
        <f t="shared" si="11"/>
        <v>28839.700026041657</v>
      </c>
      <c r="F50" s="269">
        <f t="shared" si="14"/>
        <v>-905051.07117974211</v>
      </c>
      <c r="G50" s="269">
        <f t="shared" si="14"/>
        <v>-735412.35066406266</v>
      </c>
      <c r="H50" s="269">
        <f t="shared" si="15"/>
        <v>825330.93038275733</v>
      </c>
      <c r="I50" s="269">
        <f t="shared" si="15"/>
        <v>994969.65089843678</v>
      </c>
      <c r="J50" s="269">
        <f t="shared" si="7"/>
        <v>169638.72051567945</v>
      </c>
      <c r="K50" s="269">
        <f t="shared" si="3"/>
        <v>-35624.131308292686</v>
      </c>
      <c r="L50" s="269">
        <f t="shared" si="8"/>
        <v>-760.0702941863492</v>
      </c>
      <c r="M50" s="270">
        <f t="shared" si="9"/>
        <v>959345.51959014405</v>
      </c>
      <c r="N50" s="271"/>
      <c r="O50" s="275"/>
      <c r="P50" s="271"/>
      <c r="Q50" s="271"/>
      <c r="R50" s="271"/>
      <c r="S50" s="271"/>
      <c r="T50" s="271"/>
    </row>
    <row r="51" spans="1:20" s="230" customFormat="1">
      <c r="A51" s="267">
        <f t="shared" si="10"/>
        <v>44804</v>
      </c>
      <c r="B51" s="269">
        <f t="shared" si="4"/>
        <v>1730382.0015624994</v>
      </c>
      <c r="C51" s="269">
        <f t="shared" si="13"/>
        <v>1730382.0015624994</v>
      </c>
      <c r="D51" s="269">
        <f t="shared" si="16"/>
        <v>25220.317672773428</v>
      </c>
      <c r="E51" s="269">
        <f t="shared" si="11"/>
        <v>28839.700026041657</v>
      </c>
      <c r="F51" s="269">
        <f t="shared" si="14"/>
        <v>-930271.38885251549</v>
      </c>
      <c r="G51" s="269">
        <f t="shared" si="14"/>
        <v>-764252.05069010437</v>
      </c>
      <c r="H51" s="269">
        <f t="shared" si="15"/>
        <v>800110.61270998395</v>
      </c>
      <c r="I51" s="269">
        <f t="shared" si="15"/>
        <v>966129.95087239507</v>
      </c>
      <c r="J51" s="269">
        <f t="shared" si="7"/>
        <v>166019.33816241112</v>
      </c>
      <c r="K51" s="269">
        <f t="shared" si="3"/>
        <v>-34864.061014106337</v>
      </c>
      <c r="L51" s="269">
        <f t="shared" si="8"/>
        <v>-760.0702941863492</v>
      </c>
      <c r="M51" s="270">
        <f t="shared" si="9"/>
        <v>931265.88985828869</v>
      </c>
      <c r="N51" s="271"/>
      <c r="O51" s="275"/>
      <c r="P51" s="271"/>
      <c r="Q51" s="271"/>
      <c r="R51" s="271"/>
      <c r="S51" s="271"/>
      <c r="T51" s="271"/>
    </row>
    <row r="52" spans="1:20" s="230" customFormat="1">
      <c r="A52" s="267">
        <f t="shared" si="10"/>
        <v>44834</v>
      </c>
      <c r="B52" s="269">
        <f t="shared" si="4"/>
        <v>1730382.0015624994</v>
      </c>
      <c r="C52" s="269">
        <f t="shared" si="13"/>
        <v>1730382.0015624994</v>
      </c>
      <c r="D52" s="269">
        <f>B52*$E$5/12</f>
        <v>18010.392666263015</v>
      </c>
      <c r="E52" s="269">
        <f t="shared" si="11"/>
        <v>28839.700026041657</v>
      </c>
      <c r="F52" s="269">
        <f t="shared" si="14"/>
        <v>-948281.78151877853</v>
      </c>
      <c r="G52" s="269">
        <f t="shared" si="14"/>
        <v>-793091.75071614608</v>
      </c>
      <c r="H52" s="269">
        <f t="shared" si="15"/>
        <v>782100.22004372091</v>
      </c>
      <c r="I52" s="269">
        <f t="shared" si="15"/>
        <v>937290.25084635336</v>
      </c>
      <c r="J52" s="269">
        <f t="shared" si="7"/>
        <v>155190.03080263245</v>
      </c>
      <c r="K52" s="269">
        <f t="shared" ref="K52:K83" si="17">-J52*$K$15</f>
        <v>-32589.906468552814</v>
      </c>
      <c r="L52" s="269">
        <f t="shared" si="8"/>
        <v>-2274.1545455535233</v>
      </c>
      <c r="M52" s="270">
        <f t="shared" si="9"/>
        <v>904700.34437780059</v>
      </c>
      <c r="N52" s="271"/>
      <c r="O52" s="275"/>
      <c r="P52" s="271"/>
      <c r="Q52" s="271"/>
      <c r="R52" s="271"/>
      <c r="S52" s="271"/>
      <c r="T52" s="271"/>
    </row>
    <row r="53" spans="1:20" s="230" customFormat="1">
      <c r="A53" s="267">
        <f t="shared" si="10"/>
        <v>44865</v>
      </c>
      <c r="B53" s="269">
        <f t="shared" si="4"/>
        <v>1730382.0015624994</v>
      </c>
      <c r="C53" s="269">
        <f t="shared" si="13"/>
        <v>1730382.0015624994</v>
      </c>
      <c r="D53" s="269">
        <f t="shared" ref="D53:D63" si="18">B53*$E$5/12</f>
        <v>18010.392666263015</v>
      </c>
      <c r="E53" s="269">
        <f t="shared" si="11"/>
        <v>28839.700026041657</v>
      </c>
      <c r="F53" s="269">
        <f t="shared" ref="F53:G68" si="19">F52-D53</f>
        <v>-966292.17418504157</v>
      </c>
      <c r="G53" s="269">
        <f t="shared" si="19"/>
        <v>-821931.45074218779</v>
      </c>
      <c r="H53" s="269">
        <f t="shared" si="15"/>
        <v>764089.82737745787</v>
      </c>
      <c r="I53" s="269">
        <f t="shared" si="15"/>
        <v>908450.55082031165</v>
      </c>
      <c r="J53" s="269">
        <f t="shared" si="7"/>
        <v>144360.72344285378</v>
      </c>
      <c r="K53" s="269">
        <f t="shared" si="17"/>
        <v>-30315.75192299929</v>
      </c>
      <c r="L53" s="269">
        <f t="shared" si="8"/>
        <v>-2274.1545455535233</v>
      </c>
      <c r="M53" s="270">
        <f t="shared" si="9"/>
        <v>878134.79889731237</v>
      </c>
      <c r="N53" s="271"/>
      <c r="O53" s="275"/>
      <c r="P53" s="271"/>
      <c r="Q53" s="271"/>
      <c r="R53" s="271"/>
      <c r="S53" s="271"/>
      <c r="T53" s="271"/>
    </row>
    <row r="54" spans="1:20" s="230" customFormat="1">
      <c r="A54" s="267">
        <f t="shared" si="10"/>
        <v>44895</v>
      </c>
      <c r="B54" s="269">
        <f t="shared" si="4"/>
        <v>1730382.0015624994</v>
      </c>
      <c r="C54" s="269">
        <f t="shared" si="13"/>
        <v>1730382.0015624994</v>
      </c>
      <c r="D54" s="269">
        <f t="shared" si="18"/>
        <v>18010.392666263015</v>
      </c>
      <c r="E54" s="269">
        <f t="shared" si="11"/>
        <v>28839.700026041657</v>
      </c>
      <c r="F54" s="269">
        <f t="shared" si="19"/>
        <v>-984302.56685130461</v>
      </c>
      <c r="G54" s="269">
        <f t="shared" si="19"/>
        <v>-850771.15076822951</v>
      </c>
      <c r="H54" s="269">
        <f t="shared" si="15"/>
        <v>746079.43471119483</v>
      </c>
      <c r="I54" s="269">
        <f t="shared" si="15"/>
        <v>879610.85079426994</v>
      </c>
      <c r="J54" s="269">
        <f t="shared" si="7"/>
        <v>133531.41608307511</v>
      </c>
      <c r="K54" s="269">
        <f t="shared" si="17"/>
        <v>-28041.597377445771</v>
      </c>
      <c r="L54" s="269">
        <f t="shared" si="8"/>
        <v>-2274.1545455535197</v>
      </c>
      <c r="M54" s="270">
        <f t="shared" si="9"/>
        <v>851569.25341682415</v>
      </c>
      <c r="N54" s="271"/>
      <c r="O54" s="275"/>
      <c r="P54" s="271"/>
      <c r="Q54" s="271"/>
      <c r="R54" s="271"/>
      <c r="S54" s="271"/>
      <c r="T54" s="271"/>
    </row>
    <row r="55" spans="1:20" s="230" customFormat="1">
      <c r="A55" s="267">
        <f t="shared" si="10"/>
        <v>44926</v>
      </c>
      <c r="B55" s="269">
        <f t="shared" si="4"/>
        <v>1730382.0015624994</v>
      </c>
      <c r="C55" s="269">
        <f t="shared" si="13"/>
        <v>1730382.0015624994</v>
      </c>
      <c r="D55" s="269">
        <f t="shared" si="18"/>
        <v>18010.392666263015</v>
      </c>
      <c r="E55" s="269">
        <f t="shared" si="11"/>
        <v>28839.700026041657</v>
      </c>
      <c r="F55" s="269">
        <f t="shared" si="19"/>
        <v>-1002312.9595175677</v>
      </c>
      <c r="G55" s="269">
        <f t="shared" si="19"/>
        <v>-879610.85079427122</v>
      </c>
      <c r="H55" s="269">
        <f t="shared" si="15"/>
        <v>728069.04204493179</v>
      </c>
      <c r="I55" s="269">
        <f t="shared" si="15"/>
        <v>850771.15076822822</v>
      </c>
      <c r="J55" s="269">
        <f t="shared" si="7"/>
        <v>122702.10872329643</v>
      </c>
      <c r="K55" s="269">
        <f t="shared" si="17"/>
        <v>-25767.442831892251</v>
      </c>
      <c r="L55" s="269">
        <f t="shared" si="8"/>
        <v>-2274.1545455535197</v>
      </c>
      <c r="M55" s="270">
        <f t="shared" si="9"/>
        <v>825003.70793633594</v>
      </c>
      <c r="N55" s="271"/>
      <c r="O55" s="275"/>
      <c r="P55" s="271"/>
      <c r="Q55" s="271"/>
      <c r="R55" s="271"/>
      <c r="S55" s="271"/>
      <c r="T55" s="271"/>
    </row>
    <row r="56" spans="1:20" s="230" customFormat="1">
      <c r="A56" s="267">
        <f t="shared" si="10"/>
        <v>44957</v>
      </c>
      <c r="B56" s="269">
        <f t="shared" si="4"/>
        <v>1730382.0015624994</v>
      </c>
      <c r="C56" s="269">
        <f t="shared" si="13"/>
        <v>1730382.0015624994</v>
      </c>
      <c r="D56" s="269">
        <f t="shared" si="18"/>
        <v>18010.392666263015</v>
      </c>
      <c r="E56" s="269">
        <f t="shared" si="11"/>
        <v>28839.700026041657</v>
      </c>
      <c r="F56" s="269">
        <f t="shared" si="19"/>
        <v>-1020323.3521838307</v>
      </c>
      <c r="G56" s="269">
        <f t="shared" si="19"/>
        <v>-908450.55082031293</v>
      </c>
      <c r="H56" s="269">
        <f t="shared" si="15"/>
        <v>710058.64937866875</v>
      </c>
      <c r="I56" s="269">
        <f t="shared" si="15"/>
        <v>821931.45074218651</v>
      </c>
      <c r="J56" s="269">
        <f t="shared" si="7"/>
        <v>111872.80136351776</v>
      </c>
      <c r="K56" s="269">
        <f t="shared" si="17"/>
        <v>-23493.288286338728</v>
      </c>
      <c r="L56" s="269">
        <f t="shared" si="8"/>
        <v>-2274.1545455535233</v>
      </c>
      <c r="M56" s="270">
        <f t="shared" si="9"/>
        <v>798438.16245584784</v>
      </c>
      <c r="N56" s="271"/>
      <c r="O56" s="275"/>
      <c r="P56" s="271"/>
      <c r="Q56" s="271"/>
      <c r="R56" s="271"/>
      <c r="S56" s="271"/>
      <c r="T56" s="271"/>
    </row>
    <row r="57" spans="1:20" s="230" customFormat="1">
      <c r="A57" s="267">
        <f t="shared" si="10"/>
        <v>44985</v>
      </c>
      <c r="B57" s="269">
        <f t="shared" si="4"/>
        <v>1730382.0015624994</v>
      </c>
      <c r="C57" s="269">
        <f t="shared" si="13"/>
        <v>1730382.0015624994</v>
      </c>
      <c r="D57" s="269">
        <f t="shared" si="18"/>
        <v>18010.392666263015</v>
      </c>
      <c r="E57" s="269">
        <f t="shared" si="11"/>
        <v>28839.700026041657</v>
      </c>
      <c r="F57" s="269">
        <f t="shared" si="19"/>
        <v>-1038333.7448500937</v>
      </c>
      <c r="G57" s="269">
        <f t="shared" si="19"/>
        <v>-937290.25084635464</v>
      </c>
      <c r="H57" s="269">
        <f t="shared" si="15"/>
        <v>692048.25671240571</v>
      </c>
      <c r="I57" s="269">
        <f t="shared" si="15"/>
        <v>793091.7507161448</v>
      </c>
      <c r="J57" s="269">
        <f t="shared" si="7"/>
        <v>101043.49400373909</v>
      </c>
      <c r="K57" s="269">
        <f t="shared" si="17"/>
        <v>-21219.133740785208</v>
      </c>
      <c r="L57" s="269">
        <f t="shared" si="8"/>
        <v>-2274.1545455535197</v>
      </c>
      <c r="M57" s="270">
        <f t="shared" si="9"/>
        <v>771872.61697535962</v>
      </c>
      <c r="N57" s="271"/>
      <c r="O57" s="275"/>
      <c r="P57" s="271"/>
      <c r="Q57" s="271"/>
      <c r="R57" s="271"/>
      <c r="S57" s="271"/>
      <c r="T57" s="271"/>
    </row>
    <row r="58" spans="1:20" s="230" customFormat="1">
      <c r="A58" s="267">
        <f t="shared" si="10"/>
        <v>45016</v>
      </c>
      <c r="B58" s="269">
        <f t="shared" si="4"/>
        <v>1730382.0015624994</v>
      </c>
      <c r="C58" s="269">
        <f t="shared" si="13"/>
        <v>1730382.0015624994</v>
      </c>
      <c r="D58" s="269">
        <f t="shared" si="18"/>
        <v>18010.392666263015</v>
      </c>
      <c r="E58" s="269">
        <f t="shared" si="11"/>
        <v>28839.700026041657</v>
      </c>
      <c r="F58" s="269">
        <f t="shared" si="19"/>
        <v>-1056344.1375163568</v>
      </c>
      <c r="G58" s="269">
        <f t="shared" si="19"/>
        <v>-966129.95087239635</v>
      </c>
      <c r="H58" s="269">
        <f t="shared" si="15"/>
        <v>674037.86404614267</v>
      </c>
      <c r="I58" s="269">
        <f t="shared" si="15"/>
        <v>764252.05069010309</v>
      </c>
      <c r="J58" s="269">
        <f t="shared" si="7"/>
        <v>90214.18664396042</v>
      </c>
      <c r="K58" s="269">
        <f t="shared" si="17"/>
        <v>-18944.979195231688</v>
      </c>
      <c r="L58" s="269">
        <f t="shared" si="8"/>
        <v>-2274.1545455535197</v>
      </c>
      <c r="M58" s="270">
        <f t="shared" si="9"/>
        <v>745307.0714948714</v>
      </c>
      <c r="N58" s="271"/>
      <c r="O58" s="275"/>
      <c r="P58" s="271"/>
      <c r="Q58" s="271"/>
      <c r="R58" s="271"/>
      <c r="S58" s="271"/>
      <c r="T58" s="271"/>
    </row>
    <row r="59" spans="1:20" s="230" customFormat="1">
      <c r="A59" s="267">
        <f t="shared" si="10"/>
        <v>45046</v>
      </c>
      <c r="B59" s="269">
        <f t="shared" si="4"/>
        <v>1730382.0015624994</v>
      </c>
      <c r="C59" s="269">
        <f t="shared" si="13"/>
        <v>1730382.0015624994</v>
      </c>
      <c r="D59" s="269">
        <f t="shared" si="18"/>
        <v>18010.392666263015</v>
      </c>
      <c r="E59" s="269">
        <f t="shared" si="11"/>
        <v>28839.700026041657</v>
      </c>
      <c r="F59" s="269">
        <f t="shared" si="19"/>
        <v>-1074354.5301826198</v>
      </c>
      <c r="G59" s="269">
        <f t="shared" si="19"/>
        <v>-994969.65089843806</v>
      </c>
      <c r="H59" s="269">
        <f t="shared" si="15"/>
        <v>656027.47137987963</v>
      </c>
      <c r="I59" s="269">
        <f t="shared" si="15"/>
        <v>735412.35066406138</v>
      </c>
      <c r="J59" s="269">
        <f t="shared" si="7"/>
        <v>79384.879284181749</v>
      </c>
      <c r="K59" s="269">
        <f t="shared" si="17"/>
        <v>-16670.824649678165</v>
      </c>
      <c r="L59" s="269">
        <f t="shared" si="8"/>
        <v>-2274.1545455535233</v>
      </c>
      <c r="M59" s="270">
        <f t="shared" si="9"/>
        <v>718741.52601438318</v>
      </c>
      <c r="N59" s="271"/>
      <c r="O59" s="271"/>
      <c r="P59" s="271"/>
      <c r="Q59" s="271"/>
      <c r="R59" s="271"/>
      <c r="S59" s="271"/>
      <c r="T59" s="271"/>
    </row>
    <row r="60" spans="1:20" s="230" customFormat="1">
      <c r="A60" s="267">
        <f t="shared" si="10"/>
        <v>45077</v>
      </c>
      <c r="B60" s="269">
        <f t="shared" si="4"/>
        <v>1730382.0015624994</v>
      </c>
      <c r="C60" s="269">
        <f t="shared" si="13"/>
        <v>1730382.0015624994</v>
      </c>
      <c r="D60" s="269">
        <f t="shared" si="18"/>
        <v>18010.392666263015</v>
      </c>
      <c r="E60" s="269">
        <f t="shared" si="11"/>
        <v>28839.700026041657</v>
      </c>
      <c r="F60" s="269">
        <f t="shared" si="19"/>
        <v>-1092364.9228488829</v>
      </c>
      <c r="G60" s="269">
        <f t="shared" si="19"/>
        <v>-1023809.3509244798</v>
      </c>
      <c r="H60" s="269">
        <f t="shared" si="15"/>
        <v>638017.07871361659</v>
      </c>
      <c r="I60" s="269">
        <f t="shared" si="15"/>
        <v>706572.65063801967</v>
      </c>
      <c r="J60" s="269">
        <f t="shared" si="7"/>
        <v>68555.571924403077</v>
      </c>
      <c r="K60" s="269">
        <f t="shared" si="17"/>
        <v>-14396.670104124645</v>
      </c>
      <c r="L60" s="269">
        <f t="shared" si="8"/>
        <v>-2274.1545455535197</v>
      </c>
      <c r="M60" s="270">
        <f t="shared" si="9"/>
        <v>692175.98053389497</v>
      </c>
      <c r="N60" s="271"/>
      <c r="O60" s="271"/>
      <c r="P60" s="271"/>
      <c r="Q60" s="271"/>
      <c r="R60" s="271"/>
      <c r="S60" s="271"/>
      <c r="T60" s="271"/>
    </row>
    <row r="61" spans="1:20" s="230" customFormat="1">
      <c r="A61" s="267">
        <f t="shared" si="10"/>
        <v>45107</v>
      </c>
      <c r="B61" s="269">
        <f t="shared" si="4"/>
        <v>1730382.0015624994</v>
      </c>
      <c r="C61" s="269">
        <f t="shared" si="13"/>
        <v>1730382.0015624994</v>
      </c>
      <c r="D61" s="269">
        <f t="shared" si="18"/>
        <v>18010.392666263015</v>
      </c>
      <c r="E61" s="269">
        <f t="shared" si="11"/>
        <v>28839.700026041657</v>
      </c>
      <c r="F61" s="269">
        <f t="shared" si="19"/>
        <v>-1110375.3155151459</v>
      </c>
      <c r="G61" s="269">
        <f t="shared" si="19"/>
        <v>-1052649.0509505214</v>
      </c>
      <c r="H61" s="269">
        <f t="shared" si="15"/>
        <v>620006.68604735355</v>
      </c>
      <c r="I61" s="269">
        <f t="shared" si="15"/>
        <v>677732.95061197807</v>
      </c>
      <c r="J61" s="269">
        <f t="shared" si="7"/>
        <v>57726.264564624522</v>
      </c>
      <c r="K61" s="269">
        <f t="shared" si="17"/>
        <v>-12122.515558571149</v>
      </c>
      <c r="L61" s="269">
        <f t="shared" si="8"/>
        <v>-2274.1545455534961</v>
      </c>
      <c r="M61" s="270">
        <f t="shared" si="9"/>
        <v>665610.43505340687</v>
      </c>
      <c r="N61" s="271"/>
      <c r="O61" s="271"/>
      <c r="P61" s="271"/>
      <c r="Q61" s="271"/>
      <c r="R61" s="271"/>
      <c r="S61" s="271"/>
      <c r="T61" s="271"/>
    </row>
    <row r="62" spans="1:20" s="230" customFormat="1" ht="15">
      <c r="A62" s="267">
        <f t="shared" si="10"/>
        <v>45138</v>
      </c>
      <c r="B62" s="269">
        <f t="shared" si="4"/>
        <v>1730382.0015624994</v>
      </c>
      <c r="C62" s="269">
        <f t="shared" si="13"/>
        <v>1730382.0015624994</v>
      </c>
      <c r="D62" s="269">
        <f t="shared" si="18"/>
        <v>18010.392666263015</v>
      </c>
      <c r="E62" s="269">
        <f t="shared" si="11"/>
        <v>28839.700026041657</v>
      </c>
      <c r="F62" s="269">
        <f t="shared" si="19"/>
        <v>-1128385.7081814089</v>
      </c>
      <c r="G62" s="269">
        <f t="shared" si="19"/>
        <v>-1081488.750976563</v>
      </c>
      <c r="H62" s="269">
        <f t="shared" si="15"/>
        <v>601996.29338109051</v>
      </c>
      <c r="I62" s="269">
        <f t="shared" si="15"/>
        <v>648893.25058593648</v>
      </c>
      <c r="J62" s="269">
        <f t="shared" si="7"/>
        <v>46896.957204845967</v>
      </c>
      <c r="K62" s="269">
        <f t="shared" si="17"/>
        <v>-9848.361013017653</v>
      </c>
      <c r="L62" s="269">
        <f t="shared" si="8"/>
        <v>-2274.1545455534961</v>
      </c>
      <c r="M62" s="270">
        <f t="shared" si="9"/>
        <v>639044.88957291888</v>
      </c>
      <c r="N62" s="97"/>
      <c r="O62" s="271"/>
      <c r="P62" s="271"/>
      <c r="Q62" s="271"/>
      <c r="R62" s="271"/>
      <c r="S62" s="271"/>
      <c r="T62" s="271"/>
    </row>
    <row r="63" spans="1:20" s="230" customFormat="1" ht="15">
      <c r="A63" s="267">
        <f t="shared" si="10"/>
        <v>45169</v>
      </c>
      <c r="B63" s="269">
        <f t="shared" si="4"/>
        <v>1730382.0015624994</v>
      </c>
      <c r="C63" s="269">
        <f t="shared" si="13"/>
        <v>1730382.0015624994</v>
      </c>
      <c r="D63" s="269">
        <f t="shared" si="18"/>
        <v>18010.392666263015</v>
      </c>
      <c r="E63" s="269">
        <f t="shared" si="11"/>
        <v>28839.700026041657</v>
      </c>
      <c r="F63" s="269">
        <f t="shared" si="19"/>
        <v>-1146396.100847672</v>
      </c>
      <c r="G63" s="269">
        <f t="shared" si="19"/>
        <v>-1110328.4510026046</v>
      </c>
      <c r="H63" s="269">
        <f t="shared" si="15"/>
        <v>583985.90071482747</v>
      </c>
      <c r="I63" s="269">
        <f t="shared" si="15"/>
        <v>620053.55055989488</v>
      </c>
      <c r="J63" s="269">
        <f t="shared" si="7"/>
        <v>36067.649845067412</v>
      </c>
      <c r="K63" s="269">
        <f t="shared" si="17"/>
        <v>-7574.206467464156</v>
      </c>
      <c r="L63" s="269">
        <f t="shared" si="8"/>
        <v>-2274.154545553497</v>
      </c>
      <c r="M63" s="270">
        <f t="shared" si="9"/>
        <v>612479.34409243078</v>
      </c>
      <c r="N63" s="21"/>
      <c r="O63" s="271"/>
      <c r="P63" s="271"/>
      <c r="Q63" s="271"/>
      <c r="R63" s="271"/>
      <c r="S63" s="271"/>
      <c r="T63" s="271"/>
    </row>
    <row r="64" spans="1:20" s="230" customFormat="1" ht="15">
      <c r="A64" s="267">
        <f t="shared" si="10"/>
        <v>45199</v>
      </c>
      <c r="B64" s="269">
        <f t="shared" si="4"/>
        <v>1730382.0015624994</v>
      </c>
      <c r="C64" s="269">
        <f t="shared" si="13"/>
        <v>1730382.0015624994</v>
      </c>
      <c r="D64" s="269">
        <f t="shared" ref="D64:D75" si="20">B64*$F$5/12</f>
        <v>12876.926061627601</v>
      </c>
      <c r="E64" s="269">
        <f t="shared" si="11"/>
        <v>28839.700026041657</v>
      </c>
      <c r="F64" s="269">
        <f t="shared" si="19"/>
        <v>-1159273.0269092997</v>
      </c>
      <c r="G64" s="269">
        <f t="shared" si="19"/>
        <v>-1139168.1510286462</v>
      </c>
      <c r="H64" s="269">
        <f t="shared" si="15"/>
        <v>571108.97465319978</v>
      </c>
      <c r="I64" s="269">
        <f t="shared" si="15"/>
        <v>591213.85053385329</v>
      </c>
      <c r="J64" s="269">
        <f t="shared" si="7"/>
        <v>20104.875880653504</v>
      </c>
      <c r="K64" s="269">
        <f t="shared" si="17"/>
        <v>-4222.0239349372359</v>
      </c>
      <c r="L64" s="269">
        <f t="shared" si="8"/>
        <v>-3352.1825325269201</v>
      </c>
      <c r="M64" s="270">
        <f t="shared" si="9"/>
        <v>586991.82659891609</v>
      </c>
      <c r="N64" s="21"/>
      <c r="O64" s="271"/>
      <c r="P64" s="271"/>
      <c r="Q64" s="271"/>
      <c r="R64" s="271"/>
      <c r="S64" s="271"/>
      <c r="T64" s="271"/>
    </row>
    <row r="65" spans="1:20" s="230" customFormat="1" ht="15">
      <c r="A65" s="267">
        <f t="shared" si="10"/>
        <v>45230</v>
      </c>
      <c r="B65" s="269">
        <f t="shared" si="4"/>
        <v>1730382.0015624994</v>
      </c>
      <c r="C65" s="269">
        <f t="shared" si="13"/>
        <v>1730382.0015624994</v>
      </c>
      <c r="D65" s="269">
        <f t="shared" si="20"/>
        <v>12876.926061627601</v>
      </c>
      <c r="E65" s="269">
        <f t="shared" si="11"/>
        <v>28839.700026041657</v>
      </c>
      <c r="F65" s="269">
        <f t="shared" si="19"/>
        <v>-1172149.9529709273</v>
      </c>
      <c r="G65" s="269">
        <f t="shared" si="19"/>
        <v>-1168007.8510546878</v>
      </c>
      <c r="H65" s="269">
        <f t="shared" si="15"/>
        <v>558232.04859157209</v>
      </c>
      <c r="I65" s="269">
        <f t="shared" si="15"/>
        <v>562374.15050781169</v>
      </c>
      <c r="J65" s="269">
        <f t="shared" si="7"/>
        <v>4142.1019162395969</v>
      </c>
      <c r="K65" s="269">
        <f t="shared" si="17"/>
        <v>-869.84140241031537</v>
      </c>
      <c r="L65" s="269">
        <f t="shared" si="8"/>
        <v>-3352.1825325269206</v>
      </c>
      <c r="M65" s="270">
        <f t="shared" si="9"/>
        <v>561504.30910540139</v>
      </c>
      <c r="N65" s="21"/>
      <c r="O65" s="271"/>
      <c r="P65" s="271"/>
      <c r="Q65" s="271"/>
      <c r="R65" s="271"/>
      <c r="S65" s="271"/>
      <c r="T65" s="271"/>
    </row>
    <row r="66" spans="1:20" s="230" customFormat="1" ht="15">
      <c r="A66" s="267">
        <f t="shared" si="10"/>
        <v>45260</v>
      </c>
      <c r="B66" s="269">
        <f t="shared" si="4"/>
        <v>1730382.0015624994</v>
      </c>
      <c r="C66" s="269">
        <f t="shared" si="13"/>
        <v>1730382.0015624994</v>
      </c>
      <c r="D66" s="269">
        <f t="shared" si="20"/>
        <v>12876.926061627601</v>
      </c>
      <c r="E66" s="269">
        <f t="shared" si="11"/>
        <v>28839.700026041657</v>
      </c>
      <c r="F66" s="269">
        <f t="shared" si="19"/>
        <v>-1185026.879032555</v>
      </c>
      <c r="G66" s="269">
        <f t="shared" si="19"/>
        <v>-1196847.5510807293</v>
      </c>
      <c r="H66" s="269">
        <f t="shared" si="15"/>
        <v>545355.1225299444</v>
      </c>
      <c r="I66" s="269">
        <f t="shared" si="15"/>
        <v>533534.45048177009</v>
      </c>
      <c r="J66" s="269">
        <f t="shared" si="7"/>
        <v>-11820.67204817431</v>
      </c>
      <c r="K66" s="269">
        <f t="shared" si="17"/>
        <v>2482.3411301166052</v>
      </c>
      <c r="L66" s="269">
        <f t="shared" si="8"/>
        <v>-3352.1825325269206</v>
      </c>
      <c r="M66" s="270">
        <f t="shared" si="9"/>
        <v>536016.7916118867</v>
      </c>
      <c r="N66" s="21"/>
      <c r="O66" s="271"/>
      <c r="P66" s="271"/>
      <c r="Q66" s="271"/>
      <c r="R66" s="271"/>
      <c r="S66" s="271"/>
      <c r="T66" s="271"/>
    </row>
    <row r="67" spans="1:20" s="230" customFormat="1" ht="15">
      <c r="A67" s="267">
        <f t="shared" si="10"/>
        <v>45291</v>
      </c>
      <c r="B67" s="269">
        <f t="shared" si="4"/>
        <v>1730382.0015624994</v>
      </c>
      <c r="C67" s="269">
        <f t="shared" si="13"/>
        <v>1730382.0015624994</v>
      </c>
      <c r="D67" s="269">
        <f t="shared" si="20"/>
        <v>12876.926061627601</v>
      </c>
      <c r="E67" s="269">
        <f t="shared" si="11"/>
        <v>28839.700026041657</v>
      </c>
      <c r="F67" s="269">
        <f t="shared" si="19"/>
        <v>-1197903.8050941827</v>
      </c>
      <c r="G67" s="269">
        <f t="shared" si="19"/>
        <v>-1225687.2511067709</v>
      </c>
      <c r="H67" s="269">
        <f t="shared" si="15"/>
        <v>532478.19646831672</v>
      </c>
      <c r="I67" s="269">
        <f t="shared" si="15"/>
        <v>504694.7504557285</v>
      </c>
      <c r="J67" s="269">
        <f t="shared" si="7"/>
        <v>-27783.446012588218</v>
      </c>
      <c r="K67" s="269">
        <f t="shared" si="17"/>
        <v>5834.5236626435253</v>
      </c>
      <c r="L67" s="269">
        <f t="shared" si="8"/>
        <v>-3352.1825325269201</v>
      </c>
      <c r="M67" s="270">
        <f t="shared" si="9"/>
        <v>510529.27411837201</v>
      </c>
      <c r="N67" s="21"/>
      <c r="O67" s="271"/>
      <c r="P67" s="271"/>
      <c r="Q67" s="271"/>
      <c r="R67" s="271"/>
      <c r="S67" s="271"/>
      <c r="T67" s="271"/>
    </row>
    <row r="68" spans="1:20" s="230" customFormat="1" ht="15">
      <c r="A68" s="267">
        <f t="shared" si="10"/>
        <v>45322</v>
      </c>
      <c r="B68" s="269">
        <f t="shared" si="4"/>
        <v>1730382.0015624994</v>
      </c>
      <c r="C68" s="269">
        <f t="shared" si="13"/>
        <v>1730382.0015624994</v>
      </c>
      <c r="D68" s="269">
        <f t="shared" si="20"/>
        <v>12876.926061627601</v>
      </c>
      <c r="E68" s="269">
        <f t="shared" si="11"/>
        <v>28839.700026041657</v>
      </c>
      <c r="F68" s="269">
        <f t="shared" si="19"/>
        <v>-1210780.7311558104</v>
      </c>
      <c r="G68" s="269">
        <f t="shared" si="19"/>
        <v>-1254526.9511328125</v>
      </c>
      <c r="H68" s="269">
        <f t="shared" si="15"/>
        <v>519601.27040668903</v>
      </c>
      <c r="I68" s="269">
        <f t="shared" si="15"/>
        <v>475855.0504296869</v>
      </c>
      <c r="J68" s="269">
        <f t="shared" si="7"/>
        <v>-43746.219977002125</v>
      </c>
      <c r="K68" s="269">
        <f t="shared" si="17"/>
        <v>9186.7061951704454</v>
      </c>
      <c r="L68" s="269">
        <f t="shared" si="8"/>
        <v>-3352.1825325269201</v>
      </c>
      <c r="M68" s="270">
        <f t="shared" si="9"/>
        <v>485041.75662485737</v>
      </c>
      <c r="N68" s="21"/>
      <c r="O68" s="271"/>
      <c r="P68" s="271"/>
      <c r="Q68" s="271"/>
      <c r="R68" s="271"/>
      <c r="S68" s="271"/>
      <c r="T68" s="271"/>
    </row>
    <row r="69" spans="1:20" s="230" customFormat="1" ht="15">
      <c r="A69" s="267">
        <f t="shared" si="10"/>
        <v>45351</v>
      </c>
      <c r="B69" s="269">
        <f t="shared" si="4"/>
        <v>1730382.0015624994</v>
      </c>
      <c r="C69" s="269">
        <f t="shared" si="13"/>
        <v>1730382.0015624994</v>
      </c>
      <c r="D69" s="269">
        <f t="shared" si="20"/>
        <v>12876.926061627601</v>
      </c>
      <c r="E69" s="269">
        <f t="shared" si="11"/>
        <v>28839.700026041657</v>
      </c>
      <c r="F69" s="269">
        <f t="shared" ref="F69:G84" si="21">F68-D69</f>
        <v>-1223657.6572174381</v>
      </c>
      <c r="G69" s="269">
        <f t="shared" si="21"/>
        <v>-1283366.6511588541</v>
      </c>
      <c r="H69" s="269">
        <f t="shared" si="15"/>
        <v>506724.34434506134</v>
      </c>
      <c r="I69" s="269">
        <f t="shared" si="15"/>
        <v>447015.35040364531</v>
      </c>
      <c r="J69" s="269">
        <f t="shared" si="7"/>
        <v>-59708.993941416033</v>
      </c>
      <c r="K69" s="269">
        <f t="shared" si="17"/>
        <v>12538.888727697366</v>
      </c>
      <c r="L69" s="269">
        <f t="shared" si="8"/>
        <v>-3352.1825325269201</v>
      </c>
      <c r="M69" s="270">
        <f t="shared" si="9"/>
        <v>459554.23913134268</v>
      </c>
      <c r="N69" s="21"/>
      <c r="O69" s="271"/>
      <c r="P69" s="271"/>
      <c r="Q69" s="271"/>
      <c r="R69" s="271"/>
      <c r="S69" s="271"/>
      <c r="T69" s="271"/>
    </row>
    <row r="70" spans="1:20" s="230" customFormat="1" ht="15">
      <c r="A70" s="267">
        <f t="shared" si="10"/>
        <v>45382</v>
      </c>
      <c r="B70" s="269">
        <f t="shared" si="4"/>
        <v>1730382.0015624994</v>
      </c>
      <c r="C70" s="269">
        <f t="shared" si="13"/>
        <v>1730382.0015624994</v>
      </c>
      <c r="D70" s="269">
        <f t="shared" si="20"/>
        <v>12876.926061627601</v>
      </c>
      <c r="E70" s="269">
        <f t="shared" si="11"/>
        <v>28839.700026041657</v>
      </c>
      <c r="F70" s="269">
        <f t="shared" si="21"/>
        <v>-1236534.5832790658</v>
      </c>
      <c r="G70" s="269">
        <f t="shared" si="21"/>
        <v>-1312206.3511848957</v>
      </c>
      <c r="H70" s="269">
        <f t="shared" si="15"/>
        <v>493847.41828343365</v>
      </c>
      <c r="I70" s="269">
        <f t="shared" si="15"/>
        <v>418175.65037760371</v>
      </c>
      <c r="J70" s="269">
        <f t="shared" si="7"/>
        <v>-75671.76790582994</v>
      </c>
      <c r="K70" s="269">
        <f t="shared" si="17"/>
        <v>15891.071260224287</v>
      </c>
      <c r="L70" s="269">
        <f t="shared" si="8"/>
        <v>-3352.1825325269219</v>
      </c>
      <c r="M70" s="270">
        <f t="shared" si="9"/>
        <v>434066.72163782798</v>
      </c>
      <c r="N70" s="21"/>
      <c r="O70" s="271"/>
      <c r="P70" s="271"/>
      <c r="Q70" s="271"/>
      <c r="R70" s="271"/>
      <c r="S70" s="271"/>
      <c r="T70" s="271"/>
    </row>
    <row r="71" spans="1:20" s="230" customFormat="1" ht="15">
      <c r="A71" s="267">
        <f t="shared" si="10"/>
        <v>45412</v>
      </c>
      <c r="B71" s="269">
        <f t="shared" si="4"/>
        <v>1730382.0015624994</v>
      </c>
      <c r="C71" s="269">
        <f t="shared" si="13"/>
        <v>1730382.0015624994</v>
      </c>
      <c r="D71" s="269">
        <f t="shared" si="20"/>
        <v>12876.926061627601</v>
      </c>
      <c r="E71" s="269">
        <f t="shared" si="11"/>
        <v>28839.700026041657</v>
      </c>
      <c r="F71" s="269">
        <f t="shared" si="21"/>
        <v>-1249411.5093406935</v>
      </c>
      <c r="G71" s="269">
        <f t="shared" si="21"/>
        <v>-1341046.0512109373</v>
      </c>
      <c r="H71" s="269">
        <f t="shared" si="15"/>
        <v>480970.49222180597</v>
      </c>
      <c r="I71" s="269">
        <f t="shared" si="15"/>
        <v>389335.95035156212</v>
      </c>
      <c r="J71" s="269">
        <f t="shared" si="7"/>
        <v>-91634.541870243847</v>
      </c>
      <c r="K71" s="269">
        <f t="shared" si="17"/>
        <v>19243.253792751206</v>
      </c>
      <c r="L71" s="269">
        <f t="shared" si="8"/>
        <v>-3352.1825325269183</v>
      </c>
      <c r="M71" s="270">
        <f t="shared" si="9"/>
        <v>408579.20414431335</v>
      </c>
      <c r="N71" s="21"/>
      <c r="O71" s="271"/>
      <c r="P71" s="271"/>
      <c r="Q71" s="271"/>
      <c r="R71" s="271"/>
      <c r="S71" s="271"/>
      <c r="T71" s="271"/>
    </row>
    <row r="72" spans="1:20" s="230" customFormat="1" ht="15">
      <c r="A72" s="267">
        <f t="shared" si="10"/>
        <v>45443</v>
      </c>
      <c r="B72" s="269">
        <f t="shared" si="4"/>
        <v>1730382.0015624994</v>
      </c>
      <c r="C72" s="269">
        <f t="shared" si="13"/>
        <v>1730382.0015624994</v>
      </c>
      <c r="D72" s="269">
        <f t="shared" si="20"/>
        <v>12876.926061627601</v>
      </c>
      <c r="E72" s="269">
        <f t="shared" si="11"/>
        <v>28839.700026041657</v>
      </c>
      <c r="F72" s="269">
        <f t="shared" si="21"/>
        <v>-1262288.4354023212</v>
      </c>
      <c r="G72" s="269">
        <f t="shared" si="21"/>
        <v>-1369885.7512369789</v>
      </c>
      <c r="H72" s="269">
        <f t="shared" si="15"/>
        <v>468093.56616017828</v>
      </c>
      <c r="I72" s="269">
        <f t="shared" si="15"/>
        <v>360496.25032552052</v>
      </c>
      <c r="J72" s="269">
        <f t="shared" si="7"/>
        <v>-107597.31583465775</v>
      </c>
      <c r="K72" s="269">
        <f t="shared" si="17"/>
        <v>22595.436325278126</v>
      </c>
      <c r="L72" s="269">
        <f t="shared" si="8"/>
        <v>-3352.1825325269201</v>
      </c>
      <c r="M72" s="270">
        <f t="shared" si="9"/>
        <v>383091.68665079866</v>
      </c>
      <c r="N72" s="21"/>
      <c r="O72" s="271"/>
      <c r="P72" s="271"/>
      <c r="Q72" s="271"/>
      <c r="R72" s="271"/>
      <c r="S72" s="271"/>
      <c r="T72" s="271"/>
    </row>
    <row r="73" spans="1:20" s="230" customFormat="1" ht="15">
      <c r="A73" s="267">
        <f t="shared" si="10"/>
        <v>45473</v>
      </c>
      <c r="B73" s="269">
        <f t="shared" si="4"/>
        <v>1730382.0015624994</v>
      </c>
      <c r="C73" s="269">
        <f t="shared" si="13"/>
        <v>1730382.0015624994</v>
      </c>
      <c r="D73" s="269">
        <f t="shared" si="20"/>
        <v>12876.926061627601</v>
      </c>
      <c r="E73" s="269">
        <f t="shared" si="11"/>
        <v>28839.700026041657</v>
      </c>
      <c r="F73" s="269">
        <f t="shared" si="21"/>
        <v>-1275165.3614639489</v>
      </c>
      <c r="G73" s="269">
        <f t="shared" si="21"/>
        <v>-1398725.4512630205</v>
      </c>
      <c r="H73" s="269">
        <f t="shared" si="15"/>
        <v>455216.64009855059</v>
      </c>
      <c r="I73" s="269">
        <f t="shared" si="15"/>
        <v>331656.55029947893</v>
      </c>
      <c r="J73" s="269">
        <f t="shared" si="7"/>
        <v>-123560.08979907166</v>
      </c>
      <c r="K73" s="269">
        <f t="shared" si="17"/>
        <v>25947.61885780505</v>
      </c>
      <c r="L73" s="269">
        <f t="shared" si="8"/>
        <v>-3352.1825325269238</v>
      </c>
      <c r="M73" s="270">
        <f t="shared" si="9"/>
        <v>357604.16915728396</v>
      </c>
      <c r="N73" s="21"/>
      <c r="O73" s="271"/>
      <c r="P73" s="271"/>
      <c r="Q73" s="271"/>
      <c r="R73" s="271"/>
      <c r="S73" s="271"/>
      <c r="T73" s="271"/>
    </row>
    <row r="74" spans="1:20" s="230" customFormat="1" ht="15">
      <c r="A74" s="267">
        <f t="shared" si="10"/>
        <v>45504</v>
      </c>
      <c r="B74" s="269">
        <f t="shared" si="4"/>
        <v>1730382.0015624994</v>
      </c>
      <c r="C74" s="269">
        <f t="shared" si="13"/>
        <v>1730382.0015624994</v>
      </c>
      <c r="D74" s="269">
        <f t="shared" si="20"/>
        <v>12876.926061627601</v>
      </c>
      <c r="E74" s="269">
        <f t="shared" si="11"/>
        <v>28839.700026041657</v>
      </c>
      <c r="F74" s="269">
        <f t="shared" si="21"/>
        <v>-1288042.2875255765</v>
      </c>
      <c r="G74" s="269">
        <f t="shared" si="21"/>
        <v>-1427565.1512890621</v>
      </c>
      <c r="H74" s="269">
        <f t="shared" si="15"/>
        <v>442339.7140369229</v>
      </c>
      <c r="I74" s="269">
        <f t="shared" si="15"/>
        <v>302816.85027343733</v>
      </c>
      <c r="J74" s="269">
        <f t="shared" si="7"/>
        <v>-139522.86376348557</v>
      </c>
      <c r="K74" s="269">
        <f t="shared" si="17"/>
        <v>29299.80139033197</v>
      </c>
      <c r="L74" s="269">
        <f t="shared" si="8"/>
        <v>-3352.1825325269201</v>
      </c>
      <c r="M74" s="270">
        <f t="shared" si="9"/>
        <v>332116.65166376933</v>
      </c>
      <c r="N74" s="21"/>
      <c r="O74" s="271"/>
      <c r="P74" s="271"/>
      <c r="Q74" s="271"/>
      <c r="R74" s="271"/>
      <c r="S74" s="271"/>
      <c r="T74" s="271"/>
    </row>
    <row r="75" spans="1:20" s="230" customFormat="1" ht="15">
      <c r="A75" s="267">
        <f t="shared" si="10"/>
        <v>45535</v>
      </c>
      <c r="B75" s="269">
        <f t="shared" si="4"/>
        <v>1730382.0015624994</v>
      </c>
      <c r="C75" s="269">
        <f t="shared" si="13"/>
        <v>1730382.0015624994</v>
      </c>
      <c r="D75" s="269">
        <f t="shared" si="20"/>
        <v>12876.926061627601</v>
      </c>
      <c r="E75" s="269">
        <f>C75*E$12/12</f>
        <v>28839.700026041657</v>
      </c>
      <c r="F75" s="269">
        <f t="shared" si="21"/>
        <v>-1300919.2135872042</v>
      </c>
      <c r="G75" s="269">
        <f t="shared" si="21"/>
        <v>-1456404.8513151037</v>
      </c>
      <c r="H75" s="269">
        <f t="shared" ref="H75:I90" si="22">B75+F75</f>
        <v>429462.78797529521</v>
      </c>
      <c r="I75" s="269">
        <f t="shared" si="22"/>
        <v>273977.15024739574</v>
      </c>
      <c r="J75" s="269">
        <f t="shared" si="7"/>
        <v>-155485.63772789948</v>
      </c>
      <c r="K75" s="269">
        <f t="shared" si="17"/>
        <v>32651.98392285889</v>
      </c>
      <c r="L75" s="269">
        <f t="shared" si="8"/>
        <v>-3352.1825325269201</v>
      </c>
      <c r="M75" s="270">
        <f t="shared" si="9"/>
        <v>306629.13417025463</v>
      </c>
      <c r="N75" s="21"/>
      <c r="O75" s="271"/>
      <c r="P75" s="271"/>
      <c r="Q75" s="271"/>
      <c r="R75" s="271"/>
      <c r="S75" s="271"/>
      <c r="T75" s="271"/>
    </row>
    <row r="76" spans="1:20" s="230" customFormat="1" ht="15">
      <c r="A76" s="267">
        <f t="shared" si="10"/>
        <v>45565</v>
      </c>
      <c r="B76" s="269">
        <f t="shared" si="4"/>
        <v>1730382.0015624994</v>
      </c>
      <c r="C76" s="269">
        <f t="shared" si="13"/>
        <v>1730382.0015624994</v>
      </c>
      <c r="D76" s="269">
        <f t="shared" ref="D76:D87" si="23">B76*$G$5/12</f>
        <v>12862.506211614578</v>
      </c>
      <c r="E76" s="269">
        <f>C76*E$12/12</f>
        <v>28839.700026041657</v>
      </c>
      <c r="F76" s="269">
        <f t="shared" si="21"/>
        <v>-1313781.7197988187</v>
      </c>
      <c r="G76" s="269">
        <f t="shared" si="21"/>
        <v>-1485244.5513411453</v>
      </c>
      <c r="H76" s="269">
        <f t="shared" si="22"/>
        <v>416600.28176368074</v>
      </c>
      <c r="I76" s="269">
        <f t="shared" si="22"/>
        <v>245137.45022135414</v>
      </c>
      <c r="J76" s="269">
        <f t="shared" si="7"/>
        <v>-171462.8315423266</v>
      </c>
      <c r="K76" s="269">
        <f t="shared" si="17"/>
        <v>36007.194623888587</v>
      </c>
      <c r="L76" s="269">
        <f t="shared" si="8"/>
        <v>-3355.2107010296968</v>
      </c>
      <c r="M76" s="270">
        <f t="shared" si="9"/>
        <v>281144.64484524273</v>
      </c>
      <c r="N76" s="21"/>
      <c r="O76" s="271"/>
      <c r="P76" s="271"/>
      <c r="Q76" s="271"/>
      <c r="R76" s="271"/>
      <c r="S76" s="271"/>
      <c r="T76" s="271"/>
    </row>
    <row r="77" spans="1:20" s="230" customFormat="1" ht="15">
      <c r="A77" s="267">
        <f t="shared" si="10"/>
        <v>45596</v>
      </c>
      <c r="B77" s="269">
        <f t="shared" si="4"/>
        <v>1730382.0015624994</v>
      </c>
      <c r="C77" s="269">
        <f t="shared" si="13"/>
        <v>1730382.0015624994</v>
      </c>
      <c r="D77" s="269">
        <f t="shared" si="23"/>
        <v>12862.506211614578</v>
      </c>
      <c r="E77" s="269">
        <f>C77*E$12/12</f>
        <v>28839.700026041657</v>
      </c>
      <c r="F77" s="269">
        <f t="shared" si="21"/>
        <v>-1326644.2260104332</v>
      </c>
      <c r="G77" s="269">
        <f t="shared" si="21"/>
        <v>-1514084.2513671869</v>
      </c>
      <c r="H77" s="269">
        <f t="shared" si="22"/>
        <v>403737.77555206628</v>
      </c>
      <c r="I77" s="269">
        <f t="shared" si="22"/>
        <v>216297.75019531255</v>
      </c>
      <c r="J77" s="269">
        <f t="shared" si="7"/>
        <v>-187440.02535675373</v>
      </c>
      <c r="K77" s="269">
        <f t="shared" si="17"/>
        <v>39362.405324918283</v>
      </c>
      <c r="L77" s="269">
        <f t="shared" si="8"/>
        <v>-3355.2107010296968</v>
      </c>
      <c r="M77" s="270">
        <f t="shared" si="9"/>
        <v>255660.15552023082</v>
      </c>
      <c r="N77" s="21"/>
      <c r="O77" s="271"/>
      <c r="P77" s="271"/>
      <c r="Q77" s="271"/>
      <c r="R77" s="271"/>
      <c r="S77" s="271"/>
      <c r="T77" s="271"/>
    </row>
    <row r="78" spans="1:20" s="230" customFormat="1" ht="15">
      <c r="A78" s="267">
        <f t="shared" si="10"/>
        <v>45626</v>
      </c>
      <c r="B78" s="269">
        <f t="shared" si="4"/>
        <v>1730382.0015624994</v>
      </c>
      <c r="C78" s="269">
        <f t="shared" si="13"/>
        <v>1730382.0015624994</v>
      </c>
      <c r="D78" s="269">
        <f t="shared" si="23"/>
        <v>12862.506211614578</v>
      </c>
      <c r="E78" s="269">
        <f>C78*E$12/12</f>
        <v>28839.700026041657</v>
      </c>
      <c r="F78" s="269">
        <f t="shared" si="21"/>
        <v>-1339506.7322220476</v>
      </c>
      <c r="G78" s="269">
        <f t="shared" si="21"/>
        <v>-1542923.9513932285</v>
      </c>
      <c r="H78" s="269">
        <f t="shared" si="22"/>
        <v>390875.26934045181</v>
      </c>
      <c r="I78" s="269">
        <f t="shared" si="22"/>
        <v>187458.05016927095</v>
      </c>
      <c r="J78" s="269">
        <f t="shared" si="7"/>
        <v>-203417.21917118086</v>
      </c>
      <c r="K78" s="269">
        <f t="shared" si="17"/>
        <v>42717.61602594798</v>
      </c>
      <c r="L78" s="269">
        <f t="shared" si="8"/>
        <v>-3355.2107010296968</v>
      </c>
      <c r="M78" s="270">
        <f t="shared" si="9"/>
        <v>230175.66619521892</v>
      </c>
      <c r="N78" s="21"/>
      <c r="O78" s="271"/>
      <c r="P78" s="271"/>
      <c r="Q78" s="271"/>
      <c r="R78" s="271"/>
      <c r="S78" s="271"/>
      <c r="T78" s="271"/>
    </row>
    <row r="79" spans="1:20" s="230" customFormat="1" ht="15">
      <c r="A79" s="267">
        <f t="shared" si="10"/>
        <v>45657</v>
      </c>
      <c r="B79" s="269">
        <f t="shared" si="4"/>
        <v>1730382.0015624994</v>
      </c>
      <c r="C79" s="269">
        <f t="shared" si="13"/>
        <v>1730382.0015624994</v>
      </c>
      <c r="D79" s="269">
        <f t="shared" si="23"/>
        <v>12862.506211614578</v>
      </c>
      <c r="E79" s="269">
        <f>C79*E$12/12</f>
        <v>28839.700026041657</v>
      </c>
      <c r="F79" s="269">
        <f t="shared" si="21"/>
        <v>-1352369.2384336621</v>
      </c>
      <c r="G79" s="269">
        <f t="shared" si="21"/>
        <v>-1571763.6514192701</v>
      </c>
      <c r="H79" s="269">
        <f t="shared" si="22"/>
        <v>378012.76312883734</v>
      </c>
      <c r="I79" s="269">
        <f t="shared" si="22"/>
        <v>158618.35014322936</v>
      </c>
      <c r="J79" s="269">
        <f t="shared" si="7"/>
        <v>-219394.41298560798</v>
      </c>
      <c r="K79" s="269">
        <f t="shared" si="17"/>
        <v>46072.826726977677</v>
      </c>
      <c r="L79" s="269">
        <f t="shared" si="8"/>
        <v>-3355.2107010296968</v>
      </c>
      <c r="M79" s="270">
        <f t="shared" si="9"/>
        <v>204691.17687020704</v>
      </c>
      <c r="N79" s="21"/>
      <c r="O79" s="271"/>
      <c r="P79" s="271"/>
      <c r="Q79" s="271"/>
      <c r="R79" s="271"/>
      <c r="S79" s="271"/>
      <c r="T79" s="271"/>
    </row>
    <row r="80" spans="1:20" s="230" customFormat="1" ht="15">
      <c r="A80" s="267">
        <f t="shared" si="10"/>
        <v>45688</v>
      </c>
      <c r="B80" s="269">
        <f t="shared" si="4"/>
        <v>1730382.0015624994</v>
      </c>
      <c r="C80" s="269">
        <f t="shared" si="13"/>
        <v>1730382.0015624994</v>
      </c>
      <c r="D80" s="269">
        <f t="shared" si="23"/>
        <v>12862.506211614578</v>
      </c>
      <c r="E80" s="269">
        <f t="shared" ref="E80:E84" si="24">C80*E$12/12</f>
        <v>28839.700026041657</v>
      </c>
      <c r="F80" s="269">
        <f t="shared" si="21"/>
        <v>-1365231.7446452766</v>
      </c>
      <c r="G80" s="269">
        <f t="shared" si="21"/>
        <v>-1600603.3514453117</v>
      </c>
      <c r="H80" s="269">
        <f t="shared" si="22"/>
        <v>365150.25691722287</v>
      </c>
      <c r="I80" s="269">
        <f t="shared" si="22"/>
        <v>129778.65011718776</v>
      </c>
      <c r="J80" s="269">
        <f t="shared" si="7"/>
        <v>-235371.60680003511</v>
      </c>
      <c r="K80" s="269">
        <f t="shared" si="17"/>
        <v>49428.037428007374</v>
      </c>
      <c r="L80" s="269">
        <f t="shared" si="8"/>
        <v>-3355.2107010296968</v>
      </c>
      <c r="M80" s="270">
        <f t="shared" si="9"/>
        <v>179206.68754519513</v>
      </c>
      <c r="N80" s="21"/>
      <c r="O80" s="271"/>
      <c r="P80" s="271"/>
      <c r="Q80" s="271"/>
      <c r="R80" s="271"/>
      <c r="S80" s="271"/>
      <c r="T80" s="271"/>
    </row>
    <row r="81" spans="1:20" s="230" customFormat="1" ht="15">
      <c r="A81" s="267">
        <f t="shared" si="10"/>
        <v>45716</v>
      </c>
      <c r="B81" s="269">
        <f t="shared" si="4"/>
        <v>1730382.0015624994</v>
      </c>
      <c r="C81" s="269">
        <f t="shared" si="13"/>
        <v>1730382.0015624994</v>
      </c>
      <c r="D81" s="269">
        <f t="shared" si="23"/>
        <v>12862.506211614578</v>
      </c>
      <c r="E81" s="269">
        <f t="shared" si="24"/>
        <v>28839.700026041657</v>
      </c>
      <c r="F81" s="269">
        <f t="shared" si="21"/>
        <v>-1378094.250856891</v>
      </c>
      <c r="G81" s="269">
        <f t="shared" si="21"/>
        <v>-1629443.0514713533</v>
      </c>
      <c r="H81" s="269">
        <f t="shared" si="22"/>
        <v>352287.7507056084</v>
      </c>
      <c r="I81" s="269">
        <f t="shared" si="22"/>
        <v>100938.95009114617</v>
      </c>
      <c r="J81" s="269">
        <f t="shared" si="7"/>
        <v>-251348.80061446223</v>
      </c>
      <c r="K81" s="269">
        <f t="shared" si="17"/>
        <v>52783.248129037071</v>
      </c>
      <c r="L81" s="269">
        <f t="shared" si="8"/>
        <v>-3355.2107010296968</v>
      </c>
      <c r="M81" s="270">
        <f t="shared" si="9"/>
        <v>153722.19822018323</v>
      </c>
      <c r="N81" s="21"/>
      <c r="O81" s="271"/>
      <c r="P81" s="271"/>
      <c r="Q81" s="271"/>
      <c r="R81" s="271"/>
      <c r="S81" s="271"/>
      <c r="T81" s="271"/>
    </row>
    <row r="82" spans="1:20" s="230" customFormat="1" ht="15">
      <c r="A82" s="267">
        <f t="shared" si="10"/>
        <v>45747</v>
      </c>
      <c r="B82" s="269">
        <f t="shared" si="4"/>
        <v>1730382.0015624994</v>
      </c>
      <c r="C82" s="269">
        <f t="shared" si="13"/>
        <v>1730382.0015624994</v>
      </c>
      <c r="D82" s="269">
        <f t="shared" si="23"/>
        <v>12862.506211614578</v>
      </c>
      <c r="E82" s="269">
        <f t="shared" si="24"/>
        <v>28839.700026041657</v>
      </c>
      <c r="F82" s="269">
        <f t="shared" si="21"/>
        <v>-1390956.7570685055</v>
      </c>
      <c r="G82" s="269">
        <f t="shared" si="21"/>
        <v>-1658282.7514973949</v>
      </c>
      <c r="H82" s="269">
        <f t="shared" si="22"/>
        <v>339425.24449399393</v>
      </c>
      <c r="I82" s="269">
        <f t="shared" si="22"/>
        <v>72099.25006510457</v>
      </c>
      <c r="J82" s="269">
        <f t="shared" si="7"/>
        <v>-267325.99442888936</v>
      </c>
      <c r="K82" s="269">
        <f t="shared" si="17"/>
        <v>56138.45883006676</v>
      </c>
      <c r="L82" s="269">
        <f t="shared" si="8"/>
        <v>-3355.2107010296895</v>
      </c>
      <c r="M82" s="270">
        <f t="shared" si="9"/>
        <v>128237.70889517132</v>
      </c>
      <c r="N82" s="21"/>
      <c r="O82" s="271"/>
      <c r="P82" s="271"/>
      <c r="Q82" s="271"/>
      <c r="R82" s="271"/>
      <c r="S82" s="271"/>
      <c r="T82" s="271"/>
    </row>
    <row r="83" spans="1:20" s="230" customFormat="1" ht="15">
      <c r="A83" s="267">
        <f t="shared" si="10"/>
        <v>45777</v>
      </c>
      <c r="B83" s="269">
        <f t="shared" si="4"/>
        <v>1730382.0015624994</v>
      </c>
      <c r="C83" s="269">
        <f t="shared" si="13"/>
        <v>1730382.0015624994</v>
      </c>
      <c r="D83" s="269">
        <f t="shared" si="23"/>
        <v>12862.506211614578</v>
      </c>
      <c r="E83" s="269">
        <f t="shared" si="24"/>
        <v>28839.700026041657</v>
      </c>
      <c r="F83" s="269">
        <f t="shared" si="21"/>
        <v>-1403819.26328012</v>
      </c>
      <c r="G83" s="269">
        <f t="shared" si="21"/>
        <v>-1687122.4515234365</v>
      </c>
      <c r="H83" s="269">
        <f t="shared" si="22"/>
        <v>326562.73828237946</v>
      </c>
      <c r="I83" s="269">
        <f t="shared" si="22"/>
        <v>43259.550039062975</v>
      </c>
      <c r="J83" s="269">
        <f t="shared" si="7"/>
        <v>-283303.18824331649</v>
      </c>
      <c r="K83" s="269">
        <f t="shared" si="17"/>
        <v>59493.669531096457</v>
      </c>
      <c r="L83" s="269">
        <f t="shared" si="8"/>
        <v>-3355.2107010296968</v>
      </c>
      <c r="M83" s="270">
        <f t="shared" si="9"/>
        <v>102753.21957015943</v>
      </c>
      <c r="N83" s="21"/>
      <c r="O83" s="271"/>
      <c r="P83" s="271"/>
      <c r="Q83" s="271"/>
      <c r="R83" s="271"/>
      <c r="S83" s="271"/>
      <c r="T83" s="271"/>
    </row>
    <row r="84" spans="1:20" s="230" customFormat="1" ht="15">
      <c r="A84" s="267">
        <f t="shared" si="10"/>
        <v>45808</v>
      </c>
      <c r="B84" s="269">
        <f t="shared" si="4"/>
        <v>1730382.0015624994</v>
      </c>
      <c r="C84" s="269">
        <f t="shared" si="13"/>
        <v>1730382.0015624994</v>
      </c>
      <c r="D84" s="269">
        <f t="shared" si="23"/>
        <v>12862.506211614578</v>
      </c>
      <c r="E84" s="269">
        <f t="shared" si="24"/>
        <v>28839.700026041657</v>
      </c>
      <c r="F84" s="269">
        <f t="shared" si="21"/>
        <v>-1416681.7694917344</v>
      </c>
      <c r="G84" s="269">
        <f t="shared" si="21"/>
        <v>-1715962.1515494781</v>
      </c>
      <c r="H84" s="269">
        <f t="shared" si="22"/>
        <v>313700.23207076499</v>
      </c>
      <c r="I84" s="269">
        <f t="shared" si="22"/>
        <v>14419.85001302138</v>
      </c>
      <c r="J84" s="269">
        <f t="shared" si="7"/>
        <v>-299280.38205774361</v>
      </c>
      <c r="K84" s="269">
        <f t="shared" ref="K84:K115" si="25">-J84*$K$15</f>
        <v>62848.880232126154</v>
      </c>
      <c r="L84" s="269">
        <f t="shared" si="8"/>
        <v>-3355.2107010296968</v>
      </c>
      <c r="M84" s="270">
        <f t="shared" si="9"/>
        <v>77268.730245147541</v>
      </c>
      <c r="N84" s="21"/>
      <c r="O84" s="271"/>
      <c r="P84" s="271"/>
      <c r="Q84" s="271"/>
      <c r="R84" s="271"/>
      <c r="S84" s="271"/>
      <c r="T84" s="271"/>
    </row>
    <row r="85" spans="1:20" s="230" customFormat="1" ht="15">
      <c r="A85" s="267">
        <f t="shared" si="10"/>
        <v>45838</v>
      </c>
      <c r="B85" s="269">
        <f t="shared" ref="B85:B148" si="26">C85</f>
        <v>1730382.0015624994</v>
      </c>
      <c r="C85" s="269">
        <f t="shared" si="13"/>
        <v>1730382.0015624994</v>
      </c>
      <c r="D85" s="269">
        <f t="shared" si="23"/>
        <v>12862.506211614578</v>
      </c>
      <c r="E85" s="269">
        <f>C84+G84</f>
        <v>14419.85001302138</v>
      </c>
      <c r="F85" s="269">
        <f t="shared" ref="F85:G100" si="27">F84-D85</f>
        <v>-1429544.2757033489</v>
      </c>
      <c r="G85" s="269">
        <f t="shared" si="27"/>
        <v>-1730382.0015624994</v>
      </c>
      <c r="H85" s="269">
        <f t="shared" si="22"/>
        <v>300837.72585915052</v>
      </c>
      <c r="I85" s="269">
        <f t="shared" si="22"/>
        <v>0</v>
      </c>
      <c r="J85" s="269">
        <f t="shared" ref="J85:J148" si="28">I85-H85</f>
        <v>-300837.72585915052</v>
      </c>
      <c r="K85" s="269">
        <f t="shared" si="25"/>
        <v>63175.922430421604</v>
      </c>
      <c r="L85" s="269">
        <f t="shared" ref="L85:L148" si="29">-K85+K84</f>
        <v>-327.04219829545036</v>
      </c>
      <c r="M85" s="270">
        <f t="shared" ref="M85:M148" si="30">I85+K85</f>
        <v>63175.922430421604</v>
      </c>
      <c r="N85" s="21"/>
      <c r="O85" s="271"/>
      <c r="P85" s="271"/>
      <c r="Q85" s="271"/>
      <c r="R85" s="271"/>
      <c r="S85" s="271"/>
      <c r="T85" s="271"/>
    </row>
    <row r="86" spans="1:20" s="230" customFormat="1" ht="15">
      <c r="A86" s="267">
        <f t="shared" ref="A86:A149" si="31">EOMONTH(A85,1)</f>
        <v>45869</v>
      </c>
      <c r="B86" s="269">
        <f t="shared" si="26"/>
        <v>1730382.0015624994</v>
      </c>
      <c r="C86" s="269">
        <f t="shared" si="13"/>
        <v>1730382.0015624994</v>
      </c>
      <c r="D86" s="269">
        <f t="shared" si="23"/>
        <v>12862.506211614578</v>
      </c>
      <c r="E86" s="269"/>
      <c r="F86" s="269">
        <f t="shared" si="27"/>
        <v>-1442406.7819149634</v>
      </c>
      <c r="G86" s="269">
        <f t="shared" si="27"/>
        <v>-1730382.0015624994</v>
      </c>
      <c r="H86" s="269">
        <f t="shared" si="22"/>
        <v>287975.21964753605</v>
      </c>
      <c r="I86" s="269">
        <f t="shared" si="22"/>
        <v>0</v>
      </c>
      <c r="J86" s="269">
        <f t="shared" si="28"/>
        <v>-287975.21964753605</v>
      </c>
      <c r="K86" s="269">
        <f t="shared" si="25"/>
        <v>60474.796125982568</v>
      </c>
      <c r="L86" s="269">
        <f t="shared" si="29"/>
        <v>2701.1263044390362</v>
      </c>
      <c r="M86" s="270">
        <f t="shared" si="30"/>
        <v>60474.796125982568</v>
      </c>
      <c r="N86" s="21"/>
      <c r="O86" s="271"/>
      <c r="P86" s="271"/>
      <c r="Q86" s="271"/>
      <c r="R86" s="271"/>
      <c r="S86" s="271"/>
      <c r="T86" s="271"/>
    </row>
    <row r="87" spans="1:20" s="230" customFormat="1" ht="15">
      <c r="A87" s="267">
        <f t="shared" si="31"/>
        <v>45900</v>
      </c>
      <c r="B87" s="269">
        <f t="shared" si="26"/>
        <v>1730382.0015624994</v>
      </c>
      <c r="C87" s="269">
        <f t="shared" si="13"/>
        <v>1730382.0015624994</v>
      </c>
      <c r="D87" s="269">
        <f t="shared" si="23"/>
        <v>12862.506211614578</v>
      </c>
      <c r="E87" s="269"/>
      <c r="F87" s="269">
        <f t="shared" si="27"/>
        <v>-1455269.2881265779</v>
      </c>
      <c r="G87" s="269">
        <f t="shared" si="27"/>
        <v>-1730382.0015624994</v>
      </c>
      <c r="H87" s="269">
        <f t="shared" si="22"/>
        <v>275112.71343592159</v>
      </c>
      <c r="I87" s="269">
        <f t="shared" si="22"/>
        <v>0</v>
      </c>
      <c r="J87" s="269">
        <f t="shared" si="28"/>
        <v>-275112.71343592159</v>
      </c>
      <c r="K87" s="269">
        <f t="shared" si="25"/>
        <v>57773.669821543532</v>
      </c>
      <c r="L87" s="269">
        <f t="shared" si="29"/>
        <v>2701.1263044390362</v>
      </c>
      <c r="M87" s="270">
        <f t="shared" si="30"/>
        <v>57773.669821543532</v>
      </c>
      <c r="N87" s="21"/>
      <c r="O87" s="271"/>
      <c r="P87" s="271"/>
      <c r="Q87" s="271"/>
      <c r="R87" s="271"/>
      <c r="S87" s="271"/>
      <c r="T87" s="271"/>
    </row>
    <row r="88" spans="1:20" s="230" customFormat="1" ht="15">
      <c r="A88" s="267">
        <f t="shared" si="31"/>
        <v>45930</v>
      </c>
      <c r="B88" s="269">
        <f t="shared" si="26"/>
        <v>1730382.0015624994</v>
      </c>
      <c r="C88" s="269">
        <f t="shared" si="13"/>
        <v>1730382.0015624994</v>
      </c>
      <c r="D88" s="269">
        <f t="shared" ref="D88:D99" si="32">B88*$H$5/12</f>
        <v>12876.926061627601</v>
      </c>
      <c r="E88" s="269"/>
      <c r="F88" s="269">
        <f t="shared" si="27"/>
        <v>-1468146.2141882055</v>
      </c>
      <c r="G88" s="269">
        <f t="shared" si="27"/>
        <v>-1730382.0015624994</v>
      </c>
      <c r="H88" s="269">
        <f t="shared" si="22"/>
        <v>262235.7873742939</v>
      </c>
      <c r="I88" s="269">
        <f t="shared" si="22"/>
        <v>0</v>
      </c>
      <c r="J88" s="269">
        <f t="shared" si="28"/>
        <v>-262235.7873742939</v>
      </c>
      <c r="K88" s="269">
        <f t="shared" si="25"/>
        <v>55069.515348601715</v>
      </c>
      <c r="L88" s="269">
        <f t="shared" si="29"/>
        <v>2704.1544729418165</v>
      </c>
      <c r="M88" s="270">
        <f t="shared" si="30"/>
        <v>55069.515348601715</v>
      </c>
      <c r="N88" s="21"/>
      <c r="O88" s="271"/>
      <c r="P88" s="271"/>
      <c r="Q88" s="271"/>
      <c r="R88" s="271"/>
      <c r="S88" s="271"/>
      <c r="T88" s="271"/>
    </row>
    <row r="89" spans="1:20" s="230" customFormat="1" ht="15">
      <c r="A89" s="267">
        <f t="shared" si="31"/>
        <v>45961</v>
      </c>
      <c r="B89" s="269">
        <f t="shared" si="26"/>
        <v>1730382.0015624994</v>
      </c>
      <c r="C89" s="269">
        <f t="shared" si="13"/>
        <v>1730382.0015624994</v>
      </c>
      <c r="D89" s="269">
        <f t="shared" si="32"/>
        <v>12876.926061627601</v>
      </c>
      <c r="E89" s="269"/>
      <c r="F89" s="269">
        <f t="shared" si="27"/>
        <v>-1481023.1402498332</v>
      </c>
      <c r="G89" s="269">
        <f t="shared" si="27"/>
        <v>-1730382.0015624994</v>
      </c>
      <c r="H89" s="269">
        <f t="shared" si="22"/>
        <v>249358.86131266621</v>
      </c>
      <c r="I89" s="269">
        <f t="shared" si="22"/>
        <v>0</v>
      </c>
      <c r="J89" s="269">
        <f t="shared" si="28"/>
        <v>-249358.86131266621</v>
      </c>
      <c r="K89" s="269">
        <f t="shared" si="25"/>
        <v>52365.360875659899</v>
      </c>
      <c r="L89" s="269">
        <f t="shared" si="29"/>
        <v>2704.1544729418165</v>
      </c>
      <c r="M89" s="270">
        <f t="shared" si="30"/>
        <v>52365.360875659899</v>
      </c>
      <c r="N89" s="21"/>
      <c r="O89" s="271"/>
      <c r="P89" s="271"/>
      <c r="Q89" s="271"/>
      <c r="R89" s="271"/>
      <c r="S89" s="271"/>
      <c r="T89" s="271"/>
    </row>
    <row r="90" spans="1:20" s="230" customFormat="1" ht="15">
      <c r="A90" s="267">
        <f t="shared" si="31"/>
        <v>45991</v>
      </c>
      <c r="B90" s="269">
        <f t="shared" si="26"/>
        <v>1730382.0015624994</v>
      </c>
      <c r="C90" s="269">
        <f t="shared" si="13"/>
        <v>1730382.0015624994</v>
      </c>
      <c r="D90" s="269">
        <f t="shared" si="32"/>
        <v>12876.926061627601</v>
      </c>
      <c r="E90" s="269"/>
      <c r="F90" s="269">
        <f t="shared" si="27"/>
        <v>-1493900.0663114609</v>
      </c>
      <c r="G90" s="269">
        <f t="shared" si="27"/>
        <v>-1730382.0015624994</v>
      </c>
      <c r="H90" s="269">
        <f t="shared" si="22"/>
        <v>236481.93525103852</v>
      </c>
      <c r="I90" s="269">
        <f t="shared" si="22"/>
        <v>0</v>
      </c>
      <c r="J90" s="269">
        <f t="shared" si="28"/>
        <v>-236481.93525103852</v>
      </c>
      <c r="K90" s="269">
        <f t="shared" si="25"/>
        <v>49661.20640271809</v>
      </c>
      <c r="L90" s="269">
        <f t="shared" si="29"/>
        <v>2704.1544729418092</v>
      </c>
      <c r="M90" s="270">
        <f t="shared" si="30"/>
        <v>49661.20640271809</v>
      </c>
      <c r="N90" s="21"/>
      <c r="O90" s="271"/>
      <c r="P90" s="271"/>
      <c r="Q90" s="271"/>
      <c r="R90" s="271"/>
      <c r="S90" s="271"/>
      <c r="T90" s="271"/>
    </row>
    <row r="91" spans="1:20" s="230" customFormat="1" ht="15">
      <c r="A91" s="267">
        <f t="shared" si="31"/>
        <v>46022</v>
      </c>
      <c r="B91" s="269">
        <f t="shared" si="26"/>
        <v>1730382.0015624994</v>
      </c>
      <c r="C91" s="269">
        <f t="shared" si="13"/>
        <v>1730382.0015624994</v>
      </c>
      <c r="D91" s="269">
        <f t="shared" si="32"/>
        <v>12876.926061627601</v>
      </c>
      <c r="E91" s="269"/>
      <c r="F91" s="269">
        <f t="shared" si="27"/>
        <v>-1506776.9923730886</v>
      </c>
      <c r="G91" s="269">
        <f t="shared" si="27"/>
        <v>-1730382.0015624994</v>
      </c>
      <c r="H91" s="269">
        <f t="shared" ref="H91:I111" si="33">B91+F91</f>
        <v>223605.00918941083</v>
      </c>
      <c r="I91" s="269">
        <f t="shared" si="33"/>
        <v>0</v>
      </c>
      <c r="J91" s="269">
        <f t="shared" si="28"/>
        <v>-223605.00918941083</v>
      </c>
      <c r="K91" s="269">
        <f t="shared" si="25"/>
        <v>46957.051929776273</v>
      </c>
      <c r="L91" s="269">
        <f t="shared" si="29"/>
        <v>2704.1544729418165</v>
      </c>
      <c r="M91" s="270">
        <f t="shared" si="30"/>
        <v>46957.051929776273</v>
      </c>
      <c r="N91" s="21"/>
      <c r="O91" s="271"/>
      <c r="P91" s="271"/>
      <c r="Q91" s="271"/>
      <c r="R91" s="271"/>
      <c r="S91" s="271"/>
      <c r="T91" s="271"/>
    </row>
    <row r="92" spans="1:20" s="230" customFormat="1" ht="15">
      <c r="A92" s="267">
        <f t="shared" si="31"/>
        <v>46053</v>
      </c>
      <c r="B92" s="269">
        <f t="shared" si="26"/>
        <v>1730382.0015624994</v>
      </c>
      <c r="C92" s="269">
        <f t="shared" si="13"/>
        <v>1730382.0015624994</v>
      </c>
      <c r="D92" s="269">
        <f t="shared" si="32"/>
        <v>12876.926061627601</v>
      </c>
      <c r="E92" s="269"/>
      <c r="F92" s="269">
        <f t="shared" si="27"/>
        <v>-1519653.9184347163</v>
      </c>
      <c r="G92" s="269">
        <f t="shared" si="27"/>
        <v>-1730382.0015624994</v>
      </c>
      <c r="H92" s="269">
        <f t="shared" si="33"/>
        <v>210728.08312778315</v>
      </c>
      <c r="I92" s="269">
        <f t="shared" si="33"/>
        <v>0</v>
      </c>
      <c r="J92" s="269">
        <f t="shared" si="28"/>
        <v>-210728.08312778315</v>
      </c>
      <c r="K92" s="269">
        <f t="shared" si="25"/>
        <v>44252.897456834457</v>
      </c>
      <c r="L92" s="269">
        <f t="shared" si="29"/>
        <v>2704.1544729418165</v>
      </c>
      <c r="M92" s="270">
        <f t="shared" si="30"/>
        <v>44252.897456834457</v>
      </c>
      <c r="N92" s="21"/>
      <c r="O92" s="271"/>
      <c r="P92" s="271"/>
      <c r="Q92" s="271"/>
      <c r="R92" s="271"/>
      <c r="S92" s="271"/>
      <c r="T92" s="271"/>
    </row>
    <row r="93" spans="1:20" s="230" customFormat="1" ht="15">
      <c r="A93" s="267">
        <f t="shared" si="31"/>
        <v>46081</v>
      </c>
      <c r="B93" s="269">
        <f t="shared" si="26"/>
        <v>1730382.0015624994</v>
      </c>
      <c r="C93" s="269">
        <f t="shared" si="13"/>
        <v>1730382.0015624994</v>
      </c>
      <c r="D93" s="269">
        <f t="shared" si="32"/>
        <v>12876.926061627601</v>
      </c>
      <c r="E93" s="269"/>
      <c r="F93" s="269">
        <f t="shared" si="27"/>
        <v>-1532530.844496344</v>
      </c>
      <c r="G93" s="269">
        <f t="shared" si="27"/>
        <v>-1730382.0015624994</v>
      </c>
      <c r="H93" s="269">
        <f t="shared" si="33"/>
        <v>197851.15706615546</v>
      </c>
      <c r="I93" s="269">
        <f t="shared" si="33"/>
        <v>0</v>
      </c>
      <c r="J93" s="269">
        <f t="shared" si="28"/>
        <v>-197851.15706615546</v>
      </c>
      <c r="K93" s="269">
        <f t="shared" si="25"/>
        <v>41548.742983892647</v>
      </c>
      <c r="L93" s="269">
        <f t="shared" si="29"/>
        <v>2704.1544729418092</v>
      </c>
      <c r="M93" s="270">
        <f t="shared" si="30"/>
        <v>41548.742983892647</v>
      </c>
      <c r="N93" s="21"/>
      <c r="O93" s="271"/>
      <c r="P93" s="271"/>
      <c r="Q93" s="271"/>
      <c r="R93" s="271"/>
      <c r="S93" s="271"/>
      <c r="T93" s="271"/>
    </row>
    <row r="94" spans="1:20" s="230" customFormat="1" ht="15">
      <c r="A94" s="267">
        <f t="shared" si="31"/>
        <v>46112</v>
      </c>
      <c r="B94" s="269">
        <f t="shared" si="26"/>
        <v>1730382.0015624994</v>
      </c>
      <c r="C94" s="269">
        <f t="shared" si="13"/>
        <v>1730382.0015624994</v>
      </c>
      <c r="D94" s="269">
        <f t="shared" si="32"/>
        <v>12876.926061627601</v>
      </c>
      <c r="E94" s="269"/>
      <c r="F94" s="269">
        <f t="shared" si="27"/>
        <v>-1545407.7705579717</v>
      </c>
      <c r="G94" s="269">
        <f t="shared" si="27"/>
        <v>-1730382.0015624994</v>
      </c>
      <c r="H94" s="269">
        <f t="shared" si="33"/>
        <v>184974.23100452777</v>
      </c>
      <c r="I94" s="269">
        <f t="shared" si="33"/>
        <v>0</v>
      </c>
      <c r="J94" s="269">
        <f t="shared" si="28"/>
        <v>-184974.23100452777</v>
      </c>
      <c r="K94" s="269">
        <f t="shared" si="25"/>
        <v>38844.588510950831</v>
      </c>
      <c r="L94" s="269">
        <f t="shared" si="29"/>
        <v>2704.1544729418165</v>
      </c>
      <c r="M94" s="270">
        <f t="shared" si="30"/>
        <v>38844.588510950831</v>
      </c>
      <c r="N94" s="21"/>
      <c r="O94" s="271"/>
      <c r="P94" s="271"/>
      <c r="Q94" s="271"/>
      <c r="R94" s="271"/>
      <c r="S94" s="271"/>
      <c r="T94" s="271"/>
    </row>
    <row r="95" spans="1:20" s="230" customFormat="1" ht="15">
      <c r="A95" s="267">
        <f t="shared" si="31"/>
        <v>46142</v>
      </c>
      <c r="B95" s="269">
        <f t="shared" si="26"/>
        <v>1730382.0015624994</v>
      </c>
      <c r="C95" s="269">
        <f t="shared" si="13"/>
        <v>1730382.0015624994</v>
      </c>
      <c r="D95" s="269">
        <f t="shared" si="32"/>
        <v>12876.926061627601</v>
      </c>
      <c r="E95" s="269"/>
      <c r="F95" s="269">
        <f t="shared" si="27"/>
        <v>-1558284.6966195994</v>
      </c>
      <c r="G95" s="269">
        <f t="shared" si="27"/>
        <v>-1730382.0015624994</v>
      </c>
      <c r="H95" s="269">
        <f t="shared" si="33"/>
        <v>172097.30494290008</v>
      </c>
      <c r="I95" s="269">
        <f t="shared" si="33"/>
        <v>0</v>
      </c>
      <c r="J95" s="269">
        <f t="shared" si="28"/>
        <v>-172097.30494290008</v>
      </c>
      <c r="K95" s="269">
        <f t="shared" si="25"/>
        <v>36140.434038009014</v>
      </c>
      <c r="L95" s="269">
        <f t="shared" si="29"/>
        <v>2704.1544729418165</v>
      </c>
      <c r="M95" s="270">
        <f t="shared" si="30"/>
        <v>36140.434038009014</v>
      </c>
      <c r="N95" s="21"/>
      <c r="O95" s="271"/>
      <c r="P95" s="271"/>
      <c r="Q95" s="271"/>
      <c r="R95" s="271"/>
      <c r="S95" s="271"/>
      <c r="T95" s="271"/>
    </row>
    <row r="96" spans="1:20" s="230" customFormat="1" ht="15">
      <c r="A96" s="267">
        <f t="shared" si="31"/>
        <v>46173</v>
      </c>
      <c r="B96" s="269">
        <f t="shared" si="26"/>
        <v>1730382.0015624994</v>
      </c>
      <c r="C96" s="269">
        <f t="shared" ref="C96:C159" si="34">C95</f>
        <v>1730382.0015624994</v>
      </c>
      <c r="D96" s="269">
        <f t="shared" si="32"/>
        <v>12876.926061627601</v>
      </c>
      <c r="E96" s="269"/>
      <c r="F96" s="269">
        <f t="shared" si="27"/>
        <v>-1571161.622681227</v>
      </c>
      <c r="G96" s="269">
        <f t="shared" si="27"/>
        <v>-1730382.0015624994</v>
      </c>
      <c r="H96" s="269">
        <f t="shared" si="33"/>
        <v>159220.37888127239</v>
      </c>
      <c r="I96" s="269">
        <f t="shared" si="33"/>
        <v>0</v>
      </c>
      <c r="J96" s="269">
        <f t="shared" si="28"/>
        <v>-159220.37888127239</v>
      </c>
      <c r="K96" s="269">
        <f t="shared" si="25"/>
        <v>33436.279565067205</v>
      </c>
      <c r="L96" s="269">
        <f t="shared" si="29"/>
        <v>2704.1544729418092</v>
      </c>
      <c r="M96" s="270">
        <f t="shared" si="30"/>
        <v>33436.279565067205</v>
      </c>
      <c r="N96" s="21"/>
      <c r="O96" s="271"/>
      <c r="P96" s="271"/>
      <c r="Q96" s="271"/>
      <c r="R96" s="271"/>
      <c r="S96" s="271"/>
      <c r="T96" s="271"/>
    </row>
    <row r="97" spans="1:20" s="230" customFormat="1" ht="15">
      <c r="A97" s="267">
        <f t="shared" si="31"/>
        <v>46203</v>
      </c>
      <c r="B97" s="269">
        <f t="shared" si="26"/>
        <v>1730382.0015624994</v>
      </c>
      <c r="C97" s="269">
        <f t="shared" si="34"/>
        <v>1730382.0015624994</v>
      </c>
      <c r="D97" s="269">
        <f t="shared" si="32"/>
        <v>12876.926061627601</v>
      </c>
      <c r="E97" s="269"/>
      <c r="F97" s="269">
        <f t="shared" si="27"/>
        <v>-1584038.5487428547</v>
      </c>
      <c r="G97" s="269">
        <f t="shared" si="27"/>
        <v>-1730382.0015624994</v>
      </c>
      <c r="H97" s="269">
        <f t="shared" si="33"/>
        <v>146343.45281964471</v>
      </c>
      <c r="I97" s="269">
        <f t="shared" si="33"/>
        <v>0</v>
      </c>
      <c r="J97" s="269">
        <f t="shared" si="28"/>
        <v>-146343.45281964471</v>
      </c>
      <c r="K97" s="269">
        <f t="shared" si="25"/>
        <v>30732.125092125389</v>
      </c>
      <c r="L97" s="269">
        <f t="shared" si="29"/>
        <v>2704.1544729418165</v>
      </c>
      <c r="M97" s="270">
        <f t="shared" si="30"/>
        <v>30732.125092125389</v>
      </c>
      <c r="N97" s="21"/>
      <c r="O97" s="271"/>
      <c r="P97" s="271"/>
      <c r="Q97" s="271"/>
      <c r="R97" s="271"/>
      <c r="S97" s="271"/>
      <c r="T97" s="271"/>
    </row>
    <row r="98" spans="1:20" s="230" customFormat="1" ht="15">
      <c r="A98" s="267">
        <f t="shared" si="31"/>
        <v>46234</v>
      </c>
      <c r="B98" s="269">
        <f t="shared" si="26"/>
        <v>1730382.0015624994</v>
      </c>
      <c r="C98" s="269">
        <f t="shared" si="34"/>
        <v>1730382.0015624994</v>
      </c>
      <c r="D98" s="269">
        <f t="shared" si="32"/>
        <v>12876.926061627601</v>
      </c>
      <c r="E98" s="269"/>
      <c r="F98" s="269">
        <f t="shared" si="27"/>
        <v>-1596915.4748044824</v>
      </c>
      <c r="G98" s="269">
        <f t="shared" si="27"/>
        <v>-1730382.0015624994</v>
      </c>
      <c r="H98" s="269">
        <f t="shared" si="33"/>
        <v>133466.52675801702</v>
      </c>
      <c r="I98" s="269">
        <f t="shared" si="33"/>
        <v>0</v>
      </c>
      <c r="J98" s="269">
        <f t="shared" si="28"/>
        <v>-133466.52675801702</v>
      </c>
      <c r="K98" s="269">
        <f t="shared" si="25"/>
        <v>28027.970619183572</v>
      </c>
      <c r="L98" s="269">
        <f t="shared" si="29"/>
        <v>2704.1544729418165</v>
      </c>
      <c r="M98" s="270">
        <f t="shared" si="30"/>
        <v>28027.970619183572</v>
      </c>
      <c r="N98" s="21"/>
      <c r="O98" s="271"/>
      <c r="P98" s="271"/>
      <c r="Q98" s="271"/>
      <c r="R98" s="271"/>
      <c r="S98" s="271"/>
      <c r="T98" s="271"/>
    </row>
    <row r="99" spans="1:20" s="230" customFormat="1" ht="15">
      <c r="A99" s="267">
        <f t="shared" si="31"/>
        <v>46265</v>
      </c>
      <c r="B99" s="269">
        <f t="shared" si="26"/>
        <v>1730382.0015624994</v>
      </c>
      <c r="C99" s="269">
        <f t="shared" si="34"/>
        <v>1730382.0015624994</v>
      </c>
      <c r="D99" s="269">
        <f t="shared" si="32"/>
        <v>12876.926061627601</v>
      </c>
      <c r="E99" s="269"/>
      <c r="F99" s="269">
        <f t="shared" si="27"/>
        <v>-1609792.4008661101</v>
      </c>
      <c r="G99" s="269">
        <f t="shared" si="27"/>
        <v>-1730382.0015624994</v>
      </c>
      <c r="H99" s="269">
        <f t="shared" si="33"/>
        <v>120589.60069638933</v>
      </c>
      <c r="I99" s="269">
        <f t="shared" si="33"/>
        <v>0</v>
      </c>
      <c r="J99" s="269">
        <f t="shared" si="28"/>
        <v>-120589.60069638933</v>
      </c>
      <c r="K99" s="269">
        <f t="shared" si="25"/>
        <v>25323.816146241759</v>
      </c>
      <c r="L99" s="269">
        <f t="shared" si="29"/>
        <v>2704.1544729418129</v>
      </c>
      <c r="M99" s="270">
        <f t="shared" si="30"/>
        <v>25323.816146241759</v>
      </c>
      <c r="N99" s="21"/>
      <c r="O99" s="271"/>
      <c r="P99" s="271"/>
      <c r="Q99" s="271"/>
      <c r="R99" s="271"/>
      <c r="S99" s="271"/>
      <c r="T99" s="271"/>
    </row>
    <row r="100" spans="1:20" s="230" customFormat="1" ht="15">
      <c r="A100" s="267">
        <f t="shared" si="31"/>
        <v>46295</v>
      </c>
      <c r="B100" s="269">
        <f t="shared" si="26"/>
        <v>1730382.0015624994</v>
      </c>
      <c r="C100" s="269">
        <f t="shared" si="34"/>
        <v>1730382.0015624994</v>
      </c>
      <c r="D100" s="269">
        <f t="shared" ref="D100:D117" si="35">B100*$I$5/12</f>
        <v>6431.2531058072891</v>
      </c>
      <c r="E100" s="269"/>
      <c r="F100" s="269">
        <f t="shared" si="27"/>
        <v>-1616223.6539719175</v>
      </c>
      <c r="G100" s="269">
        <f t="shared" si="27"/>
        <v>-1730382.0015624994</v>
      </c>
      <c r="H100" s="269">
        <f t="shared" si="33"/>
        <v>114158.34759058198</v>
      </c>
      <c r="I100" s="269">
        <f t="shared" si="33"/>
        <v>0</v>
      </c>
      <c r="J100" s="269">
        <f t="shared" si="28"/>
        <v>-114158.34759058198</v>
      </c>
      <c r="K100" s="269">
        <f t="shared" si="25"/>
        <v>23973.252994022216</v>
      </c>
      <c r="L100" s="269">
        <f t="shared" si="29"/>
        <v>1350.5631522195436</v>
      </c>
      <c r="M100" s="270">
        <f t="shared" si="30"/>
        <v>23973.252994022216</v>
      </c>
      <c r="N100" s="21"/>
      <c r="O100" s="271"/>
      <c r="P100" s="271"/>
      <c r="Q100" s="271"/>
      <c r="R100" s="271"/>
      <c r="S100" s="271"/>
      <c r="T100" s="271"/>
    </row>
    <row r="101" spans="1:20" s="230" customFormat="1" ht="15">
      <c r="A101" s="267">
        <f t="shared" si="31"/>
        <v>46326</v>
      </c>
      <c r="B101" s="269">
        <f t="shared" si="26"/>
        <v>1730382.0015624994</v>
      </c>
      <c r="C101" s="269">
        <f t="shared" si="34"/>
        <v>1730382.0015624994</v>
      </c>
      <c r="D101" s="269">
        <f t="shared" si="35"/>
        <v>6431.2531058072891</v>
      </c>
      <c r="E101" s="269"/>
      <c r="F101" s="269">
        <f t="shared" ref="F101:G116" si="36">F100-D101</f>
        <v>-1622654.9070777248</v>
      </c>
      <c r="G101" s="269">
        <f t="shared" si="36"/>
        <v>-1730382.0015624994</v>
      </c>
      <c r="H101" s="269">
        <f t="shared" si="33"/>
        <v>107727.09448477463</v>
      </c>
      <c r="I101" s="269">
        <f t="shared" si="33"/>
        <v>0</v>
      </c>
      <c r="J101" s="269">
        <f t="shared" si="28"/>
        <v>-107727.09448477463</v>
      </c>
      <c r="K101" s="269">
        <f t="shared" si="25"/>
        <v>22622.689841802672</v>
      </c>
      <c r="L101" s="269">
        <f t="shared" si="29"/>
        <v>1350.5631522195436</v>
      </c>
      <c r="M101" s="270">
        <f t="shared" si="30"/>
        <v>22622.689841802672</v>
      </c>
      <c r="N101" s="21"/>
      <c r="O101" s="271"/>
      <c r="P101" s="271"/>
      <c r="Q101" s="271"/>
      <c r="R101" s="271"/>
      <c r="S101" s="271"/>
      <c r="T101" s="271"/>
    </row>
    <row r="102" spans="1:20" s="230" customFormat="1" ht="15">
      <c r="A102" s="267">
        <f t="shared" si="31"/>
        <v>46356</v>
      </c>
      <c r="B102" s="269">
        <f t="shared" si="26"/>
        <v>1730382.0015624994</v>
      </c>
      <c r="C102" s="269">
        <f t="shared" si="34"/>
        <v>1730382.0015624994</v>
      </c>
      <c r="D102" s="269">
        <f t="shared" si="35"/>
        <v>6431.2531058072891</v>
      </c>
      <c r="E102" s="269"/>
      <c r="F102" s="269">
        <f t="shared" si="36"/>
        <v>-1629086.1601835322</v>
      </c>
      <c r="G102" s="269">
        <f t="shared" si="36"/>
        <v>-1730382.0015624994</v>
      </c>
      <c r="H102" s="269">
        <f t="shared" si="33"/>
        <v>101295.84137896728</v>
      </c>
      <c r="I102" s="269">
        <f t="shared" si="33"/>
        <v>0</v>
      </c>
      <c r="J102" s="269">
        <f t="shared" si="28"/>
        <v>-101295.84137896728</v>
      </c>
      <c r="K102" s="269">
        <f t="shared" si="25"/>
        <v>21272.126689583129</v>
      </c>
      <c r="L102" s="269">
        <f t="shared" si="29"/>
        <v>1350.5631522195436</v>
      </c>
      <c r="M102" s="270">
        <f t="shared" si="30"/>
        <v>21272.126689583129</v>
      </c>
      <c r="N102" s="21"/>
      <c r="O102" s="271"/>
      <c r="P102" s="271"/>
      <c r="Q102" s="271"/>
      <c r="R102" s="271"/>
      <c r="S102" s="271"/>
      <c r="T102" s="271"/>
    </row>
    <row r="103" spans="1:20" s="230" customFormat="1" ht="15">
      <c r="A103" s="267">
        <f t="shared" si="31"/>
        <v>46387</v>
      </c>
      <c r="B103" s="269">
        <f t="shared" si="26"/>
        <v>1730382.0015624994</v>
      </c>
      <c r="C103" s="269">
        <f t="shared" si="34"/>
        <v>1730382.0015624994</v>
      </c>
      <c r="D103" s="269">
        <f t="shared" si="35"/>
        <v>6431.2531058072891</v>
      </c>
      <c r="E103" s="269"/>
      <c r="F103" s="269">
        <f t="shared" si="36"/>
        <v>-1635517.4132893395</v>
      </c>
      <c r="G103" s="269">
        <f t="shared" si="36"/>
        <v>-1730382.0015624994</v>
      </c>
      <c r="H103" s="269">
        <f t="shared" si="33"/>
        <v>94864.588273159927</v>
      </c>
      <c r="I103" s="269">
        <f t="shared" si="33"/>
        <v>0</v>
      </c>
      <c r="J103" s="269">
        <f t="shared" si="28"/>
        <v>-94864.588273159927</v>
      </c>
      <c r="K103" s="269">
        <f t="shared" si="25"/>
        <v>19921.563537363585</v>
      </c>
      <c r="L103" s="269">
        <f t="shared" si="29"/>
        <v>1350.5631522195436</v>
      </c>
      <c r="M103" s="270">
        <f t="shared" si="30"/>
        <v>19921.563537363585</v>
      </c>
      <c r="N103" s="21"/>
      <c r="O103" s="271"/>
      <c r="P103" s="271"/>
      <c r="Q103" s="271"/>
      <c r="R103" s="271"/>
      <c r="S103" s="271"/>
      <c r="T103" s="271"/>
    </row>
    <row r="104" spans="1:20" s="230" customFormat="1" ht="15">
      <c r="A104" s="267">
        <f t="shared" si="31"/>
        <v>46418</v>
      </c>
      <c r="B104" s="269">
        <f t="shared" si="26"/>
        <v>1730382.0015624994</v>
      </c>
      <c r="C104" s="269">
        <f t="shared" si="34"/>
        <v>1730382.0015624994</v>
      </c>
      <c r="D104" s="269">
        <f t="shared" si="35"/>
        <v>6431.2531058072891</v>
      </c>
      <c r="E104" s="269"/>
      <c r="F104" s="269">
        <f t="shared" si="36"/>
        <v>-1641948.6663951469</v>
      </c>
      <c r="G104" s="269">
        <f t="shared" si="36"/>
        <v>-1730382.0015624994</v>
      </c>
      <c r="H104" s="269">
        <f t="shared" si="33"/>
        <v>88433.335167352576</v>
      </c>
      <c r="I104" s="269">
        <f t="shared" si="33"/>
        <v>0</v>
      </c>
      <c r="J104" s="269">
        <f t="shared" si="28"/>
        <v>-88433.335167352576</v>
      </c>
      <c r="K104" s="269">
        <f t="shared" si="25"/>
        <v>18571.000385144042</v>
      </c>
      <c r="L104" s="269">
        <f t="shared" si="29"/>
        <v>1350.5631522195436</v>
      </c>
      <c r="M104" s="270">
        <f t="shared" si="30"/>
        <v>18571.000385144042</v>
      </c>
      <c r="N104" s="21"/>
      <c r="O104" s="271"/>
      <c r="P104" s="271"/>
      <c r="Q104" s="271"/>
      <c r="R104" s="271"/>
      <c r="S104" s="271"/>
      <c r="T104" s="271"/>
    </row>
    <row r="105" spans="1:20" s="230" customFormat="1" ht="15">
      <c r="A105" s="267">
        <f t="shared" si="31"/>
        <v>46446</v>
      </c>
      <c r="B105" s="269">
        <f t="shared" si="26"/>
        <v>1730382.0015624994</v>
      </c>
      <c r="C105" s="269">
        <f t="shared" si="34"/>
        <v>1730382.0015624994</v>
      </c>
      <c r="D105" s="269">
        <f t="shared" si="35"/>
        <v>6431.2531058072891</v>
      </c>
      <c r="E105" s="269"/>
      <c r="F105" s="269">
        <f t="shared" si="36"/>
        <v>-1648379.9195009542</v>
      </c>
      <c r="G105" s="269">
        <f t="shared" si="36"/>
        <v>-1730382.0015624994</v>
      </c>
      <c r="H105" s="269">
        <f t="shared" si="33"/>
        <v>82002.082061545225</v>
      </c>
      <c r="I105" s="269">
        <f t="shared" si="33"/>
        <v>0</v>
      </c>
      <c r="J105" s="269">
        <f t="shared" si="28"/>
        <v>-82002.082061545225</v>
      </c>
      <c r="K105" s="269">
        <f t="shared" si="25"/>
        <v>17220.437232924498</v>
      </c>
      <c r="L105" s="269">
        <f t="shared" si="29"/>
        <v>1350.5631522195436</v>
      </c>
      <c r="M105" s="270">
        <f t="shared" si="30"/>
        <v>17220.437232924498</v>
      </c>
      <c r="N105" s="21"/>
      <c r="O105" s="271"/>
      <c r="P105" s="271"/>
      <c r="Q105" s="271"/>
      <c r="R105" s="271"/>
      <c r="S105" s="271"/>
      <c r="T105" s="271"/>
    </row>
    <row r="106" spans="1:20" s="230" customFormat="1" ht="15">
      <c r="A106" s="267">
        <f t="shared" si="31"/>
        <v>46477</v>
      </c>
      <c r="B106" s="269">
        <f t="shared" si="26"/>
        <v>1730382.0015624994</v>
      </c>
      <c r="C106" s="269">
        <f t="shared" si="34"/>
        <v>1730382.0015624994</v>
      </c>
      <c r="D106" s="269">
        <f t="shared" si="35"/>
        <v>6431.2531058072891</v>
      </c>
      <c r="E106" s="269"/>
      <c r="F106" s="269">
        <f t="shared" si="36"/>
        <v>-1654811.1726067616</v>
      </c>
      <c r="G106" s="269">
        <f t="shared" si="36"/>
        <v>-1730382.0015624994</v>
      </c>
      <c r="H106" s="269">
        <f t="shared" si="33"/>
        <v>75570.828955737874</v>
      </c>
      <c r="I106" s="269">
        <f t="shared" si="33"/>
        <v>0</v>
      </c>
      <c r="J106" s="269">
        <f t="shared" si="28"/>
        <v>-75570.828955737874</v>
      </c>
      <c r="K106" s="269">
        <f t="shared" si="25"/>
        <v>15869.874080704953</v>
      </c>
      <c r="L106" s="269">
        <f t="shared" si="29"/>
        <v>1350.5631522195454</v>
      </c>
      <c r="M106" s="270">
        <f t="shared" si="30"/>
        <v>15869.874080704953</v>
      </c>
      <c r="N106" s="21"/>
      <c r="O106" s="271"/>
      <c r="P106" s="271"/>
      <c r="Q106" s="271"/>
      <c r="R106" s="271"/>
      <c r="S106" s="271"/>
      <c r="T106" s="271"/>
    </row>
    <row r="107" spans="1:20" s="230" customFormat="1" ht="15">
      <c r="A107" s="267">
        <f t="shared" si="31"/>
        <v>46507</v>
      </c>
      <c r="B107" s="269">
        <f t="shared" si="26"/>
        <v>1730382.0015624994</v>
      </c>
      <c r="C107" s="269">
        <f t="shared" si="34"/>
        <v>1730382.0015624994</v>
      </c>
      <c r="D107" s="269">
        <f t="shared" si="35"/>
        <v>6431.2531058072891</v>
      </c>
      <c r="E107" s="269"/>
      <c r="F107" s="269">
        <f t="shared" si="36"/>
        <v>-1661242.4257125689</v>
      </c>
      <c r="G107" s="269">
        <f t="shared" si="36"/>
        <v>-1730382.0015624994</v>
      </c>
      <c r="H107" s="269">
        <f t="shared" si="33"/>
        <v>69139.575849930523</v>
      </c>
      <c r="I107" s="269">
        <f t="shared" si="33"/>
        <v>0</v>
      </c>
      <c r="J107" s="269">
        <f t="shared" si="28"/>
        <v>-69139.575849930523</v>
      </c>
      <c r="K107" s="269">
        <f t="shared" si="25"/>
        <v>14519.310928485409</v>
      </c>
      <c r="L107" s="269">
        <f t="shared" si="29"/>
        <v>1350.5631522195436</v>
      </c>
      <c r="M107" s="270">
        <f t="shared" si="30"/>
        <v>14519.310928485409</v>
      </c>
      <c r="N107" s="21"/>
      <c r="O107" s="271"/>
      <c r="P107" s="271"/>
      <c r="Q107" s="271"/>
      <c r="R107" s="271"/>
      <c r="S107" s="271"/>
      <c r="T107" s="271"/>
    </row>
    <row r="108" spans="1:20" s="230" customFormat="1" ht="15">
      <c r="A108" s="267">
        <f t="shared" si="31"/>
        <v>46538</v>
      </c>
      <c r="B108" s="269">
        <f t="shared" si="26"/>
        <v>1730382.0015624994</v>
      </c>
      <c r="C108" s="269">
        <f t="shared" si="34"/>
        <v>1730382.0015624994</v>
      </c>
      <c r="D108" s="269">
        <f t="shared" si="35"/>
        <v>6431.2531058072891</v>
      </c>
      <c r="E108" s="269"/>
      <c r="F108" s="269">
        <f t="shared" si="36"/>
        <v>-1667673.6788183763</v>
      </c>
      <c r="G108" s="269">
        <f t="shared" si="36"/>
        <v>-1730382.0015624994</v>
      </c>
      <c r="H108" s="269">
        <f t="shared" si="33"/>
        <v>62708.322744123172</v>
      </c>
      <c r="I108" s="269">
        <f t="shared" si="33"/>
        <v>0</v>
      </c>
      <c r="J108" s="269">
        <f t="shared" si="28"/>
        <v>-62708.322744123172</v>
      </c>
      <c r="K108" s="269">
        <f t="shared" si="25"/>
        <v>13168.747776265865</v>
      </c>
      <c r="L108" s="269">
        <f t="shared" si="29"/>
        <v>1350.5631522195436</v>
      </c>
      <c r="M108" s="270">
        <f t="shared" si="30"/>
        <v>13168.747776265865</v>
      </c>
      <c r="N108" s="21"/>
      <c r="O108" s="271"/>
      <c r="P108" s="271"/>
      <c r="Q108" s="271"/>
      <c r="R108" s="271"/>
      <c r="S108" s="271"/>
      <c r="T108" s="271"/>
    </row>
    <row r="109" spans="1:20" s="230" customFormat="1" ht="15">
      <c r="A109" s="267">
        <f t="shared" si="31"/>
        <v>46568</v>
      </c>
      <c r="B109" s="269">
        <f t="shared" si="26"/>
        <v>1730382.0015624994</v>
      </c>
      <c r="C109" s="269">
        <f t="shared" si="34"/>
        <v>1730382.0015624994</v>
      </c>
      <c r="D109" s="269">
        <f t="shared" si="35"/>
        <v>6431.2531058072891</v>
      </c>
      <c r="E109" s="269"/>
      <c r="F109" s="269">
        <f t="shared" si="36"/>
        <v>-1674104.9319241836</v>
      </c>
      <c r="G109" s="269">
        <f t="shared" si="36"/>
        <v>-1730382.0015624994</v>
      </c>
      <c r="H109" s="269">
        <f t="shared" si="33"/>
        <v>56277.069638315821</v>
      </c>
      <c r="I109" s="269">
        <f t="shared" si="33"/>
        <v>0</v>
      </c>
      <c r="J109" s="269">
        <f t="shared" si="28"/>
        <v>-56277.069638315821</v>
      </c>
      <c r="K109" s="269">
        <f t="shared" si="25"/>
        <v>11818.184624046322</v>
      </c>
      <c r="L109" s="269">
        <f t="shared" si="29"/>
        <v>1350.5631522195436</v>
      </c>
      <c r="M109" s="270">
        <f t="shared" si="30"/>
        <v>11818.184624046322</v>
      </c>
      <c r="N109" s="97"/>
      <c r="O109" s="271"/>
      <c r="P109" s="271"/>
      <c r="Q109" s="271"/>
      <c r="R109" s="271"/>
      <c r="S109" s="271"/>
      <c r="T109" s="271"/>
    </row>
    <row r="110" spans="1:20" s="230" customFormat="1" ht="15">
      <c r="A110" s="267">
        <f t="shared" si="31"/>
        <v>46599</v>
      </c>
      <c r="B110" s="269">
        <f t="shared" si="26"/>
        <v>1730382.0015624994</v>
      </c>
      <c r="C110" s="269">
        <f t="shared" si="34"/>
        <v>1730382.0015624994</v>
      </c>
      <c r="D110" s="269">
        <f t="shared" si="35"/>
        <v>6431.2531058072891</v>
      </c>
      <c r="E110" s="269"/>
      <c r="F110" s="269">
        <f t="shared" si="36"/>
        <v>-1680536.185029991</v>
      </c>
      <c r="G110" s="269">
        <f t="shared" si="36"/>
        <v>-1730382.0015624994</v>
      </c>
      <c r="H110" s="269">
        <f t="shared" si="33"/>
        <v>49845.81653250847</v>
      </c>
      <c r="I110" s="269">
        <f t="shared" si="33"/>
        <v>0</v>
      </c>
      <c r="J110" s="269">
        <f t="shared" si="28"/>
        <v>-49845.81653250847</v>
      </c>
      <c r="K110" s="269">
        <f t="shared" si="25"/>
        <v>10467.621471826778</v>
      </c>
      <c r="L110" s="269">
        <f t="shared" si="29"/>
        <v>1350.5631522195436</v>
      </c>
      <c r="M110" s="270">
        <f t="shared" si="30"/>
        <v>10467.621471826778</v>
      </c>
      <c r="N110" s="97"/>
      <c r="O110" s="271"/>
      <c r="P110" s="271"/>
      <c r="Q110" s="271"/>
      <c r="R110" s="271"/>
      <c r="S110" s="271"/>
      <c r="T110" s="271"/>
    </row>
    <row r="111" spans="1:20" s="230" customFormat="1" ht="15">
      <c r="A111" s="267">
        <f t="shared" si="31"/>
        <v>46630</v>
      </c>
      <c r="B111" s="269">
        <f t="shared" si="26"/>
        <v>1730382.0015624994</v>
      </c>
      <c r="C111" s="269">
        <f t="shared" si="34"/>
        <v>1730382.0015624994</v>
      </c>
      <c r="D111" s="269">
        <f t="shared" si="35"/>
        <v>6431.2531058072891</v>
      </c>
      <c r="E111" s="269"/>
      <c r="F111" s="269">
        <f t="shared" si="36"/>
        <v>-1686967.4381357983</v>
      </c>
      <c r="G111" s="269">
        <f t="shared" si="36"/>
        <v>-1730382.0015624994</v>
      </c>
      <c r="H111" s="269">
        <f t="shared" si="33"/>
        <v>43414.563426701119</v>
      </c>
      <c r="I111" s="269">
        <f t="shared" si="33"/>
        <v>0</v>
      </c>
      <c r="J111" s="269">
        <f t="shared" si="28"/>
        <v>-43414.563426701119</v>
      </c>
      <c r="K111" s="269">
        <f t="shared" si="25"/>
        <v>9117.0583196072348</v>
      </c>
      <c r="L111" s="269">
        <f t="shared" si="29"/>
        <v>1350.5631522195436</v>
      </c>
      <c r="M111" s="270">
        <f t="shared" si="30"/>
        <v>9117.0583196072348</v>
      </c>
      <c r="N111" s="97"/>
      <c r="O111" s="271"/>
      <c r="P111" s="271"/>
      <c r="Q111" s="271"/>
      <c r="R111" s="271"/>
      <c r="S111" s="271"/>
      <c r="T111" s="271"/>
    </row>
    <row r="112" spans="1:20" s="230" customFormat="1" ht="15">
      <c r="A112" s="267">
        <f t="shared" si="31"/>
        <v>46660</v>
      </c>
      <c r="B112" s="269">
        <f t="shared" si="26"/>
        <v>1730382.0015624994</v>
      </c>
      <c r="C112" s="269">
        <f t="shared" si="34"/>
        <v>1730382.0015624994</v>
      </c>
      <c r="D112" s="269">
        <f t="shared" si="35"/>
        <v>6431.2531058072891</v>
      </c>
      <c r="E112" s="269"/>
      <c r="F112" s="269">
        <f t="shared" si="36"/>
        <v>-1693398.6912416057</v>
      </c>
      <c r="G112" s="269">
        <f t="shared" si="36"/>
        <v>-1730382.0015624994</v>
      </c>
      <c r="H112" s="269">
        <f t="shared" ref="H112:I127" si="37">B112+F112</f>
        <v>36983.310320893768</v>
      </c>
      <c r="I112" s="269">
        <f t="shared" si="37"/>
        <v>0</v>
      </c>
      <c r="J112" s="269">
        <f t="shared" si="28"/>
        <v>-36983.310320893768</v>
      </c>
      <c r="K112" s="269">
        <f t="shared" si="25"/>
        <v>7766.4951673876913</v>
      </c>
      <c r="L112" s="269">
        <f t="shared" si="29"/>
        <v>1350.5631522195436</v>
      </c>
      <c r="M112" s="270">
        <f t="shared" si="30"/>
        <v>7766.4951673876913</v>
      </c>
      <c r="N112" s="97"/>
      <c r="O112" s="271"/>
      <c r="P112" s="271"/>
      <c r="Q112" s="271"/>
      <c r="R112" s="271"/>
      <c r="S112" s="271"/>
      <c r="T112" s="271"/>
    </row>
    <row r="113" spans="1:20" s="230" customFormat="1" ht="15">
      <c r="A113" s="267">
        <f t="shared" si="31"/>
        <v>46691</v>
      </c>
      <c r="B113" s="269">
        <f t="shared" si="26"/>
        <v>1730382.0015624994</v>
      </c>
      <c r="C113" s="269">
        <f t="shared" si="34"/>
        <v>1730382.0015624994</v>
      </c>
      <c r="D113" s="269">
        <f t="shared" si="35"/>
        <v>6431.2531058072891</v>
      </c>
      <c r="E113" s="269"/>
      <c r="F113" s="269">
        <f t="shared" si="36"/>
        <v>-1699829.944347413</v>
      </c>
      <c r="G113" s="269">
        <f t="shared" si="36"/>
        <v>-1730382.0015624994</v>
      </c>
      <c r="H113" s="269">
        <f t="shared" si="37"/>
        <v>30552.057215086417</v>
      </c>
      <c r="I113" s="269">
        <f t="shared" si="37"/>
        <v>0</v>
      </c>
      <c r="J113" s="269">
        <f t="shared" si="28"/>
        <v>-30552.057215086417</v>
      </c>
      <c r="K113" s="269">
        <f t="shared" si="25"/>
        <v>6415.9320151681477</v>
      </c>
      <c r="L113" s="269">
        <f t="shared" si="29"/>
        <v>1350.5631522195436</v>
      </c>
      <c r="M113" s="270">
        <f t="shared" si="30"/>
        <v>6415.9320151681477</v>
      </c>
      <c r="N113" s="97"/>
      <c r="O113" s="271"/>
      <c r="P113" s="271"/>
      <c r="Q113" s="271"/>
      <c r="R113" s="271"/>
      <c r="S113" s="271"/>
      <c r="T113" s="271"/>
    </row>
    <row r="114" spans="1:20" s="230" customFormat="1" ht="15">
      <c r="A114" s="267">
        <f t="shared" si="31"/>
        <v>46721</v>
      </c>
      <c r="B114" s="269">
        <f t="shared" si="26"/>
        <v>1730382.0015624994</v>
      </c>
      <c r="C114" s="269">
        <f t="shared" si="34"/>
        <v>1730382.0015624994</v>
      </c>
      <c r="D114" s="269">
        <f t="shared" si="35"/>
        <v>6431.2531058072891</v>
      </c>
      <c r="E114" s="269"/>
      <c r="F114" s="269">
        <f t="shared" si="36"/>
        <v>-1706261.1974532204</v>
      </c>
      <c r="G114" s="269">
        <f t="shared" si="36"/>
        <v>-1730382.0015624994</v>
      </c>
      <c r="H114" s="269">
        <f t="shared" si="37"/>
        <v>24120.804109279066</v>
      </c>
      <c r="I114" s="269">
        <f t="shared" si="37"/>
        <v>0</v>
      </c>
      <c r="J114" s="269">
        <f t="shared" si="28"/>
        <v>-24120.804109279066</v>
      </c>
      <c r="K114" s="269">
        <f t="shared" si="25"/>
        <v>5065.3688629486041</v>
      </c>
      <c r="L114" s="269">
        <f t="shared" si="29"/>
        <v>1350.5631522195436</v>
      </c>
      <c r="M114" s="270">
        <f t="shared" si="30"/>
        <v>5065.3688629486041</v>
      </c>
      <c r="N114" s="97"/>
      <c r="O114" s="271"/>
      <c r="P114" s="271"/>
      <c r="Q114" s="271"/>
      <c r="R114" s="271"/>
      <c r="S114" s="271"/>
      <c r="T114" s="271"/>
    </row>
    <row r="115" spans="1:20" s="230" customFormat="1" ht="15">
      <c r="A115" s="267">
        <f t="shared" si="31"/>
        <v>46752</v>
      </c>
      <c r="B115" s="269">
        <f t="shared" si="26"/>
        <v>1730382.0015624994</v>
      </c>
      <c r="C115" s="269">
        <f t="shared" si="34"/>
        <v>1730382.0015624994</v>
      </c>
      <c r="D115" s="269">
        <f t="shared" si="35"/>
        <v>6431.2531058072891</v>
      </c>
      <c r="E115" s="269"/>
      <c r="F115" s="269">
        <f t="shared" si="36"/>
        <v>-1712692.4505590277</v>
      </c>
      <c r="G115" s="269">
        <f t="shared" si="36"/>
        <v>-1730382.0015624994</v>
      </c>
      <c r="H115" s="269">
        <f t="shared" si="37"/>
        <v>17689.551003471715</v>
      </c>
      <c r="I115" s="269">
        <f t="shared" si="37"/>
        <v>0</v>
      </c>
      <c r="J115" s="269">
        <f t="shared" si="28"/>
        <v>-17689.551003471715</v>
      </c>
      <c r="K115" s="269">
        <f t="shared" si="25"/>
        <v>3714.8057107290601</v>
      </c>
      <c r="L115" s="269">
        <f t="shared" si="29"/>
        <v>1350.563152219544</v>
      </c>
      <c r="M115" s="270">
        <f t="shared" si="30"/>
        <v>3714.8057107290601</v>
      </c>
      <c r="N115" s="97"/>
      <c r="O115" s="271"/>
      <c r="P115" s="271"/>
      <c r="Q115" s="271"/>
      <c r="R115" s="271"/>
      <c r="S115" s="271"/>
      <c r="T115" s="271"/>
    </row>
    <row r="116" spans="1:20" s="230" customFormat="1" ht="15">
      <c r="A116" s="267">
        <f t="shared" si="31"/>
        <v>46783</v>
      </c>
      <c r="B116" s="269">
        <f t="shared" si="26"/>
        <v>1730382.0015624994</v>
      </c>
      <c r="C116" s="269">
        <f t="shared" si="34"/>
        <v>1730382.0015624994</v>
      </c>
      <c r="D116" s="269">
        <f t="shared" si="35"/>
        <v>6431.2531058072891</v>
      </c>
      <c r="E116" s="269"/>
      <c r="F116" s="269">
        <f t="shared" si="36"/>
        <v>-1719123.7036648351</v>
      </c>
      <c r="G116" s="269">
        <f t="shared" si="36"/>
        <v>-1730382.0015624994</v>
      </c>
      <c r="H116" s="269">
        <f t="shared" si="37"/>
        <v>11258.297897664364</v>
      </c>
      <c r="I116" s="269">
        <f t="shared" si="37"/>
        <v>0</v>
      </c>
      <c r="J116" s="269">
        <f t="shared" si="28"/>
        <v>-11258.297897664364</v>
      </c>
      <c r="K116" s="269">
        <f t="shared" ref="K116:K147" si="38">-J116*$K$15</f>
        <v>2364.2425585095166</v>
      </c>
      <c r="L116" s="269">
        <f t="shared" si="29"/>
        <v>1350.5631522195436</v>
      </c>
      <c r="M116" s="270">
        <f t="shared" si="30"/>
        <v>2364.2425585095166</v>
      </c>
      <c r="N116" s="97"/>
      <c r="O116" s="271"/>
      <c r="P116" s="271"/>
      <c r="Q116" s="271"/>
      <c r="R116" s="271"/>
      <c r="S116" s="271"/>
      <c r="T116" s="271"/>
    </row>
    <row r="117" spans="1:20" s="230" customFormat="1" ht="15">
      <c r="A117" s="267">
        <f t="shared" si="31"/>
        <v>46812</v>
      </c>
      <c r="B117" s="269">
        <f t="shared" si="26"/>
        <v>1730382.0015624994</v>
      </c>
      <c r="C117" s="269">
        <f t="shared" si="34"/>
        <v>1730382.0015624994</v>
      </c>
      <c r="D117" s="269">
        <f t="shared" si="35"/>
        <v>6431.2531058072891</v>
      </c>
      <c r="E117" s="269"/>
      <c r="F117" s="269">
        <f t="shared" ref="F117:G132" si="39">F116-D117</f>
        <v>-1725554.9567706424</v>
      </c>
      <c r="G117" s="269">
        <f t="shared" si="39"/>
        <v>-1730382.0015624994</v>
      </c>
      <c r="H117" s="269">
        <f t="shared" si="37"/>
        <v>4827.0447918570135</v>
      </c>
      <c r="I117" s="269">
        <f t="shared" si="37"/>
        <v>0</v>
      </c>
      <c r="J117" s="269">
        <f t="shared" si="28"/>
        <v>-4827.0447918570135</v>
      </c>
      <c r="K117" s="269">
        <f t="shared" si="38"/>
        <v>1013.6794062899728</v>
      </c>
      <c r="L117" s="269">
        <f t="shared" si="29"/>
        <v>1350.5631522195438</v>
      </c>
      <c r="M117" s="270">
        <f t="shared" si="30"/>
        <v>1013.6794062899728</v>
      </c>
      <c r="N117" s="97"/>
      <c r="O117" s="271"/>
      <c r="P117" s="271"/>
      <c r="Q117" s="271"/>
      <c r="R117" s="271"/>
      <c r="S117" s="271"/>
      <c r="T117" s="271"/>
    </row>
    <row r="118" spans="1:20" s="230" customFormat="1" ht="15">
      <c r="A118" s="267">
        <f t="shared" si="31"/>
        <v>46843</v>
      </c>
      <c r="B118" s="269">
        <f t="shared" si="26"/>
        <v>1730382.0015624994</v>
      </c>
      <c r="C118" s="269">
        <f t="shared" si="34"/>
        <v>1730382.0015624994</v>
      </c>
      <c r="D118" s="269">
        <f>B117+F117</f>
        <v>4827.0447918570135</v>
      </c>
      <c r="E118" s="269"/>
      <c r="F118" s="269">
        <f t="shared" si="39"/>
        <v>-1730382.0015624994</v>
      </c>
      <c r="G118" s="269">
        <f t="shared" si="39"/>
        <v>-1730382.0015624994</v>
      </c>
      <c r="H118" s="269">
        <f t="shared" si="37"/>
        <v>0</v>
      </c>
      <c r="I118" s="269">
        <f t="shared" si="37"/>
        <v>0</v>
      </c>
      <c r="J118" s="269">
        <f t="shared" si="28"/>
        <v>0</v>
      </c>
      <c r="K118" s="269">
        <f t="shared" si="38"/>
        <v>0</v>
      </c>
      <c r="L118" s="269">
        <f t="shared" si="29"/>
        <v>1013.6794062899728</v>
      </c>
      <c r="M118" s="270">
        <f t="shared" si="30"/>
        <v>0</v>
      </c>
      <c r="N118" s="97"/>
      <c r="O118" s="271"/>
      <c r="P118" s="271"/>
      <c r="Q118" s="271"/>
      <c r="R118" s="271"/>
      <c r="S118" s="271"/>
      <c r="T118" s="271"/>
    </row>
    <row r="119" spans="1:20" s="230" customFormat="1" ht="15">
      <c r="A119" s="267">
        <f t="shared" si="31"/>
        <v>46873</v>
      </c>
      <c r="B119" s="269">
        <f t="shared" si="26"/>
        <v>1730382.0015624994</v>
      </c>
      <c r="C119" s="269">
        <f t="shared" si="34"/>
        <v>1730382.0015624994</v>
      </c>
      <c r="D119" s="269"/>
      <c r="E119" s="269"/>
      <c r="F119" s="269">
        <f t="shared" si="39"/>
        <v>-1730382.0015624994</v>
      </c>
      <c r="G119" s="269">
        <f t="shared" si="39"/>
        <v>-1730382.0015624994</v>
      </c>
      <c r="H119" s="269">
        <f t="shared" si="37"/>
        <v>0</v>
      </c>
      <c r="I119" s="269">
        <f t="shared" si="37"/>
        <v>0</v>
      </c>
      <c r="J119" s="269">
        <f t="shared" si="28"/>
        <v>0</v>
      </c>
      <c r="K119" s="269">
        <f t="shared" si="38"/>
        <v>0</v>
      </c>
      <c r="L119" s="269">
        <f t="shared" si="29"/>
        <v>0</v>
      </c>
      <c r="M119" s="270">
        <f t="shared" si="30"/>
        <v>0</v>
      </c>
      <c r="N119" s="97"/>
      <c r="O119" s="271"/>
      <c r="P119" s="271"/>
      <c r="Q119" s="271"/>
      <c r="R119" s="271"/>
      <c r="S119" s="271"/>
      <c r="T119" s="271"/>
    </row>
    <row r="120" spans="1:20" s="230" customFormat="1" ht="15">
      <c r="A120" s="267">
        <f t="shared" si="31"/>
        <v>46904</v>
      </c>
      <c r="B120" s="269">
        <f t="shared" si="26"/>
        <v>1730382.0015624994</v>
      </c>
      <c r="C120" s="269">
        <f t="shared" si="34"/>
        <v>1730382.0015624994</v>
      </c>
      <c r="D120" s="269"/>
      <c r="E120" s="269"/>
      <c r="F120" s="269">
        <f t="shared" si="39"/>
        <v>-1730382.0015624994</v>
      </c>
      <c r="G120" s="269">
        <f t="shared" si="39"/>
        <v>-1730382.0015624994</v>
      </c>
      <c r="H120" s="269">
        <f t="shared" si="37"/>
        <v>0</v>
      </c>
      <c r="I120" s="269">
        <f t="shared" si="37"/>
        <v>0</v>
      </c>
      <c r="J120" s="269">
        <f t="shared" si="28"/>
        <v>0</v>
      </c>
      <c r="K120" s="269">
        <f t="shared" si="38"/>
        <v>0</v>
      </c>
      <c r="L120" s="269">
        <f t="shared" si="29"/>
        <v>0</v>
      </c>
      <c r="M120" s="270">
        <f t="shared" si="30"/>
        <v>0</v>
      </c>
      <c r="N120" s="97"/>
      <c r="O120" s="271"/>
      <c r="P120" s="271"/>
      <c r="Q120" s="271"/>
      <c r="R120" s="271"/>
      <c r="S120" s="271"/>
      <c r="T120" s="271"/>
    </row>
    <row r="121" spans="1:20" s="230" customFormat="1" ht="15">
      <c r="A121" s="267">
        <f t="shared" si="31"/>
        <v>46934</v>
      </c>
      <c r="B121" s="269">
        <f t="shared" si="26"/>
        <v>1730382.0015624994</v>
      </c>
      <c r="C121" s="269">
        <f t="shared" si="34"/>
        <v>1730382.0015624994</v>
      </c>
      <c r="D121" s="269"/>
      <c r="E121" s="269"/>
      <c r="F121" s="269">
        <f t="shared" si="39"/>
        <v>-1730382.0015624994</v>
      </c>
      <c r="G121" s="269">
        <f t="shared" si="39"/>
        <v>-1730382.0015624994</v>
      </c>
      <c r="H121" s="269">
        <f t="shared" si="37"/>
        <v>0</v>
      </c>
      <c r="I121" s="269">
        <f t="shared" si="37"/>
        <v>0</v>
      </c>
      <c r="J121" s="269">
        <f t="shared" si="28"/>
        <v>0</v>
      </c>
      <c r="K121" s="269">
        <f t="shared" si="38"/>
        <v>0</v>
      </c>
      <c r="L121" s="269">
        <f t="shared" si="29"/>
        <v>0</v>
      </c>
      <c r="M121" s="270">
        <f t="shared" si="30"/>
        <v>0</v>
      </c>
      <c r="N121" s="97"/>
      <c r="O121" s="271"/>
      <c r="P121" s="271"/>
      <c r="Q121" s="271"/>
      <c r="R121" s="271"/>
      <c r="S121" s="271"/>
      <c r="T121" s="271"/>
    </row>
    <row r="122" spans="1:20" s="230" customFormat="1" ht="15">
      <c r="A122" s="267">
        <f t="shared" si="31"/>
        <v>46965</v>
      </c>
      <c r="B122" s="269">
        <f t="shared" si="26"/>
        <v>1730382.0015624994</v>
      </c>
      <c r="C122" s="269">
        <f t="shared" si="34"/>
        <v>1730382.0015624994</v>
      </c>
      <c r="D122" s="269"/>
      <c r="E122" s="269"/>
      <c r="F122" s="269">
        <f t="shared" si="39"/>
        <v>-1730382.0015624994</v>
      </c>
      <c r="G122" s="269">
        <f t="shared" si="39"/>
        <v>-1730382.0015624994</v>
      </c>
      <c r="H122" s="269">
        <f t="shared" si="37"/>
        <v>0</v>
      </c>
      <c r="I122" s="269">
        <f t="shared" si="37"/>
        <v>0</v>
      </c>
      <c r="J122" s="269">
        <f t="shared" si="28"/>
        <v>0</v>
      </c>
      <c r="K122" s="269">
        <f t="shared" si="38"/>
        <v>0</v>
      </c>
      <c r="L122" s="269">
        <f t="shared" si="29"/>
        <v>0</v>
      </c>
      <c r="M122" s="270">
        <f t="shared" si="30"/>
        <v>0</v>
      </c>
      <c r="N122" s="97"/>
      <c r="O122" s="271"/>
      <c r="P122" s="271"/>
      <c r="Q122" s="271"/>
      <c r="R122" s="271"/>
      <c r="S122" s="271"/>
      <c r="T122" s="271"/>
    </row>
    <row r="123" spans="1:20" s="230" customFormat="1" ht="15">
      <c r="A123" s="267">
        <f t="shared" si="31"/>
        <v>46996</v>
      </c>
      <c r="B123" s="269">
        <f t="shared" si="26"/>
        <v>1730382.0015624994</v>
      </c>
      <c r="C123" s="269">
        <f t="shared" si="34"/>
        <v>1730382.0015624994</v>
      </c>
      <c r="D123" s="269"/>
      <c r="E123" s="269"/>
      <c r="F123" s="269">
        <f t="shared" si="39"/>
        <v>-1730382.0015624994</v>
      </c>
      <c r="G123" s="269">
        <f t="shared" si="39"/>
        <v>-1730382.0015624994</v>
      </c>
      <c r="H123" s="269">
        <f t="shared" si="37"/>
        <v>0</v>
      </c>
      <c r="I123" s="269">
        <f t="shared" si="37"/>
        <v>0</v>
      </c>
      <c r="J123" s="269">
        <f t="shared" si="28"/>
        <v>0</v>
      </c>
      <c r="K123" s="269">
        <f t="shared" si="38"/>
        <v>0</v>
      </c>
      <c r="L123" s="269">
        <f t="shared" si="29"/>
        <v>0</v>
      </c>
      <c r="M123" s="270">
        <f t="shared" si="30"/>
        <v>0</v>
      </c>
      <c r="N123" s="97"/>
      <c r="O123" s="271"/>
      <c r="P123" s="271"/>
      <c r="Q123" s="271"/>
      <c r="R123" s="271"/>
      <c r="S123" s="271"/>
      <c r="T123" s="271"/>
    </row>
    <row r="124" spans="1:20" s="230" customFormat="1" ht="15">
      <c r="A124" s="267">
        <f t="shared" si="31"/>
        <v>47026</v>
      </c>
      <c r="B124" s="269">
        <f t="shared" si="26"/>
        <v>1730382.0015624994</v>
      </c>
      <c r="C124" s="269">
        <f t="shared" si="34"/>
        <v>1730382.0015624994</v>
      </c>
      <c r="D124" s="269"/>
      <c r="E124" s="269"/>
      <c r="F124" s="269">
        <f t="shared" si="39"/>
        <v>-1730382.0015624994</v>
      </c>
      <c r="G124" s="269">
        <f t="shared" si="39"/>
        <v>-1730382.0015624994</v>
      </c>
      <c r="H124" s="269">
        <f t="shared" si="37"/>
        <v>0</v>
      </c>
      <c r="I124" s="269">
        <f t="shared" si="37"/>
        <v>0</v>
      </c>
      <c r="J124" s="269">
        <f t="shared" si="28"/>
        <v>0</v>
      </c>
      <c r="K124" s="269">
        <f t="shared" si="38"/>
        <v>0</v>
      </c>
      <c r="L124" s="269">
        <f t="shared" si="29"/>
        <v>0</v>
      </c>
      <c r="M124" s="270">
        <f t="shared" si="30"/>
        <v>0</v>
      </c>
      <c r="N124" s="97"/>
      <c r="O124" s="271"/>
      <c r="P124" s="271"/>
      <c r="Q124" s="271"/>
      <c r="R124" s="271"/>
      <c r="S124" s="271"/>
      <c r="T124" s="271"/>
    </row>
    <row r="125" spans="1:20" s="230" customFormat="1" ht="15">
      <c r="A125" s="267">
        <f t="shared" si="31"/>
        <v>47057</v>
      </c>
      <c r="B125" s="269">
        <f t="shared" si="26"/>
        <v>1730382.0015624994</v>
      </c>
      <c r="C125" s="269">
        <f t="shared" si="34"/>
        <v>1730382.0015624994</v>
      </c>
      <c r="D125" s="269"/>
      <c r="E125" s="269"/>
      <c r="F125" s="269">
        <f t="shared" si="39"/>
        <v>-1730382.0015624994</v>
      </c>
      <c r="G125" s="269">
        <f t="shared" si="39"/>
        <v>-1730382.0015624994</v>
      </c>
      <c r="H125" s="269">
        <f t="shared" si="37"/>
        <v>0</v>
      </c>
      <c r="I125" s="269">
        <f t="shared" si="37"/>
        <v>0</v>
      </c>
      <c r="J125" s="269">
        <f t="shared" si="28"/>
        <v>0</v>
      </c>
      <c r="K125" s="269">
        <f t="shared" si="38"/>
        <v>0</v>
      </c>
      <c r="L125" s="269">
        <f t="shared" si="29"/>
        <v>0</v>
      </c>
      <c r="M125" s="270">
        <f t="shared" si="30"/>
        <v>0</v>
      </c>
      <c r="N125" s="97"/>
      <c r="O125" s="271"/>
      <c r="P125" s="271"/>
      <c r="Q125" s="271"/>
      <c r="R125" s="271"/>
      <c r="S125" s="271"/>
      <c r="T125" s="271"/>
    </row>
    <row r="126" spans="1:20" s="230" customFormat="1" ht="15">
      <c r="A126" s="267">
        <f t="shared" si="31"/>
        <v>47087</v>
      </c>
      <c r="B126" s="269">
        <f t="shared" si="26"/>
        <v>1730382.0015624994</v>
      </c>
      <c r="C126" s="269">
        <f t="shared" si="34"/>
        <v>1730382.0015624994</v>
      </c>
      <c r="D126" s="269"/>
      <c r="E126" s="269"/>
      <c r="F126" s="269">
        <f t="shared" si="39"/>
        <v>-1730382.0015624994</v>
      </c>
      <c r="G126" s="269">
        <f t="shared" si="39"/>
        <v>-1730382.0015624994</v>
      </c>
      <c r="H126" s="269">
        <f t="shared" si="37"/>
        <v>0</v>
      </c>
      <c r="I126" s="269">
        <f t="shared" si="37"/>
        <v>0</v>
      </c>
      <c r="J126" s="269">
        <f t="shared" si="28"/>
        <v>0</v>
      </c>
      <c r="K126" s="269">
        <f t="shared" si="38"/>
        <v>0</v>
      </c>
      <c r="L126" s="269">
        <f t="shared" si="29"/>
        <v>0</v>
      </c>
      <c r="M126" s="270">
        <f t="shared" si="30"/>
        <v>0</v>
      </c>
      <c r="N126" s="97"/>
      <c r="O126" s="271"/>
      <c r="P126" s="271"/>
      <c r="Q126" s="271"/>
      <c r="R126" s="271"/>
      <c r="S126" s="271"/>
      <c r="T126" s="271"/>
    </row>
    <row r="127" spans="1:20" s="230" customFormat="1" ht="15">
      <c r="A127" s="267">
        <f t="shared" si="31"/>
        <v>47118</v>
      </c>
      <c r="B127" s="269">
        <f t="shared" si="26"/>
        <v>1730382.0015624994</v>
      </c>
      <c r="C127" s="269">
        <f t="shared" si="34"/>
        <v>1730382.0015624994</v>
      </c>
      <c r="D127" s="269"/>
      <c r="E127" s="269"/>
      <c r="F127" s="269">
        <f t="shared" si="39"/>
        <v>-1730382.0015624994</v>
      </c>
      <c r="G127" s="269">
        <f t="shared" si="39"/>
        <v>-1730382.0015624994</v>
      </c>
      <c r="H127" s="269">
        <f t="shared" si="37"/>
        <v>0</v>
      </c>
      <c r="I127" s="269">
        <f t="shared" si="37"/>
        <v>0</v>
      </c>
      <c r="J127" s="269">
        <f t="shared" si="28"/>
        <v>0</v>
      </c>
      <c r="K127" s="269">
        <f t="shared" si="38"/>
        <v>0</v>
      </c>
      <c r="L127" s="269">
        <f t="shared" si="29"/>
        <v>0</v>
      </c>
      <c r="M127" s="270">
        <f t="shared" si="30"/>
        <v>0</v>
      </c>
      <c r="N127" s="97"/>
      <c r="O127" s="271"/>
      <c r="P127" s="271"/>
      <c r="Q127" s="271"/>
      <c r="R127" s="271"/>
      <c r="S127" s="271"/>
      <c r="T127" s="271"/>
    </row>
    <row r="128" spans="1:20" s="230" customFormat="1" ht="15">
      <c r="A128" s="267">
        <f t="shared" si="31"/>
        <v>47149</v>
      </c>
      <c r="B128" s="269">
        <f t="shared" si="26"/>
        <v>1730382.0015624994</v>
      </c>
      <c r="C128" s="269">
        <f t="shared" si="34"/>
        <v>1730382.0015624994</v>
      </c>
      <c r="D128" s="269"/>
      <c r="E128" s="269"/>
      <c r="F128" s="269">
        <f t="shared" si="39"/>
        <v>-1730382.0015624994</v>
      </c>
      <c r="G128" s="269">
        <f t="shared" si="39"/>
        <v>-1730382.0015624994</v>
      </c>
      <c r="H128" s="269">
        <f t="shared" ref="H128:I178" si="40">B128+F128</f>
        <v>0</v>
      </c>
      <c r="I128" s="269">
        <f t="shared" si="40"/>
        <v>0</v>
      </c>
      <c r="J128" s="269">
        <f t="shared" si="28"/>
        <v>0</v>
      </c>
      <c r="K128" s="269">
        <f t="shared" si="38"/>
        <v>0</v>
      </c>
      <c r="L128" s="269">
        <f t="shared" si="29"/>
        <v>0</v>
      </c>
      <c r="M128" s="270">
        <f t="shared" si="30"/>
        <v>0</v>
      </c>
      <c r="N128" s="97"/>
      <c r="O128" s="271"/>
      <c r="P128" s="271"/>
      <c r="Q128" s="271"/>
      <c r="R128" s="271"/>
      <c r="S128" s="271"/>
      <c r="T128" s="271"/>
    </row>
    <row r="129" spans="1:20" s="230" customFormat="1" ht="15">
      <c r="A129" s="267">
        <f t="shared" si="31"/>
        <v>47177</v>
      </c>
      <c r="B129" s="269">
        <f t="shared" si="26"/>
        <v>1730382.0015624994</v>
      </c>
      <c r="C129" s="269">
        <f t="shared" si="34"/>
        <v>1730382.0015624994</v>
      </c>
      <c r="D129" s="269"/>
      <c r="E129" s="269"/>
      <c r="F129" s="269">
        <f t="shared" si="39"/>
        <v>-1730382.0015624994</v>
      </c>
      <c r="G129" s="269">
        <f t="shared" si="39"/>
        <v>-1730382.0015624994</v>
      </c>
      <c r="H129" s="269">
        <f t="shared" si="40"/>
        <v>0</v>
      </c>
      <c r="I129" s="269">
        <f t="shared" si="40"/>
        <v>0</v>
      </c>
      <c r="J129" s="269">
        <f t="shared" si="28"/>
        <v>0</v>
      </c>
      <c r="K129" s="269">
        <f t="shared" si="38"/>
        <v>0</v>
      </c>
      <c r="L129" s="269">
        <f t="shared" si="29"/>
        <v>0</v>
      </c>
      <c r="M129" s="270">
        <f t="shared" si="30"/>
        <v>0</v>
      </c>
      <c r="N129" s="97"/>
      <c r="O129" s="271"/>
      <c r="P129" s="271"/>
      <c r="Q129" s="271"/>
      <c r="R129" s="271"/>
      <c r="S129" s="271"/>
      <c r="T129" s="271"/>
    </row>
    <row r="130" spans="1:20" s="230" customFormat="1" ht="15">
      <c r="A130" s="267">
        <f t="shared" si="31"/>
        <v>47208</v>
      </c>
      <c r="B130" s="269">
        <f t="shared" si="26"/>
        <v>1730382.0015624994</v>
      </c>
      <c r="C130" s="269">
        <f t="shared" si="34"/>
        <v>1730382.0015624994</v>
      </c>
      <c r="D130" s="269"/>
      <c r="E130" s="269"/>
      <c r="F130" s="269">
        <f t="shared" si="39"/>
        <v>-1730382.0015624994</v>
      </c>
      <c r="G130" s="269">
        <f t="shared" si="39"/>
        <v>-1730382.0015624994</v>
      </c>
      <c r="H130" s="269">
        <f t="shared" si="40"/>
        <v>0</v>
      </c>
      <c r="I130" s="269">
        <f t="shared" si="40"/>
        <v>0</v>
      </c>
      <c r="J130" s="269">
        <f t="shared" si="28"/>
        <v>0</v>
      </c>
      <c r="K130" s="269">
        <f t="shared" si="38"/>
        <v>0</v>
      </c>
      <c r="L130" s="269">
        <f t="shared" si="29"/>
        <v>0</v>
      </c>
      <c r="M130" s="270">
        <f t="shared" si="30"/>
        <v>0</v>
      </c>
      <c r="N130" s="97"/>
      <c r="O130" s="271"/>
      <c r="P130" s="271"/>
      <c r="Q130" s="271"/>
      <c r="R130" s="271"/>
      <c r="S130" s="271"/>
      <c r="T130" s="271"/>
    </row>
    <row r="131" spans="1:20" s="230" customFormat="1" ht="15">
      <c r="A131" s="267">
        <f t="shared" si="31"/>
        <v>47238</v>
      </c>
      <c r="B131" s="269">
        <f t="shared" si="26"/>
        <v>1730382.0015624994</v>
      </c>
      <c r="C131" s="269">
        <f t="shared" si="34"/>
        <v>1730382.0015624994</v>
      </c>
      <c r="D131" s="269"/>
      <c r="E131" s="269"/>
      <c r="F131" s="269">
        <f t="shared" si="39"/>
        <v>-1730382.0015624994</v>
      </c>
      <c r="G131" s="269">
        <f t="shared" si="39"/>
        <v>-1730382.0015624994</v>
      </c>
      <c r="H131" s="269">
        <f t="shared" si="40"/>
        <v>0</v>
      </c>
      <c r="I131" s="269">
        <f t="shared" si="40"/>
        <v>0</v>
      </c>
      <c r="J131" s="269">
        <f t="shared" si="28"/>
        <v>0</v>
      </c>
      <c r="K131" s="269">
        <f t="shared" si="38"/>
        <v>0</v>
      </c>
      <c r="L131" s="269">
        <f t="shared" si="29"/>
        <v>0</v>
      </c>
      <c r="M131" s="270">
        <f t="shared" si="30"/>
        <v>0</v>
      </c>
      <c r="N131" s="97"/>
      <c r="O131" s="271"/>
      <c r="P131" s="271"/>
      <c r="Q131" s="271"/>
      <c r="R131" s="271"/>
      <c r="S131" s="271"/>
      <c r="T131" s="271"/>
    </row>
    <row r="132" spans="1:20" s="230" customFormat="1" ht="15">
      <c r="A132" s="267">
        <f t="shared" si="31"/>
        <v>47269</v>
      </c>
      <c r="B132" s="269">
        <f t="shared" si="26"/>
        <v>1730382.0015624994</v>
      </c>
      <c r="C132" s="269">
        <f t="shared" si="34"/>
        <v>1730382.0015624994</v>
      </c>
      <c r="D132" s="269"/>
      <c r="E132" s="269"/>
      <c r="F132" s="269">
        <f t="shared" si="39"/>
        <v>-1730382.0015624994</v>
      </c>
      <c r="G132" s="269">
        <f t="shared" si="39"/>
        <v>-1730382.0015624994</v>
      </c>
      <c r="H132" s="269">
        <f t="shared" si="40"/>
        <v>0</v>
      </c>
      <c r="I132" s="269">
        <f t="shared" si="40"/>
        <v>0</v>
      </c>
      <c r="J132" s="269">
        <f t="shared" si="28"/>
        <v>0</v>
      </c>
      <c r="K132" s="269">
        <f t="shared" si="38"/>
        <v>0</v>
      </c>
      <c r="L132" s="269">
        <f t="shared" si="29"/>
        <v>0</v>
      </c>
      <c r="M132" s="270">
        <f t="shared" si="30"/>
        <v>0</v>
      </c>
      <c r="N132" s="97"/>
      <c r="O132" s="271"/>
      <c r="P132" s="271"/>
      <c r="Q132" s="271"/>
      <c r="R132" s="271"/>
      <c r="S132" s="271"/>
      <c r="T132" s="271"/>
    </row>
    <row r="133" spans="1:20" s="230" customFormat="1" ht="15">
      <c r="A133" s="267">
        <f t="shared" si="31"/>
        <v>47299</v>
      </c>
      <c r="B133" s="269">
        <f t="shared" si="26"/>
        <v>1730382.0015624994</v>
      </c>
      <c r="C133" s="269">
        <f t="shared" si="34"/>
        <v>1730382.0015624994</v>
      </c>
      <c r="D133" s="269"/>
      <c r="E133" s="269"/>
      <c r="F133" s="269">
        <f t="shared" ref="F133:G148" si="41">F132-D133</f>
        <v>-1730382.0015624994</v>
      </c>
      <c r="G133" s="269">
        <f t="shared" si="41"/>
        <v>-1730382.0015624994</v>
      </c>
      <c r="H133" s="269">
        <f t="shared" si="40"/>
        <v>0</v>
      </c>
      <c r="I133" s="269">
        <f t="shared" si="40"/>
        <v>0</v>
      </c>
      <c r="J133" s="269">
        <f t="shared" si="28"/>
        <v>0</v>
      </c>
      <c r="K133" s="269">
        <f t="shared" si="38"/>
        <v>0</v>
      </c>
      <c r="L133" s="269">
        <f t="shared" si="29"/>
        <v>0</v>
      </c>
      <c r="M133" s="270">
        <f t="shared" si="30"/>
        <v>0</v>
      </c>
      <c r="N133" s="97"/>
      <c r="O133" s="271"/>
      <c r="P133" s="271"/>
      <c r="Q133" s="271"/>
      <c r="R133" s="271"/>
      <c r="S133" s="271"/>
      <c r="T133" s="271"/>
    </row>
    <row r="134" spans="1:20" s="230" customFormat="1" ht="15">
      <c r="A134" s="267">
        <f t="shared" si="31"/>
        <v>47330</v>
      </c>
      <c r="B134" s="269">
        <f t="shared" si="26"/>
        <v>1730382.0015624994</v>
      </c>
      <c r="C134" s="269">
        <f t="shared" si="34"/>
        <v>1730382.0015624994</v>
      </c>
      <c r="D134" s="269"/>
      <c r="E134" s="269"/>
      <c r="F134" s="269">
        <f t="shared" si="41"/>
        <v>-1730382.0015624994</v>
      </c>
      <c r="G134" s="269">
        <f t="shared" si="41"/>
        <v>-1730382.0015624994</v>
      </c>
      <c r="H134" s="269">
        <f t="shared" si="40"/>
        <v>0</v>
      </c>
      <c r="I134" s="269">
        <f t="shared" si="40"/>
        <v>0</v>
      </c>
      <c r="J134" s="269">
        <f t="shared" si="28"/>
        <v>0</v>
      </c>
      <c r="K134" s="269">
        <f t="shared" si="38"/>
        <v>0</v>
      </c>
      <c r="L134" s="269">
        <f t="shared" si="29"/>
        <v>0</v>
      </c>
      <c r="M134" s="270">
        <f t="shared" si="30"/>
        <v>0</v>
      </c>
      <c r="N134" s="97"/>
      <c r="O134" s="271"/>
      <c r="P134" s="271"/>
      <c r="Q134" s="271"/>
      <c r="R134" s="271"/>
      <c r="S134" s="271"/>
      <c r="T134" s="271"/>
    </row>
    <row r="135" spans="1:20" s="230" customFormat="1" ht="15">
      <c r="A135" s="267">
        <f t="shared" si="31"/>
        <v>47361</v>
      </c>
      <c r="B135" s="269">
        <f t="shared" si="26"/>
        <v>1730382.0015624994</v>
      </c>
      <c r="C135" s="269">
        <f t="shared" si="34"/>
        <v>1730382.0015624994</v>
      </c>
      <c r="D135" s="269"/>
      <c r="E135" s="269"/>
      <c r="F135" s="269">
        <f t="shared" si="41"/>
        <v>-1730382.0015624994</v>
      </c>
      <c r="G135" s="269">
        <f t="shared" si="41"/>
        <v>-1730382.0015624994</v>
      </c>
      <c r="H135" s="269">
        <f t="shared" si="40"/>
        <v>0</v>
      </c>
      <c r="I135" s="269">
        <f t="shared" si="40"/>
        <v>0</v>
      </c>
      <c r="J135" s="269">
        <f t="shared" si="28"/>
        <v>0</v>
      </c>
      <c r="K135" s="269">
        <f t="shared" si="38"/>
        <v>0</v>
      </c>
      <c r="L135" s="269">
        <f t="shared" si="29"/>
        <v>0</v>
      </c>
      <c r="M135" s="270">
        <f t="shared" si="30"/>
        <v>0</v>
      </c>
      <c r="N135" s="97"/>
      <c r="O135" s="271"/>
      <c r="P135" s="271"/>
      <c r="Q135" s="271"/>
      <c r="R135" s="271"/>
      <c r="S135" s="271"/>
      <c r="T135" s="271"/>
    </row>
    <row r="136" spans="1:20" s="230" customFormat="1" ht="15">
      <c r="A136" s="267">
        <f t="shared" si="31"/>
        <v>47391</v>
      </c>
      <c r="B136" s="269">
        <f t="shared" si="26"/>
        <v>1730382.0015624994</v>
      </c>
      <c r="C136" s="269">
        <f t="shared" si="34"/>
        <v>1730382.0015624994</v>
      </c>
      <c r="D136" s="269"/>
      <c r="E136" s="269"/>
      <c r="F136" s="269">
        <f t="shared" si="41"/>
        <v>-1730382.0015624994</v>
      </c>
      <c r="G136" s="269">
        <f t="shared" si="41"/>
        <v>-1730382.0015624994</v>
      </c>
      <c r="H136" s="269">
        <f t="shared" si="40"/>
        <v>0</v>
      </c>
      <c r="I136" s="269">
        <f t="shared" si="40"/>
        <v>0</v>
      </c>
      <c r="J136" s="269">
        <f t="shared" si="28"/>
        <v>0</v>
      </c>
      <c r="K136" s="269">
        <f t="shared" si="38"/>
        <v>0</v>
      </c>
      <c r="L136" s="269">
        <f t="shared" si="29"/>
        <v>0</v>
      </c>
      <c r="M136" s="270">
        <f t="shared" si="30"/>
        <v>0</v>
      </c>
      <c r="N136" s="97"/>
      <c r="O136" s="271"/>
      <c r="P136" s="271"/>
      <c r="Q136" s="271"/>
      <c r="R136" s="271"/>
      <c r="S136" s="271"/>
      <c r="T136" s="271"/>
    </row>
    <row r="137" spans="1:20" s="230" customFormat="1" ht="15">
      <c r="A137" s="267">
        <f t="shared" si="31"/>
        <v>47422</v>
      </c>
      <c r="B137" s="269">
        <f t="shared" si="26"/>
        <v>1730382.0015624994</v>
      </c>
      <c r="C137" s="269">
        <f t="shared" si="34"/>
        <v>1730382.0015624994</v>
      </c>
      <c r="D137" s="269"/>
      <c r="E137" s="269"/>
      <c r="F137" s="269">
        <f t="shared" si="41"/>
        <v>-1730382.0015624994</v>
      </c>
      <c r="G137" s="269">
        <f t="shared" si="41"/>
        <v>-1730382.0015624994</v>
      </c>
      <c r="H137" s="269">
        <f t="shared" si="40"/>
        <v>0</v>
      </c>
      <c r="I137" s="269">
        <f t="shared" si="40"/>
        <v>0</v>
      </c>
      <c r="J137" s="269">
        <f t="shared" si="28"/>
        <v>0</v>
      </c>
      <c r="K137" s="269">
        <f t="shared" si="38"/>
        <v>0</v>
      </c>
      <c r="L137" s="269">
        <f t="shared" si="29"/>
        <v>0</v>
      </c>
      <c r="M137" s="270">
        <f t="shared" si="30"/>
        <v>0</v>
      </c>
      <c r="N137" s="97"/>
      <c r="O137" s="271"/>
      <c r="P137" s="271"/>
      <c r="Q137" s="271"/>
      <c r="R137" s="271"/>
      <c r="S137" s="271"/>
      <c r="T137" s="271"/>
    </row>
    <row r="138" spans="1:20" s="230" customFormat="1" ht="15">
      <c r="A138" s="267">
        <f t="shared" si="31"/>
        <v>47452</v>
      </c>
      <c r="B138" s="269">
        <f t="shared" si="26"/>
        <v>1730382.0015624994</v>
      </c>
      <c r="C138" s="269">
        <f t="shared" si="34"/>
        <v>1730382.0015624994</v>
      </c>
      <c r="D138" s="269"/>
      <c r="E138" s="269"/>
      <c r="F138" s="269">
        <f t="shared" si="41"/>
        <v>-1730382.0015624994</v>
      </c>
      <c r="G138" s="269">
        <f t="shared" si="41"/>
        <v>-1730382.0015624994</v>
      </c>
      <c r="H138" s="269">
        <f t="shared" si="40"/>
        <v>0</v>
      </c>
      <c r="I138" s="269">
        <f t="shared" si="40"/>
        <v>0</v>
      </c>
      <c r="J138" s="269">
        <f t="shared" si="28"/>
        <v>0</v>
      </c>
      <c r="K138" s="269">
        <f t="shared" si="38"/>
        <v>0</v>
      </c>
      <c r="L138" s="269">
        <f t="shared" si="29"/>
        <v>0</v>
      </c>
      <c r="M138" s="270">
        <f t="shared" si="30"/>
        <v>0</v>
      </c>
      <c r="N138" s="97"/>
      <c r="O138" s="271"/>
      <c r="P138" s="271"/>
      <c r="Q138" s="271"/>
      <c r="R138" s="271"/>
      <c r="S138" s="271"/>
      <c r="T138" s="271"/>
    </row>
    <row r="139" spans="1:20" s="230" customFormat="1" ht="15">
      <c r="A139" s="267">
        <f t="shared" si="31"/>
        <v>47483</v>
      </c>
      <c r="B139" s="269">
        <f t="shared" si="26"/>
        <v>1730382.0015624994</v>
      </c>
      <c r="C139" s="269">
        <f t="shared" si="34"/>
        <v>1730382.0015624994</v>
      </c>
      <c r="D139" s="269"/>
      <c r="E139" s="269"/>
      <c r="F139" s="269">
        <f t="shared" si="41"/>
        <v>-1730382.0015624994</v>
      </c>
      <c r="G139" s="269">
        <f t="shared" si="41"/>
        <v>-1730382.0015624994</v>
      </c>
      <c r="H139" s="269">
        <f t="shared" si="40"/>
        <v>0</v>
      </c>
      <c r="I139" s="269">
        <f t="shared" si="40"/>
        <v>0</v>
      </c>
      <c r="J139" s="269">
        <f t="shared" si="28"/>
        <v>0</v>
      </c>
      <c r="K139" s="269">
        <f t="shared" si="38"/>
        <v>0</v>
      </c>
      <c r="L139" s="269">
        <f t="shared" si="29"/>
        <v>0</v>
      </c>
      <c r="M139" s="270">
        <f t="shared" si="30"/>
        <v>0</v>
      </c>
      <c r="N139" s="97"/>
      <c r="O139" s="271"/>
      <c r="P139" s="271"/>
      <c r="Q139" s="271"/>
      <c r="R139" s="271"/>
      <c r="S139" s="271"/>
      <c r="T139" s="271"/>
    </row>
    <row r="140" spans="1:20" s="230" customFormat="1" ht="15">
      <c r="A140" s="267">
        <f t="shared" si="31"/>
        <v>47514</v>
      </c>
      <c r="B140" s="269">
        <f t="shared" si="26"/>
        <v>1730382.0015624994</v>
      </c>
      <c r="C140" s="269">
        <f t="shared" si="34"/>
        <v>1730382.0015624994</v>
      </c>
      <c r="D140" s="269"/>
      <c r="E140" s="269"/>
      <c r="F140" s="269">
        <f t="shared" si="41"/>
        <v>-1730382.0015624994</v>
      </c>
      <c r="G140" s="269">
        <f t="shared" si="41"/>
        <v>-1730382.0015624994</v>
      </c>
      <c r="H140" s="269">
        <f t="shared" si="40"/>
        <v>0</v>
      </c>
      <c r="I140" s="269">
        <f t="shared" si="40"/>
        <v>0</v>
      </c>
      <c r="J140" s="269">
        <f t="shared" si="28"/>
        <v>0</v>
      </c>
      <c r="K140" s="269">
        <f t="shared" si="38"/>
        <v>0</v>
      </c>
      <c r="L140" s="269">
        <f t="shared" si="29"/>
        <v>0</v>
      </c>
      <c r="M140" s="270">
        <f t="shared" si="30"/>
        <v>0</v>
      </c>
      <c r="N140" s="97"/>
      <c r="O140" s="271"/>
      <c r="P140" s="271"/>
      <c r="Q140" s="271"/>
      <c r="R140" s="271"/>
      <c r="S140" s="271"/>
      <c r="T140" s="271"/>
    </row>
    <row r="141" spans="1:20" s="230" customFormat="1" ht="15">
      <c r="A141" s="267">
        <f t="shared" si="31"/>
        <v>47542</v>
      </c>
      <c r="B141" s="269">
        <f t="shared" si="26"/>
        <v>1730382.0015624994</v>
      </c>
      <c r="C141" s="269">
        <f t="shared" si="34"/>
        <v>1730382.0015624994</v>
      </c>
      <c r="D141" s="269"/>
      <c r="E141" s="269"/>
      <c r="F141" s="269">
        <f t="shared" si="41"/>
        <v>-1730382.0015624994</v>
      </c>
      <c r="G141" s="269">
        <f t="shared" si="41"/>
        <v>-1730382.0015624994</v>
      </c>
      <c r="H141" s="269">
        <f t="shared" si="40"/>
        <v>0</v>
      </c>
      <c r="I141" s="269">
        <f t="shared" si="40"/>
        <v>0</v>
      </c>
      <c r="J141" s="269">
        <f t="shared" si="28"/>
        <v>0</v>
      </c>
      <c r="K141" s="269">
        <f t="shared" si="38"/>
        <v>0</v>
      </c>
      <c r="L141" s="269">
        <f t="shared" si="29"/>
        <v>0</v>
      </c>
      <c r="M141" s="270">
        <f t="shared" si="30"/>
        <v>0</v>
      </c>
      <c r="N141" s="97"/>
      <c r="O141" s="271"/>
      <c r="P141" s="271"/>
      <c r="Q141" s="271"/>
      <c r="R141" s="271"/>
      <c r="S141" s="271"/>
      <c r="T141" s="271"/>
    </row>
    <row r="142" spans="1:20" s="230" customFormat="1" ht="15">
      <c r="A142" s="267">
        <f t="shared" si="31"/>
        <v>47573</v>
      </c>
      <c r="B142" s="269">
        <f t="shared" si="26"/>
        <v>1730382.0015624994</v>
      </c>
      <c r="C142" s="269">
        <f t="shared" si="34"/>
        <v>1730382.0015624994</v>
      </c>
      <c r="D142" s="269"/>
      <c r="E142" s="269"/>
      <c r="F142" s="269">
        <f t="shared" si="41"/>
        <v>-1730382.0015624994</v>
      </c>
      <c r="G142" s="269">
        <f t="shared" si="41"/>
        <v>-1730382.0015624994</v>
      </c>
      <c r="H142" s="269">
        <f t="shared" si="40"/>
        <v>0</v>
      </c>
      <c r="I142" s="269">
        <f t="shared" si="40"/>
        <v>0</v>
      </c>
      <c r="J142" s="269">
        <f t="shared" si="28"/>
        <v>0</v>
      </c>
      <c r="K142" s="269">
        <f t="shared" si="38"/>
        <v>0</v>
      </c>
      <c r="L142" s="269">
        <f t="shared" si="29"/>
        <v>0</v>
      </c>
      <c r="M142" s="270">
        <f t="shared" si="30"/>
        <v>0</v>
      </c>
      <c r="N142" s="97"/>
      <c r="O142" s="271"/>
      <c r="P142" s="271"/>
      <c r="Q142" s="271"/>
      <c r="R142" s="271"/>
      <c r="S142" s="271"/>
      <c r="T142" s="271"/>
    </row>
    <row r="143" spans="1:20" s="230" customFormat="1" ht="15">
      <c r="A143" s="267">
        <f t="shared" si="31"/>
        <v>47603</v>
      </c>
      <c r="B143" s="269">
        <f t="shared" si="26"/>
        <v>1730382.0015624994</v>
      </c>
      <c r="C143" s="269">
        <f t="shared" si="34"/>
        <v>1730382.0015624994</v>
      </c>
      <c r="D143" s="269"/>
      <c r="E143" s="269"/>
      <c r="F143" s="269">
        <f t="shared" si="41"/>
        <v>-1730382.0015624994</v>
      </c>
      <c r="G143" s="269">
        <f t="shared" si="41"/>
        <v>-1730382.0015624994</v>
      </c>
      <c r="H143" s="269">
        <f t="shared" si="40"/>
        <v>0</v>
      </c>
      <c r="I143" s="269">
        <f t="shared" si="40"/>
        <v>0</v>
      </c>
      <c r="J143" s="269">
        <f t="shared" si="28"/>
        <v>0</v>
      </c>
      <c r="K143" s="269">
        <f t="shared" si="38"/>
        <v>0</v>
      </c>
      <c r="L143" s="269">
        <f t="shared" si="29"/>
        <v>0</v>
      </c>
      <c r="M143" s="270">
        <f t="shared" si="30"/>
        <v>0</v>
      </c>
      <c r="N143" s="97"/>
      <c r="O143" s="271"/>
      <c r="P143" s="271"/>
      <c r="Q143" s="271"/>
      <c r="R143" s="271"/>
      <c r="S143" s="271"/>
      <c r="T143" s="271"/>
    </row>
    <row r="144" spans="1:20" s="230" customFormat="1" ht="15">
      <c r="A144" s="267">
        <f t="shared" si="31"/>
        <v>47634</v>
      </c>
      <c r="B144" s="269">
        <f t="shared" si="26"/>
        <v>1730382.0015624994</v>
      </c>
      <c r="C144" s="269">
        <f t="shared" si="34"/>
        <v>1730382.0015624994</v>
      </c>
      <c r="D144" s="269"/>
      <c r="E144" s="269"/>
      <c r="F144" s="269">
        <f t="shared" si="41"/>
        <v>-1730382.0015624994</v>
      </c>
      <c r="G144" s="269">
        <f t="shared" si="41"/>
        <v>-1730382.0015624994</v>
      </c>
      <c r="H144" s="269">
        <f t="shared" si="40"/>
        <v>0</v>
      </c>
      <c r="I144" s="269">
        <f t="shared" si="40"/>
        <v>0</v>
      </c>
      <c r="J144" s="269">
        <f t="shared" si="28"/>
        <v>0</v>
      </c>
      <c r="K144" s="269">
        <f t="shared" si="38"/>
        <v>0</v>
      </c>
      <c r="L144" s="269">
        <f t="shared" si="29"/>
        <v>0</v>
      </c>
      <c r="M144" s="270">
        <f t="shared" si="30"/>
        <v>0</v>
      </c>
      <c r="N144" s="97"/>
      <c r="O144" s="271"/>
      <c r="P144" s="271"/>
      <c r="Q144" s="271"/>
      <c r="R144" s="271"/>
      <c r="S144" s="271"/>
      <c r="T144" s="271"/>
    </row>
    <row r="145" spans="1:20" s="230" customFormat="1" ht="15">
      <c r="A145" s="267">
        <f t="shared" si="31"/>
        <v>47664</v>
      </c>
      <c r="B145" s="269">
        <f t="shared" si="26"/>
        <v>1730382.0015624994</v>
      </c>
      <c r="C145" s="269">
        <f t="shared" si="34"/>
        <v>1730382.0015624994</v>
      </c>
      <c r="D145" s="269"/>
      <c r="E145" s="269"/>
      <c r="F145" s="269">
        <f t="shared" si="41"/>
        <v>-1730382.0015624994</v>
      </c>
      <c r="G145" s="269">
        <f t="shared" si="41"/>
        <v>-1730382.0015624994</v>
      </c>
      <c r="H145" s="269">
        <f t="shared" si="40"/>
        <v>0</v>
      </c>
      <c r="I145" s="269">
        <f t="shared" si="40"/>
        <v>0</v>
      </c>
      <c r="J145" s="269">
        <f t="shared" si="28"/>
        <v>0</v>
      </c>
      <c r="K145" s="269">
        <f t="shared" si="38"/>
        <v>0</v>
      </c>
      <c r="L145" s="269">
        <f t="shared" si="29"/>
        <v>0</v>
      </c>
      <c r="M145" s="270">
        <f t="shared" si="30"/>
        <v>0</v>
      </c>
      <c r="N145" s="97"/>
      <c r="O145" s="271"/>
      <c r="P145" s="271"/>
      <c r="Q145" s="271"/>
      <c r="R145" s="271"/>
      <c r="S145" s="271"/>
      <c r="T145" s="271"/>
    </row>
    <row r="146" spans="1:20" s="230" customFormat="1" ht="15">
      <c r="A146" s="267">
        <f t="shared" si="31"/>
        <v>47695</v>
      </c>
      <c r="B146" s="269">
        <f t="shared" si="26"/>
        <v>1730382.0015624994</v>
      </c>
      <c r="C146" s="269">
        <f t="shared" si="34"/>
        <v>1730382.0015624994</v>
      </c>
      <c r="D146" s="269"/>
      <c r="E146" s="269"/>
      <c r="F146" s="269">
        <f t="shared" si="41"/>
        <v>-1730382.0015624994</v>
      </c>
      <c r="G146" s="269">
        <f t="shared" si="41"/>
        <v>-1730382.0015624994</v>
      </c>
      <c r="H146" s="269">
        <f t="shared" si="40"/>
        <v>0</v>
      </c>
      <c r="I146" s="269">
        <f t="shared" si="40"/>
        <v>0</v>
      </c>
      <c r="J146" s="269">
        <f t="shared" si="28"/>
        <v>0</v>
      </c>
      <c r="K146" s="269">
        <f t="shared" si="38"/>
        <v>0</v>
      </c>
      <c r="L146" s="269">
        <f t="shared" si="29"/>
        <v>0</v>
      </c>
      <c r="M146" s="270">
        <f t="shared" si="30"/>
        <v>0</v>
      </c>
      <c r="N146" s="97"/>
      <c r="O146" s="271"/>
      <c r="P146" s="271"/>
      <c r="Q146" s="271"/>
      <c r="R146" s="271"/>
      <c r="S146" s="271"/>
      <c r="T146" s="271"/>
    </row>
    <row r="147" spans="1:20" s="230" customFormat="1" ht="15">
      <c r="A147" s="267">
        <f t="shared" si="31"/>
        <v>47726</v>
      </c>
      <c r="B147" s="269">
        <f t="shared" si="26"/>
        <v>1730382.0015624994</v>
      </c>
      <c r="C147" s="269">
        <f t="shared" si="34"/>
        <v>1730382.0015624994</v>
      </c>
      <c r="D147" s="269"/>
      <c r="E147" s="269"/>
      <c r="F147" s="269">
        <f t="shared" si="41"/>
        <v>-1730382.0015624994</v>
      </c>
      <c r="G147" s="269">
        <f t="shared" si="41"/>
        <v>-1730382.0015624994</v>
      </c>
      <c r="H147" s="269">
        <f t="shared" si="40"/>
        <v>0</v>
      </c>
      <c r="I147" s="269">
        <f t="shared" si="40"/>
        <v>0</v>
      </c>
      <c r="J147" s="269">
        <f t="shared" si="28"/>
        <v>0</v>
      </c>
      <c r="K147" s="269">
        <f t="shared" si="38"/>
        <v>0</v>
      </c>
      <c r="L147" s="269">
        <f t="shared" si="29"/>
        <v>0</v>
      </c>
      <c r="M147" s="270">
        <f t="shared" si="30"/>
        <v>0</v>
      </c>
      <c r="N147" s="97"/>
      <c r="O147" s="271"/>
      <c r="P147" s="271"/>
      <c r="Q147" s="271"/>
      <c r="R147" s="271"/>
      <c r="S147" s="271"/>
      <c r="T147" s="271"/>
    </row>
    <row r="148" spans="1:20" s="230" customFormat="1" ht="15">
      <c r="A148" s="267">
        <f t="shared" si="31"/>
        <v>47756</v>
      </c>
      <c r="B148" s="269">
        <f t="shared" si="26"/>
        <v>1730382.0015624994</v>
      </c>
      <c r="C148" s="269">
        <f t="shared" si="34"/>
        <v>1730382.0015624994</v>
      </c>
      <c r="D148" s="269"/>
      <c r="E148" s="269"/>
      <c r="F148" s="269">
        <f t="shared" si="41"/>
        <v>-1730382.0015624994</v>
      </c>
      <c r="G148" s="269">
        <f t="shared" si="41"/>
        <v>-1730382.0015624994</v>
      </c>
      <c r="H148" s="269">
        <f t="shared" si="40"/>
        <v>0</v>
      </c>
      <c r="I148" s="269">
        <f t="shared" si="40"/>
        <v>0</v>
      </c>
      <c r="J148" s="269">
        <f t="shared" si="28"/>
        <v>0</v>
      </c>
      <c r="K148" s="269">
        <f t="shared" ref="K148:K178" si="42">-J148*$K$15</f>
        <v>0</v>
      </c>
      <c r="L148" s="269">
        <f t="shared" si="29"/>
        <v>0</v>
      </c>
      <c r="M148" s="270">
        <f t="shared" si="30"/>
        <v>0</v>
      </c>
      <c r="N148" s="97"/>
      <c r="O148" s="271"/>
      <c r="P148" s="271"/>
      <c r="Q148" s="271"/>
      <c r="R148" s="271"/>
      <c r="S148" s="271"/>
      <c r="T148" s="271"/>
    </row>
    <row r="149" spans="1:20" s="230" customFormat="1" ht="15">
      <c r="A149" s="267">
        <f t="shared" si="31"/>
        <v>47787</v>
      </c>
      <c r="B149" s="269">
        <f t="shared" ref="B149:B178" si="43">C149</f>
        <v>1730382.0015624994</v>
      </c>
      <c r="C149" s="269">
        <f t="shared" si="34"/>
        <v>1730382.0015624994</v>
      </c>
      <c r="D149" s="269"/>
      <c r="E149" s="269"/>
      <c r="F149" s="269">
        <f t="shared" ref="F149:G164" si="44">F148-D149</f>
        <v>-1730382.0015624994</v>
      </c>
      <c r="G149" s="269">
        <f t="shared" si="44"/>
        <v>-1730382.0015624994</v>
      </c>
      <c r="H149" s="269">
        <f t="shared" si="40"/>
        <v>0</v>
      </c>
      <c r="I149" s="269">
        <f t="shared" si="40"/>
        <v>0</v>
      </c>
      <c r="J149" s="269">
        <f t="shared" ref="J149:J178" si="45">I149-H149</f>
        <v>0</v>
      </c>
      <c r="K149" s="269">
        <f t="shared" si="42"/>
        <v>0</v>
      </c>
      <c r="L149" s="269">
        <f t="shared" ref="L149:L178" si="46">-K149+K148</f>
        <v>0</v>
      </c>
      <c r="M149" s="270">
        <f t="shared" ref="M149:M179" si="47">I149+K149</f>
        <v>0</v>
      </c>
      <c r="N149" s="97"/>
      <c r="O149" s="271"/>
      <c r="P149" s="271"/>
      <c r="Q149" s="271"/>
      <c r="R149" s="271"/>
      <c r="S149" s="271"/>
      <c r="T149" s="271"/>
    </row>
    <row r="150" spans="1:20" s="230" customFormat="1" ht="15">
      <c r="A150" s="267">
        <f t="shared" ref="A150:A178" si="48">EOMONTH(A149,1)</f>
        <v>47817</v>
      </c>
      <c r="B150" s="269">
        <f t="shared" si="43"/>
        <v>1730382.0015624994</v>
      </c>
      <c r="C150" s="269">
        <f t="shared" si="34"/>
        <v>1730382.0015624994</v>
      </c>
      <c r="D150" s="269"/>
      <c r="E150" s="269"/>
      <c r="F150" s="269">
        <f t="shared" si="44"/>
        <v>-1730382.0015624994</v>
      </c>
      <c r="G150" s="269">
        <f t="shared" si="44"/>
        <v>-1730382.0015624994</v>
      </c>
      <c r="H150" s="269">
        <f t="shared" si="40"/>
        <v>0</v>
      </c>
      <c r="I150" s="269">
        <f t="shared" si="40"/>
        <v>0</v>
      </c>
      <c r="J150" s="269">
        <f t="shared" si="45"/>
        <v>0</v>
      </c>
      <c r="K150" s="269">
        <f t="shared" si="42"/>
        <v>0</v>
      </c>
      <c r="L150" s="269">
        <f t="shared" si="46"/>
        <v>0</v>
      </c>
      <c r="M150" s="270">
        <f t="shared" si="47"/>
        <v>0</v>
      </c>
      <c r="N150" s="97"/>
      <c r="O150" s="271"/>
      <c r="P150" s="271"/>
      <c r="Q150" s="271"/>
      <c r="R150" s="271"/>
      <c r="S150" s="271"/>
      <c r="T150" s="271"/>
    </row>
    <row r="151" spans="1:20" s="230" customFormat="1" ht="15">
      <c r="A151" s="267">
        <f t="shared" si="48"/>
        <v>47848</v>
      </c>
      <c r="B151" s="269">
        <f t="shared" si="43"/>
        <v>1730382.0015624994</v>
      </c>
      <c r="C151" s="269">
        <f t="shared" si="34"/>
        <v>1730382.0015624994</v>
      </c>
      <c r="D151" s="269"/>
      <c r="E151" s="269"/>
      <c r="F151" s="269">
        <f t="shared" si="44"/>
        <v>-1730382.0015624994</v>
      </c>
      <c r="G151" s="269">
        <f t="shared" si="44"/>
        <v>-1730382.0015624994</v>
      </c>
      <c r="H151" s="269">
        <f t="shared" si="40"/>
        <v>0</v>
      </c>
      <c r="I151" s="269">
        <f t="shared" si="40"/>
        <v>0</v>
      </c>
      <c r="J151" s="269">
        <f t="shared" si="45"/>
        <v>0</v>
      </c>
      <c r="K151" s="269">
        <f t="shared" si="42"/>
        <v>0</v>
      </c>
      <c r="L151" s="269">
        <f t="shared" si="46"/>
        <v>0</v>
      </c>
      <c r="M151" s="270">
        <f t="shared" si="47"/>
        <v>0</v>
      </c>
      <c r="N151" s="97"/>
      <c r="O151" s="271"/>
      <c r="P151" s="271"/>
      <c r="Q151" s="271"/>
      <c r="R151" s="271"/>
      <c r="S151" s="271"/>
      <c r="T151" s="271"/>
    </row>
    <row r="152" spans="1:20" s="230" customFormat="1" ht="15">
      <c r="A152" s="267">
        <f t="shared" si="48"/>
        <v>47879</v>
      </c>
      <c r="B152" s="269">
        <f t="shared" si="43"/>
        <v>1730382.0015624994</v>
      </c>
      <c r="C152" s="269">
        <f t="shared" si="34"/>
        <v>1730382.0015624994</v>
      </c>
      <c r="D152" s="269"/>
      <c r="E152" s="269"/>
      <c r="F152" s="269">
        <f t="shared" si="44"/>
        <v>-1730382.0015624994</v>
      </c>
      <c r="G152" s="269">
        <f t="shared" si="44"/>
        <v>-1730382.0015624994</v>
      </c>
      <c r="H152" s="269">
        <f t="shared" si="40"/>
        <v>0</v>
      </c>
      <c r="I152" s="269">
        <f t="shared" si="40"/>
        <v>0</v>
      </c>
      <c r="J152" s="269">
        <f t="shared" si="45"/>
        <v>0</v>
      </c>
      <c r="K152" s="269">
        <f t="shared" si="42"/>
        <v>0</v>
      </c>
      <c r="L152" s="269">
        <f t="shared" si="46"/>
        <v>0</v>
      </c>
      <c r="M152" s="270">
        <f t="shared" si="47"/>
        <v>0</v>
      </c>
      <c r="N152" s="97"/>
      <c r="O152" s="271"/>
      <c r="P152" s="271"/>
      <c r="Q152" s="271"/>
      <c r="R152" s="271"/>
      <c r="S152" s="271"/>
      <c r="T152" s="271"/>
    </row>
    <row r="153" spans="1:20" s="230" customFormat="1" ht="15">
      <c r="A153" s="267">
        <f t="shared" si="48"/>
        <v>47907</v>
      </c>
      <c r="B153" s="269">
        <f t="shared" si="43"/>
        <v>1730382.0015624994</v>
      </c>
      <c r="C153" s="269">
        <f t="shared" si="34"/>
        <v>1730382.0015624994</v>
      </c>
      <c r="D153" s="269"/>
      <c r="E153" s="269"/>
      <c r="F153" s="269">
        <f t="shared" si="44"/>
        <v>-1730382.0015624994</v>
      </c>
      <c r="G153" s="269">
        <f t="shared" si="44"/>
        <v>-1730382.0015624994</v>
      </c>
      <c r="H153" s="269">
        <f t="shared" si="40"/>
        <v>0</v>
      </c>
      <c r="I153" s="269">
        <f t="shared" si="40"/>
        <v>0</v>
      </c>
      <c r="J153" s="269">
        <f t="shared" si="45"/>
        <v>0</v>
      </c>
      <c r="K153" s="269">
        <f t="shared" si="42"/>
        <v>0</v>
      </c>
      <c r="L153" s="269">
        <f t="shared" si="46"/>
        <v>0</v>
      </c>
      <c r="M153" s="270">
        <f t="shared" si="47"/>
        <v>0</v>
      </c>
      <c r="N153" s="97"/>
      <c r="O153" s="271"/>
      <c r="P153" s="271"/>
      <c r="Q153" s="271"/>
      <c r="R153" s="271"/>
      <c r="S153" s="271"/>
      <c r="T153" s="271"/>
    </row>
    <row r="154" spans="1:20" s="230" customFormat="1" ht="15">
      <c r="A154" s="267">
        <f t="shared" si="48"/>
        <v>47938</v>
      </c>
      <c r="B154" s="269">
        <f t="shared" si="43"/>
        <v>1730382.0015624994</v>
      </c>
      <c r="C154" s="269">
        <f t="shared" si="34"/>
        <v>1730382.0015624994</v>
      </c>
      <c r="D154" s="269"/>
      <c r="E154" s="269"/>
      <c r="F154" s="269">
        <f t="shared" si="44"/>
        <v>-1730382.0015624994</v>
      </c>
      <c r="G154" s="269">
        <f t="shared" si="44"/>
        <v>-1730382.0015624994</v>
      </c>
      <c r="H154" s="269">
        <f t="shared" si="40"/>
        <v>0</v>
      </c>
      <c r="I154" s="269">
        <f t="shared" si="40"/>
        <v>0</v>
      </c>
      <c r="J154" s="269">
        <f t="shared" si="45"/>
        <v>0</v>
      </c>
      <c r="K154" s="269">
        <f t="shared" si="42"/>
        <v>0</v>
      </c>
      <c r="L154" s="269">
        <f t="shared" si="46"/>
        <v>0</v>
      </c>
      <c r="M154" s="270">
        <f t="shared" si="47"/>
        <v>0</v>
      </c>
      <c r="N154" s="97"/>
      <c r="O154" s="271"/>
      <c r="P154" s="271"/>
      <c r="Q154" s="271"/>
      <c r="R154" s="271"/>
      <c r="S154" s="271"/>
      <c r="T154" s="271"/>
    </row>
    <row r="155" spans="1:20" s="230" customFormat="1" ht="15">
      <c r="A155" s="267">
        <f t="shared" si="48"/>
        <v>47968</v>
      </c>
      <c r="B155" s="269">
        <f t="shared" si="43"/>
        <v>1730382.0015624994</v>
      </c>
      <c r="C155" s="269">
        <f t="shared" si="34"/>
        <v>1730382.0015624994</v>
      </c>
      <c r="D155" s="269"/>
      <c r="E155" s="269"/>
      <c r="F155" s="269">
        <f t="shared" si="44"/>
        <v>-1730382.0015624994</v>
      </c>
      <c r="G155" s="269">
        <f t="shared" si="44"/>
        <v>-1730382.0015624994</v>
      </c>
      <c r="H155" s="269">
        <f t="shared" si="40"/>
        <v>0</v>
      </c>
      <c r="I155" s="269">
        <f t="shared" si="40"/>
        <v>0</v>
      </c>
      <c r="J155" s="269">
        <f t="shared" si="45"/>
        <v>0</v>
      </c>
      <c r="K155" s="269">
        <f t="shared" si="42"/>
        <v>0</v>
      </c>
      <c r="L155" s="269">
        <f t="shared" si="46"/>
        <v>0</v>
      </c>
      <c r="M155" s="270">
        <f t="shared" si="47"/>
        <v>0</v>
      </c>
      <c r="N155" s="97"/>
      <c r="O155" s="271"/>
      <c r="P155" s="271"/>
      <c r="Q155" s="271"/>
      <c r="R155" s="271"/>
      <c r="S155" s="271"/>
      <c r="T155" s="271"/>
    </row>
    <row r="156" spans="1:20" s="230" customFormat="1" ht="15">
      <c r="A156" s="267">
        <f t="shared" si="48"/>
        <v>47999</v>
      </c>
      <c r="B156" s="269">
        <f t="shared" si="43"/>
        <v>1730382.0015624994</v>
      </c>
      <c r="C156" s="269">
        <f t="shared" si="34"/>
        <v>1730382.0015624994</v>
      </c>
      <c r="D156" s="269"/>
      <c r="E156" s="269"/>
      <c r="F156" s="269">
        <f t="shared" si="44"/>
        <v>-1730382.0015624994</v>
      </c>
      <c r="G156" s="269">
        <f t="shared" si="44"/>
        <v>-1730382.0015624994</v>
      </c>
      <c r="H156" s="269">
        <f t="shared" si="40"/>
        <v>0</v>
      </c>
      <c r="I156" s="269">
        <f t="shared" si="40"/>
        <v>0</v>
      </c>
      <c r="J156" s="269">
        <f t="shared" si="45"/>
        <v>0</v>
      </c>
      <c r="K156" s="269">
        <f t="shared" si="42"/>
        <v>0</v>
      </c>
      <c r="L156" s="269">
        <f t="shared" si="46"/>
        <v>0</v>
      </c>
      <c r="M156" s="270">
        <f t="shared" si="47"/>
        <v>0</v>
      </c>
      <c r="N156" s="97"/>
      <c r="O156" s="271"/>
      <c r="P156" s="271"/>
      <c r="Q156" s="271"/>
      <c r="R156" s="271"/>
      <c r="S156" s="271"/>
      <c r="T156" s="271"/>
    </row>
    <row r="157" spans="1:20" s="230" customFormat="1" ht="15">
      <c r="A157" s="267">
        <f t="shared" si="48"/>
        <v>48029</v>
      </c>
      <c r="B157" s="269">
        <f t="shared" si="43"/>
        <v>1730382.0015624994</v>
      </c>
      <c r="C157" s="269">
        <f t="shared" si="34"/>
        <v>1730382.0015624994</v>
      </c>
      <c r="D157" s="269"/>
      <c r="E157" s="269"/>
      <c r="F157" s="269">
        <f t="shared" si="44"/>
        <v>-1730382.0015624994</v>
      </c>
      <c r="G157" s="269">
        <f t="shared" si="44"/>
        <v>-1730382.0015624994</v>
      </c>
      <c r="H157" s="269">
        <f t="shared" si="40"/>
        <v>0</v>
      </c>
      <c r="I157" s="269">
        <f t="shared" si="40"/>
        <v>0</v>
      </c>
      <c r="J157" s="269">
        <f t="shared" si="45"/>
        <v>0</v>
      </c>
      <c r="K157" s="269">
        <f t="shared" si="42"/>
        <v>0</v>
      </c>
      <c r="L157" s="269">
        <f t="shared" si="46"/>
        <v>0</v>
      </c>
      <c r="M157" s="270">
        <f t="shared" si="47"/>
        <v>0</v>
      </c>
      <c r="N157" s="97"/>
      <c r="O157" s="271"/>
      <c r="P157" s="271"/>
      <c r="Q157" s="271"/>
      <c r="R157" s="271"/>
      <c r="S157" s="271"/>
      <c r="T157" s="271"/>
    </row>
    <row r="158" spans="1:20" s="230" customFormat="1" ht="15">
      <c r="A158" s="267">
        <f t="shared" si="48"/>
        <v>48060</v>
      </c>
      <c r="B158" s="269">
        <f t="shared" si="43"/>
        <v>1730382.0015624994</v>
      </c>
      <c r="C158" s="269">
        <f t="shared" si="34"/>
        <v>1730382.0015624994</v>
      </c>
      <c r="D158" s="269"/>
      <c r="E158" s="269"/>
      <c r="F158" s="269">
        <f t="shared" si="44"/>
        <v>-1730382.0015624994</v>
      </c>
      <c r="G158" s="269">
        <f t="shared" si="44"/>
        <v>-1730382.0015624994</v>
      </c>
      <c r="H158" s="269">
        <f t="shared" si="40"/>
        <v>0</v>
      </c>
      <c r="I158" s="269">
        <f t="shared" si="40"/>
        <v>0</v>
      </c>
      <c r="J158" s="269">
        <f t="shared" si="45"/>
        <v>0</v>
      </c>
      <c r="K158" s="269">
        <f t="shared" si="42"/>
        <v>0</v>
      </c>
      <c r="L158" s="269">
        <f t="shared" si="46"/>
        <v>0</v>
      </c>
      <c r="M158" s="270">
        <f t="shared" si="47"/>
        <v>0</v>
      </c>
      <c r="N158" s="97"/>
      <c r="O158" s="271"/>
      <c r="P158" s="271"/>
      <c r="Q158" s="271"/>
      <c r="R158" s="271"/>
      <c r="S158" s="271"/>
      <c r="T158" s="271"/>
    </row>
    <row r="159" spans="1:20" s="230" customFormat="1" ht="15">
      <c r="A159" s="267">
        <f t="shared" si="48"/>
        <v>48091</v>
      </c>
      <c r="B159" s="269">
        <f t="shared" si="43"/>
        <v>1730382.0015624994</v>
      </c>
      <c r="C159" s="269">
        <f t="shared" si="34"/>
        <v>1730382.0015624994</v>
      </c>
      <c r="D159" s="269"/>
      <c r="E159" s="269"/>
      <c r="F159" s="269">
        <f t="shared" si="44"/>
        <v>-1730382.0015624994</v>
      </c>
      <c r="G159" s="269">
        <f t="shared" si="44"/>
        <v>-1730382.0015624994</v>
      </c>
      <c r="H159" s="269">
        <f t="shared" si="40"/>
        <v>0</v>
      </c>
      <c r="I159" s="269">
        <f t="shared" si="40"/>
        <v>0</v>
      </c>
      <c r="J159" s="269">
        <f t="shared" si="45"/>
        <v>0</v>
      </c>
      <c r="K159" s="269">
        <f t="shared" si="42"/>
        <v>0</v>
      </c>
      <c r="L159" s="269">
        <f t="shared" si="46"/>
        <v>0</v>
      </c>
      <c r="M159" s="270">
        <f t="shared" si="47"/>
        <v>0</v>
      </c>
      <c r="N159" s="97"/>
      <c r="O159" s="271"/>
      <c r="P159" s="271"/>
      <c r="Q159" s="271"/>
      <c r="R159" s="271"/>
      <c r="S159" s="271"/>
      <c r="T159" s="271"/>
    </row>
    <row r="160" spans="1:20" s="230" customFormat="1" ht="15">
      <c r="A160" s="267">
        <f t="shared" si="48"/>
        <v>48121</v>
      </c>
      <c r="B160" s="269">
        <f t="shared" si="43"/>
        <v>1730382.0015624994</v>
      </c>
      <c r="C160" s="269">
        <f t="shared" ref="C160:C178" si="49">C159</f>
        <v>1730382.0015624994</v>
      </c>
      <c r="D160" s="269"/>
      <c r="E160" s="269"/>
      <c r="F160" s="269">
        <f t="shared" si="44"/>
        <v>-1730382.0015624994</v>
      </c>
      <c r="G160" s="269">
        <f t="shared" si="44"/>
        <v>-1730382.0015624994</v>
      </c>
      <c r="H160" s="269">
        <f t="shared" si="40"/>
        <v>0</v>
      </c>
      <c r="I160" s="269">
        <f t="shared" si="40"/>
        <v>0</v>
      </c>
      <c r="J160" s="269">
        <f t="shared" si="45"/>
        <v>0</v>
      </c>
      <c r="K160" s="269">
        <f t="shared" si="42"/>
        <v>0</v>
      </c>
      <c r="L160" s="269">
        <f t="shared" si="46"/>
        <v>0</v>
      </c>
      <c r="M160" s="270">
        <f t="shared" si="47"/>
        <v>0</v>
      </c>
      <c r="N160" s="97"/>
      <c r="O160" s="271"/>
      <c r="P160" s="271"/>
      <c r="Q160" s="271"/>
      <c r="R160" s="271"/>
      <c r="S160" s="271"/>
      <c r="T160" s="271"/>
    </row>
    <row r="161" spans="1:20" s="230" customFormat="1" ht="15">
      <c r="A161" s="267">
        <f t="shared" si="48"/>
        <v>48152</v>
      </c>
      <c r="B161" s="269">
        <f t="shared" si="43"/>
        <v>1730382.0015624994</v>
      </c>
      <c r="C161" s="269">
        <f t="shared" si="49"/>
        <v>1730382.0015624994</v>
      </c>
      <c r="D161" s="269"/>
      <c r="E161" s="269"/>
      <c r="F161" s="269">
        <f t="shared" si="44"/>
        <v>-1730382.0015624994</v>
      </c>
      <c r="G161" s="269">
        <f t="shared" si="44"/>
        <v>-1730382.0015624994</v>
      </c>
      <c r="H161" s="269">
        <f t="shared" si="40"/>
        <v>0</v>
      </c>
      <c r="I161" s="269">
        <f t="shared" si="40"/>
        <v>0</v>
      </c>
      <c r="J161" s="269">
        <f t="shared" si="45"/>
        <v>0</v>
      </c>
      <c r="K161" s="269">
        <f t="shared" si="42"/>
        <v>0</v>
      </c>
      <c r="L161" s="269">
        <f t="shared" si="46"/>
        <v>0</v>
      </c>
      <c r="M161" s="270">
        <f t="shared" si="47"/>
        <v>0</v>
      </c>
      <c r="N161" s="97"/>
      <c r="O161" s="271"/>
      <c r="P161" s="271"/>
      <c r="Q161" s="271"/>
      <c r="R161" s="271"/>
      <c r="S161" s="271"/>
      <c r="T161" s="271"/>
    </row>
    <row r="162" spans="1:20" s="230" customFormat="1" ht="15">
      <c r="A162" s="267">
        <f t="shared" si="48"/>
        <v>48182</v>
      </c>
      <c r="B162" s="269">
        <f t="shared" si="43"/>
        <v>1730382.0015624994</v>
      </c>
      <c r="C162" s="269">
        <f t="shared" si="49"/>
        <v>1730382.0015624994</v>
      </c>
      <c r="D162" s="269"/>
      <c r="E162" s="269"/>
      <c r="F162" s="269">
        <f t="shared" si="44"/>
        <v>-1730382.0015624994</v>
      </c>
      <c r="G162" s="269">
        <f t="shared" si="44"/>
        <v>-1730382.0015624994</v>
      </c>
      <c r="H162" s="269">
        <f t="shared" si="40"/>
        <v>0</v>
      </c>
      <c r="I162" s="269">
        <f t="shared" si="40"/>
        <v>0</v>
      </c>
      <c r="J162" s="269">
        <f t="shared" si="45"/>
        <v>0</v>
      </c>
      <c r="K162" s="269">
        <f t="shared" si="42"/>
        <v>0</v>
      </c>
      <c r="L162" s="269">
        <f t="shared" si="46"/>
        <v>0</v>
      </c>
      <c r="M162" s="270">
        <f t="shared" si="47"/>
        <v>0</v>
      </c>
      <c r="N162" s="97"/>
      <c r="O162" s="271"/>
      <c r="P162" s="271"/>
      <c r="Q162" s="271"/>
      <c r="R162" s="271"/>
      <c r="S162" s="271"/>
      <c r="T162" s="271"/>
    </row>
    <row r="163" spans="1:20" s="230" customFormat="1" ht="15">
      <c r="A163" s="267">
        <f t="shared" si="48"/>
        <v>48213</v>
      </c>
      <c r="B163" s="269">
        <f t="shared" si="43"/>
        <v>1730382.0015624994</v>
      </c>
      <c r="C163" s="269">
        <f t="shared" si="49"/>
        <v>1730382.0015624994</v>
      </c>
      <c r="D163" s="269"/>
      <c r="E163" s="269"/>
      <c r="F163" s="269">
        <f t="shared" si="44"/>
        <v>-1730382.0015624994</v>
      </c>
      <c r="G163" s="269">
        <f t="shared" si="44"/>
        <v>-1730382.0015624994</v>
      </c>
      <c r="H163" s="269">
        <f t="shared" si="40"/>
        <v>0</v>
      </c>
      <c r="I163" s="269">
        <f t="shared" si="40"/>
        <v>0</v>
      </c>
      <c r="J163" s="269">
        <f t="shared" si="45"/>
        <v>0</v>
      </c>
      <c r="K163" s="269">
        <f t="shared" si="42"/>
        <v>0</v>
      </c>
      <c r="L163" s="269">
        <f t="shared" si="46"/>
        <v>0</v>
      </c>
      <c r="M163" s="270">
        <f t="shared" si="47"/>
        <v>0</v>
      </c>
      <c r="N163" s="97"/>
      <c r="O163" s="271"/>
      <c r="P163" s="271"/>
      <c r="Q163" s="271"/>
      <c r="R163" s="271"/>
      <c r="S163" s="271"/>
      <c r="T163" s="271"/>
    </row>
    <row r="164" spans="1:20" s="230" customFormat="1" ht="15">
      <c r="A164" s="267">
        <f t="shared" si="48"/>
        <v>48244</v>
      </c>
      <c r="B164" s="269">
        <f t="shared" si="43"/>
        <v>1730382.0015624994</v>
      </c>
      <c r="C164" s="269">
        <f t="shared" si="49"/>
        <v>1730382.0015624994</v>
      </c>
      <c r="D164" s="269"/>
      <c r="E164" s="269"/>
      <c r="F164" s="269">
        <f t="shared" si="44"/>
        <v>-1730382.0015624994</v>
      </c>
      <c r="G164" s="269">
        <f t="shared" si="44"/>
        <v>-1730382.0015624994</v>
      </c>
      <c r="H164" s="269">
        <f t="shared" si="40"/>
        <v>0</v>
      </c>
      <c r="I164" s="269">
        <f t="shared" si="40"/>
        <v>0</v>
      </c>
      <c r="J164" s="269">
        <f t="shared" si="45"/>
        <v>0</v>
      </c>
      <c r="K164" s="269">
        <f t="shared" si="42"/>
        <v>0</v>
      </c>
      <c r="L164" s="269">
        <f t="shared" si="46"/>
        <v>0</v>
      </c>
      <c r="M164" s="270">
        <f t="shared" si="47"/>
        <v>0</v>
      </c>
      <c r="N164" s="97"/>
      <c r="O164" s="271"/>
      <c r="P164" s="271"/>
      <c r="Q164" s="271"/>
      <c r="R164" s="271"/>
      <c r="S164" s="271"/>
      <c r="T164" s="271"/>
    </row>
    <row r="165" spans="1:20" s="230" customFormat="1" ht="15">
      <c r="A165" s="267">
        <f t="shared" si="48"/>
        <v>48273</v>
      </c>
      <c r="B165" s="269">
        <f t="shared" si="43"/>
        <v>1730382.0015624994</v>
      </c>
      <c r="C165" s="269">
        <f t="shared" si="49"/>
        <v>1730382.0015624994</v>
      </c>
      <c r="D165" s="269"/>
      <c r="E165" s="269"/>
      <c r="F165" s="269">
        <f t="shared" ref="F165:G178" si="50">F164-D165</f>
        <v>-1730382.0015624994</v>
      </c>
      <c r="G165" s="269">
        <f t="shared" si="50"/>
        <v>-1730382.0015624994</v>
      </c>
      <c r="H165" s="269">
        <f t="shared" si="40"/>
        <v>0</v>
      </c>
      <c r="I165" s="269">
        <f t="shared" si="40"/>
        <v>0</v>
      </c>
      <c r="J165" s="269">
        <f t="shared" si="45"/>
        <v>0</v>
      </c>
      <c r="K165" s="269">
        <f t="shared" si="42"/>
        <v>0</v>
      </c>
      <c r="L165" s="269">
        <f t="shared" si="46"/>
        <v>0</v>
      </c>
      <c r="M165" s="270">
        <f t="shared" si="47"/>
        <v>0</v>
      </c>
      <c r="N165" s="97"/>
      <c r="O165" s="271"/>
      <c r="P165" s="271"/>
      <c r="Q165" s="271"/>
      <c r="R165" s="271"/>
      <c r="S165" s="271"/>
      <c r="T165" s="271"/>
    </row>
    <row r="166" spans="1:20" s="230" customFormat="1" ht="15">
      <c r="A166" s="267">
        <f t="shared" si="48"/>
        <v>48304</v>
      </c>
      <c r="B166" s="269">
        <f t="shared" si="43"/>
        <v>1730382.0015624994</v>
      </c>
      <c r="C166" s="269">
        <f t="shared" si="49"/>
        <v>1730382.0015624994</v>
      </c>
      <c r="D166" s="269"/>
      <c r="E166" s="269"/>
      <c r="F166" s="269">
        <f t="shared" si="50"/>
        <v>-1730382.0015624994</v>
      </c>
      <c r="G166" s="269">
        <f t="shared" si="50"/>
        <v>-1730382.0015624994</v>
      </c>
      <c r="H166" s="269">
        <f t="shared" si="40"/>
        <v>0</v>
      </c>
      <c r="I166" s="269">
        <f t="shared" si="40"/>
        <v>0</v>
      </c>
      <c r="J166" s="269">
        <f t="shared" si="45"/>
        <v>0</v>
      </c>
      <c r="K166" s="269">
        <f t="shared" si="42"/>
        <v>0</v>
      </c>
      <c r="L166" s="269">
        <f t="shared" si="46"/>
        <v>0</v>
      </c>
      <c r="M166" s="270">
        <f t="shared" si="47"/>
        <v>0</v>
      </c>
      <c r="N166" s="97"/>
      <c r="O166" s="271"/>
      <c r="P166" s="271"/>
      <c r="Q166" s="271"/>
      <c r="R166" s="271"/>
      <c r="S166" s="271"/>
      <c r="T166" s="271"/>
    </row>
    <row r="167" spans="1:20" s="230" customFormat="1" ht="15">
      <c r="A167" s="267">
        <f t="shared" si="48"/>
        <v>48334</v>
      </c>
      <c r="B167" s="269">
        <f t="shared" si="43"/>
        <v>1730382.0015624994</v>
      </c>
      <c r="C167" s="269">
        <f t="shared" si="49"/>
        <v>1730382.0015624994</v>
      </c>
      <c r="D167" s="269"/>
      <c r="E167" s="269"/>
      <c r="F167" s="269">
        <f t="shared" si="50"/>
        <v>-1730382.0015624994</v>
      </c>
      <c r="G167" s="269">
        <f t="shared" si="50"/>
        <v>-1730382.0015624994</v>
      </c>
      <c r="H167" s="269">
        <f t="shared" si="40"/>
        <v>0</v>
      </c>
      <c r="I167" s="269">
        <f t="shared" si="40"/>
        <v>0</v>
      </c>
      <c r="J167" s="269">
        <f t="shared" si="45"/>
        <v>0</v>
      </c>
      <c r="K167" s="269">
        <f t="shared" si="42"/>
        <v>0</v>
      </c>
      <c r="L167" s="269">
        <f t="shared" si="46"/>
        <v>0</v>
      </c>
      <c r="M167" s="270">
        <f t="shared" si="47"/>
        <v>0</v>
      </c>
      <c r="N167" s="97"/>
      <c r="O167" s="271"/>
      <c r="P167" s="271"/>
      <c r="Q167" s="271"/>
      <c r="R167" s="271"/>
      <c r="S167" s="271"/>
      <c r="T167" s="271"/>
    </row>
    <row r="168" spans="1:20" s="230" customFormat="1" ht="15">
      <c r="A168" s="267">
        <f t="shared" si="48"/>
        <v>48365</v>
      </c>
      <c r="B168" s="269">
        <f t="shared" si="43"/>
        <v>1730382.0015624994</v>
      </c>
      <c r="C168" s="269">
        <f t="shared" si="49"/>
        <v>1730382.0015624994</v>
      </c>
      <c r="D168" s="269"/>
      <c r="E168" s="269"/>
      <c r="F168" s="269">
        <f t="shared" si="50"/>
        <v>-1730382.0015624994</v>
      </c>
      <c r="G168" s="269">
        <f t="shared" si="50"/>
        <v>-1730382.0015624994</v>
      </c>
      <c r="H168" s="269">
        <f t="shared" si="40"/>
        <v>0</v>
      </c>
      <c r="I168" s="269">
        <f t="shared" si="40"/>
        <v>0</v>
      </c>
      <c r="J168" s="269">
        <f t="shared" si="45"/>
        <v>0</v>
      </c>
      <c r="K168" s="269">
        <f t="shared" si="42"/>
        <v>0</v>
      </c>
      <c r="L168" s="269">
        <f t="shared" si="46"/>
        <v>0</v>
      </c>
      <c r="M168" s="270">
        <f t="shared" si="47"/>
        <v>0</v>
      </c>
      <c r="N168" s="97"/>
      <c r="O168" s="271"/>
      <c r="P168" s="271"/>
      <c r="Q168" s="271"/>
      <c r="R168" s="271"/>
      <c r="S168" s="271"/>
      <c r="T168" s="271"/>
    </row>
    <row r="169" spans="1:20" s="230" customFormat="1" ht="15">
      <c r="A169" s="267">
        <f t="shared" si="48"/>
        <v>48395</v>
      </c>
      <c r="B169" s="269">
        <f t="shared" si="43"/>
        <v>1730382.0015624994</v>
      </c>
      <c r="C169" s="269">
        <f t="shared" si="49"/>
        <v>1730382.0015624994</v>
      </c>
      <c r="D169" s="269"/>
      <c r="E169" s="269"/>
      <c r="F169" s="269">
        <f t="shared" si="50"/>
        <v>-1730382.0015624994</v>
      </c>
      <c r="G169" s="269">
        <f t="shared" si="50"/>
        <v>-1730382.0015624994</v>
      </c>
      <c r="H169" s="269">
        <f t="shared" si="40"/>
        <v>0</v>
      </c>
      <c r="I169" s="269">
        <f t="shared" si="40"/>
        <v>0</v>
      </c>
      <c r="J169" s="269">
        <f t="shared" si="45"/>
        <v>0</v>
      </c>
      <c r="K169" s="269">
        <f t="shared" si="42"/>
        <v>0</v>
      </c>
      <c r="L169" s="269">
        <f t="shared" si="46"/>
        <v>0</v>
      </c>
      <c r="M169" s="270">
        <f t="shared" si="47"/>
        <v>0</v>
      </c>
      <c r="N169" s="97"/>
      <c r="O169" s="271"/>
      <c r="P169" s="271"/>
      <c r="Q169" s="271"/>
      <c r="R169" s="271"/>
      <c r="S169" s="271"/>
      <c r="T169" s="271"/>
    </row>
    <row r="170" spans="1:20" s="230" customFormat="1" ht="15">
      <c r="A170" s="267">
        <f t="shared" si="48"/>
        <v>48426</v>
      </c>
      <c r="B170" s="269">
        <f t="shared" si="43"/>
        <v>1730382.0015624994</v>
      </c>
      <c r="C170" s="269">
        <f t="shared" si="49"/>
        <v>1730382.0015624994</v>
      </c>
      <c r="D170" s="269"/>
      <c r="E170" s="269"/>
      <c r="F170" s="269">
        <f t="shared" si="50"/>
        <v>-1730382.0015624994</v>
      </c>
      <c r="G170" s="269">
        <f t="shared" si="50"/>
        <v>-1730382.0015624994</v>
      </c>
      <c r="H170" s="269">
        <f t="shared" si="40"/>
        <v>0</v>
      </c>
      <c r="I170" s="269">
        <f t="shared" si="40"/>
        <v>0</v>
      </c>
      <c r="J170" s="269">
        <f t="shared" si="45"/>
        <v>0</v>
      </c>
      <c r="K170" s="269">
        <f t="shared" si="42"/>
        <v>0</v>
      </c>
      <c r="L170" s="269">
        <f t="shared" si="46"/>
        <v>0</v>
      </c>
      <c r="M170" s="270">
        <f t="shared" si="47"/>
        <v>0</v>
      </c>
      <c r="N170" s="97"/>
      <c r="O170" s="271"/>
      <c r="P170" s="271"/>
      <c r="Q170" s="271"/>
      <c r="R170" s="271"/>
      <c r="S170" s="271"/>
      <c r="T170" s="271"/>
    </row>
    <row r="171" spans="1:20" s="230" customFormat="1" ht="15">
      <c r="A171" s="267">
        <f t="shared" si="48"/>
        <v>48457</v>
      </c>
      <c r="B171" s="269">
        <f t="shared" si="43"/>
        <v>1730382.0015624994</v>
      </c>
      <c r="C171" s="269">
        <f t="shared" si="49"/>
        <v>1730382.0015624994</v>
      </c>
      <c r="D171" s="269"/>
      <c r="E171" s="269"/>
      <c r="F171" s="269">
        <f t="shared" si="50"/>
        <v>-1730382.0015624994</v>
      </c>
      <c r="G171" s="269">
        <f t="shared" si="50"/>
        <v>-1730382.0015624994</v>
      </c>
      <c r="H171" s="269">
        <f t="shared" si="40"/>
        <v>0</v>
      </c>
      <c r="I171" s="269">
        <f t="shared" si="40"/>
        <v>0</v>
      </c>
      <c r="J171" s="269">
        <f t="shared" si="45"/>
        <v>0</v>
      </c>
      <c r="K171" s="269">
        <f t="shared" si="42"/>
        <v>0</v>
      </c>
      <c r="L171" s="269">
        <f t="shared" si="46"/>
        <v>0</v>
      </c>
      <c r="M171" s="270">
        <f t="shared" si="47"/>
        <v>0</v>
      </c>
      <c r="N171" s="97"/>
      <c r="O171" s="271"/>
      <c r="P171" s="271"/>
      <c r="Q171" s="271"/>
      <c r="R171" s="271"/>
      <c r="S171" s="271"/>
      <c r="T171" s="271"/>
    </row>
    <row r="172" spans="1:20" s="230" customFormat="1" ht="15">
      <c r="A172" s="267">
        <f t="shared" si="48"/>
        <v>48487</v>
      </c>
      <c r="B172" s="269">
        <f t="shared" si="43"/>
        <v>1730382.0015624994</v>
      </c>
      <c r="C172" s="269">
        <f t="shared" si="49"/>
        <v>1730382.0015624994</v>
      </c>
      <c r="D172" s="269"/>
      <c r="E172" s="269"/>
      <c r="F172" s="269">
        <f t="shared" si="50"/>
        <v>-1730382.0015624994</v>
      </c>
      <c r="G172" s="269">
        <f t="shared" si="50"/>
        <v>-1730382.0015624994</v>
      </c>
      <c r="H172" s="269">
        <f t="shared" si="40"/>
        <v>0</v>
      </c>
      <c r="I172" s="269">
        <f t="shared" si="40"/>
        <v>0</v>
      </c>
      <c r="J172" s="269">
        <f t="shared" si="45"/>
        <v>0</v>
      </c>
      <c r="K172" s="269">
        <f t="shared" si="42"/>
        <v>0</v>
      </c>
      <c r="L172" s="269">
        <f t="shared" si="46"/>
        <v>0</v>
      </c>
      <c r="M172" s="270">
        <f t="shared" si="47"/>
        <v>0</v>
      </c>
      <c r="N172" s="97"/>
      <c r="O172" s="271"/>
      <c r="P172" s="271"/>
      <c r="Q172" s="271"/>
      <c r="R172" s="271"/>
      <c r="S172" s="271"/>
      <c r="T172" s="271"/>
    </row>
    <row r="173" spans="1:20" s="230" customFormat="1" ht="15">
      <c r="A173" s="267">
        <f t="shared" si="48"/>
        <v>48518</v>
      </c>
      <c r="B173" s="269">
        <f t="shared" si="43"/>
        <v>1730382.0015624994</v>
      </c>
      <c r="C173" s="269">
        <f t="shared" si="49"/>
        <v>1730382.0015624994</v>
      </c>
      <c r="D173" s="269"/>
      <c r="E173" s="269"/>
      <c r="F173" s="269">
        <f t="shared" si="50"/>
        <v>-1730382.0015624994</v>
      </c>
      <c r="G173" s="269">
        <f t="shared" si="50"/>
        <v>-1730382.0015624994</v>
      </c>
      <c r="H173" s="269">
        <f t="shared" si="40"/>
        <v>0</v>
      </c>
      <c r="I173" s="269">
        <f t="shared" si="40"/>
        <v>0</v>
      </c>
      <c r="J173" s="269">
        <f t="shared" si="45"/>
        <v>0</v>
      </c>
      <c r="K173" s="269">
        <f t="shared" si="42"/>
        <v>0</v>
      </c>
      <c r="L173" s="269">
        <f t="shared" si="46"/>
        <v>0</v>
      </c>
      <c r="M173" s="270">
        <f t="shared" si="47"/>
        <v>0</v>
      </c>
      <c r="N173" s="97"/>
      <c r="O173" s="271"/>
      <c r="P173" s="271"/>
      <c r="Q173" s="271"/>
      <c r="R173" s="271"/>
      <c r="S173" s="271"/>
      <c r="T173" s="271"/>
    </row>
    <row r="174" spans="1:20" s="230" customFormat="1" ht="15">
      <c r="A174" s="267">
        <f t="shared" si="48"/>
        <v>48548</v>
      </c>
      <c r="B174" s="269">
        <f t="shared" si="43"/>
        <v>1730382.0015624994</v>
      </c>
      <c r="C174" s="269">
        <f t="shared" si="49"/>
        <v>1730382.0015624994</v>
      </c>
      <c r="D174" s="269"/>
      <c r="E174" s="269"/>
      <c r="F174" s="269">
        <f t="shared" si="50"/>
        <v>-1730382.0015624994</v>
      </c>
      <c r="G174" s="269">
        <f t="shared" si="50"/>
        <v>-1730382.0015624994</v>
      </c>
      <c r="H174" s="269">
        <f t="shared" si="40"/>
        <v>0</v>
      </c>
      <c r="I174" s="269">
        <f t="shared" si="40"/>
        <v>0</v>
      </c>
      <c r="J174" s="269">
        <f t="shared" si="45"/>
        <v>0</v>
      </c>
      <c r="K174" s="269">
        <f t="shared" si="42"/>
        <v>0</v>
      </c>
      <c r="L174" s="269">
        <f t="shared" si="46"/>
        <v>0</v>
      </c>
      <c r="M174" s="270">
        <f t="shared" si="47"/>
        <v>0</v>
      </c>
      <c r="N174" s="97"/>
      <c r="O174" s="271"/>
      <c r="P174" s="271"/>
      <c r="Q174" s="271"/>
      <c r="R174" s="271"/>
      <c r="S174" s="271"/>
      <c r="T174" s="271"/>
    </row>
    <row r="175" spans="1:20" s="230" customFormat="1" ht="15">
      <c r="A175" s="267">
        <f t="shared" si="48"/>
        <v>48579</v>
      </c>
      <c r="B175" s="269">
        <f t="shared" si="43"/>
        <v>1730382.0015624994</v>
      </c>
      <c r="C175" s="269">
        <f t="shared" si="49"/>
        <v>1730382.0015624994</v>
      </c>
      <c r="D175" s="269"/>
      <c r="E175" s="269"/>
      <c r="F175" s="269">
        <f t="shared" si="50"/>
        <v>-1730382.0015624994</v>
      </c>
      <c r="G175" s="269">
        <f t="shared" si="50"/>
        <v>-1730382.0015624994</v>
      </c>
      <c r="H175" s="269">
        <f t="shared" si="40"/>
        <v>0</v>
      </c>
      <c r="I175" s="269">
        <f t="shared" si="40"/>
        <v>0</v>
      </c>
      <c r="J175" s="269">
        <f t="shared" si="45"/>
        <v>0</v>
      </c>
      <c r="K175" s="269">
        <f t="shared" si="42"/>
        <v>0</v>
      </c>
      <c r="L175" s="269">
        <f t="shared" si="46"/>
        <v>0</v>
      </c>
      <c r="M175" s="270">
        <f t="shared" si="47"/>
        <v>0</v>
      </c>
      <c r="N175" s="97"/>
      <c r="O175" s="271"/>
      <c r="P175" s="271"/>
      <c r="Q175" s="271"/>
      <c r="R175" s="271"/>
      <c r="S175" s="271"/>
      <c r="T175" s="271"/>
    </row>
    <row r="176" spans="1:20" s="230" customFormat="1" ht="15">
      <c r="A176" s="267">
        <f t="shared" si="48"/>
        <v>48610</v>
      </c>
      <c r="B176" s="269">
        <f t="shared" si="43"/>
        <v>1730382.0015624994</v>
      </c>
      <c r="C176" s="269">
        <f t="shared" si="49"/>
        <v>1730382.0015624994</v>
      </c>
      <c r="D176" s="269"/>
      <c r="E176" s="269"/>
      <c r="F176" s="269">
        <f t="shared" si="50"/>
        <v>-1730382.0015624994</v>
      </c>
      <c r="G176" s="269">
        <f t="shared" si="50"/>
        <v>-1730382.0015624994</v>
      </c>
      <c r="H176" s="269">
        <f t="shared" si="40"/>
        <v>0</v>
      </c>
      <c r="I176" s="269">
        <f t="shared" si="40"/>
        <v>0</v>
      </c>
      <c r="J176" s="269">
        <f t="shared" si="45"/>
        <v>0</v>
      </c>
      <c r="K176" s="269">
        <f t="shared" si="42"/>
        <v>0</v>
      </c>
      <c r="L176" s="269">
        <f t="shared" si="46"/>
        <v>0</v>
      </c>
      <c r="M176" s="270">
        <f t="shared" si="47"/>
        <v>0</v>
      </c>
      <c r="N176" s="97"/>
      <c r="O176" s="271"/>
      <c r="P176" s="271"/>
      <c r="Q176" s="271"/>
      <c r="R176" s="271"/>
      <c r="S176" s="271"/>
      <c r="T176" s="271"/>
    </row>
    <row r="177" spans="1:20" s="230" customFormat="1" ht="15">
      <c r="A177" s="267">
        <f t="shared" si="48"/>
        <v>48638</v>
      </c>
      <c r="B177" s="269">
        <f t="shared" si="43"/>
        <v>1730382.0015624994</v>
      </c>
      <c r="C177" s="269">
        <f t="shared" si="49"/>
        <v>1730382.0015624994</v>
      </c>
      <c r="D177" s="269"/>
      <c r="E177" s="269"/>
      <c r="F177" s="269">
        <f t="shared" si="50"/>
        <v>-1730382.0015624994</v>
      </c>
      <c r="G177" s="269">
        <f t="shared" si="50"/>
        <v>-1730382.0015624994</v>
      </c>
      <c r="H177" s="269">
        <f t="shared" si="40"/>
        <v>0</v>
      </c>
      <c r="I177" s="269">
        <f t="shared" si="40"/>
        <v>0</v>
      </c>
      <c r="J177" s="269">
        <f t="shared" si="45"/>
        <v>0</v>
      </c>
      <c r="K177" s="269">
        <f t="shared" si="42"/>
        <v>0</v>
      </c>
      <c r="L177" s="269">
        <f t="shared" si="46"/>
        <v>0</v>
      </c>
      <c r="M177" s="270">
        <f t="shared" si="47"/>
        <v>0</v>
      </c>
      <c r="N177" s="97"/>
      <c r="O177" s="271"/>
      <c r="P177" s="271"/>
      <c r="Q177" s="271"/>
      <c r="R177" s="271"/>
      <c r="S177" s="271"/>
      <c r="T177" s="271"/>
    </row>
    <row r="178" spans="1:20" s="230" customFormat="1" ht="15">
      <c r="A178" s="267">
        <f t="shared" si="48"/>
        <v>48669</v>
      </c>
      <c r="B178" s="269">
        <f t="shared" si="43"/>
        <v>1730382.0015624994</v>
      </c>
      <c r="C178" s="269">
        <f t="shared" si="49"/>
        <v>1730382.0015624994</v>
      </c>
      <c r="D178" s="269"/>
      <c r="E178" s="269"/>
      <c r="F178" s="269">
        <f t="shared" si="50"/>
        <v>-1730382.0015624994</v>
      </c>
      <c r="G178" s="269">
        <f t="shared" si="50"/>
        <v>-1730382.0015624994</v>
      </c>
      <c r="H178" s="269">
        <f t="shared" si="40"/>
        <v>0</v>
      </c>
      <c r="I178" s="269">
        <f t="shared" si="40"/>
        <v>0</v>
      </c>
      <c r="J178" s="269">
        <f t="shared" si="45"/>
        <v>0</v>
      </c>
      <c r="K178" s="269">
        <f t="shared" si="42"/>
        <v>0</v>
      </c>
      <c r="L178" s="269">
        <f t="shared" si="46"/>
        <v>0</v>
      </c>
      <c r="M178" s="270">
        <f t="shared" si="47"/>
        <v>0</v>
      </c>
      <c r="N178" s="97"/>
      <c r="O178" s="271"/>
      <c r="P178" s="271"/>
      <c r="Q178" s="271"/>
      <c r="R178" s="271"/>
      <c r="S178" s="271"/>
      <c r="T178" s="271"/>
    </row>
    <row r="179" spans="1:20" ht="6" customHeight="1" thickBot="1">
      <c r="A179" s="276"/>
      <c r="B179" s="277"/>
      <c r="C179" s="277"/>
      <c r="D179" s="277"/>
      <c r="E179" s="277"/>
      <c r="F179" s="277"/>
      <c r="G179" s="277"/>
      <c r="H179" s="277"/>
      <c r="I179" s="277"/>
      <c r="J179" s="277"/>
      <c r="K179" s="277"/>
      <c r="L179" s="277"/>
      <c r="M179" s="278">
        <f t="shared" si="47"/>
        <v>0</v>
      </c>
      <c r="N179" s="97"/>
      <c r="O179" s="279"/>
      <c r="P179" s="279"/>
      <c r="Q179" s="279"/>
      <c r="R179" s="279"/>
      <c r="S179" s="279"/>
      <c r="T179" s="279"/>
    </row>
    <row r="180" spans="1:20" s="230" customFormat="1" ht="15">
      <c r="A180" s="280"/>
      <c r="B180" s="281"/>
      <c r="C180" s="281"/>
      <c r="D180" s="282"/>
      <c r="E180" s="282"/>
      <c r="F180" s="283"/>
      <c r="G180" s="281"/>
      <c r="H180" s="281"/>
      <c r="I180" s="281"/>
      <c r="J180" s="281"/>
      <c r="K180" s="281"/>
      <c r="L180" s="281"/>
      <c r="M180" s="97"/>
      <c r="N180" s="97"/>
      <c r="O180" s="97"/>
    </row>
    <row r="181" spans="1:20" ht="15">
      <c r="A181" s="97"/>
      <c r="B181" s="97"/>
      <c r="C181" s="97"/>
      <c r="D181" s="227"/>
      <c r="E181" s="97"/>
      <c r="F181" s="97"/>
      <c r="G181" s="227"/>
      <c r="H181" s="97"/>
      <c r="I181" s="97"/>
      <c r="J181" s="97"/>
      <c r="K181" s="97"/>
      <c r="L181" s="97"/>
      <c r="M181" s="97"/>
      <c r="N181" s="97"/>
      <c r="O181" s="97"/>
    </row>
    <row r="182" spans="1:20" ht="15">
      <c r="A182" s="97"/>
      <c r="B182" s="97"/>
      <c r="C182" s="97"/>
      <c r="D182" s="227"/>
      <c r="E182" s="97"/>
      <c r="F182" s="97"/>
      <c r="G182" s="97"/>
      <c r="H182" s="97"/>
      <c r="I182" s="97"/>
      <c r="J182" s="97"/>
      <c r="K182" s="97"/>
      <c r="L182" s="97"/>
      <c r="M182" s="97"/>
      <c r="N182" s="97"/>
      <c r="O182" s="97"/>
      <c r="P182" s="97"/>
      <c r="Q182" s="97"/>
    </row>
    <row r="183" spans="1:20" ht="15">
      <c r="A183" s="284"/>
      <c r="B183" s="97"/>
      <c r="C183" s="97"/>
      <c r="D183" s="97"/>
      <c r="E183" s="97"/>
      <c r="F183" s="97"/>
      <c r="G183" s="97"/>
      <c r="H183" s="97"/>
      <c r="I183" s="97"/>
      <c r="J183" s="97"/>
      <c r="K183" s="97"/>
      <c r="L183" s="97"/>
      <c r="M183" s="97"/>
      <c r="N183" s="97"/>
      <c r="O183" s="97"/>
      <c r="P183" s="97"/>
      <c r="Q183" s="97"/>
    </row>
    <row r="184" spans="1:20" ht="15">
      <c r="A184" s="97"/>
      <c r="B184" s="97"/>
      <c r="C184" s="97"/>
      <c r="D184" s="97"/>
      <c r="E184" s="97"/>
      <c r="F184" s="97"/>
      <c r="G184" s="97"/>
      <c r="H184" s="97"/>
      <c r="I184" s="97"/>
      <c r="J184" s="97"/>
      <c r="K184" s="97"/>
      <c r="L184" s="97"/>
      <c r="M184" s="97"/>
      <c r="N184" s="97"/>
    </row>
    <row r="185" spans="1:20" ht="15">
      <c r="A185" s="97"/>
      <c r="B185" s="97"/>
      <c r="C185" s="97"/>
      <c r="D185" s="97"/>
      <c r="E185" s="97"/>
      <c r="F185" s="97"/>
      <c r="G185" s="97"/>
      <c r="H185" s="97"/>
      <c r="I185" s="97"/>
      <c r="J185" s="97"/>
      <c r="K185" s="97"/>
      <c r="L185" s="97"/>
      <c r="M185" s="97"/>
      <c r="N185" s="97"/>
      <c r="O185"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17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B49" sqref="B49"/>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2021</v>
      </c>
      <c r="C4" s="222">
        <f>+B4+1</f>
        <v>2022</v>
      </c>
      <c r="D4" s="222">
        <f t="shared" ref="D4:E4" si="0">+C4+1</f>
        <v>2023</v>
      </c>
      <c r="E4" s="222">
        <f t="shared" si="0"/>
        <v>2024</v>
      </c>
      <c r="F4" s="222">
        <f>+E4+1</f>
        <v>2025</v>
      </c>
      <c r="G4" s="222">
        <f t="shared" ref="G4:P4" si="1">+F4+1</f>
        <v>2026</v>
      </c>
      <c r="H4" s="222">
        <f t="shared" si="1"/>
        <v>2027</v>
      </c>
      <c r="I4" s="222">
        <f t="shared" si="1"/>
        <v>2028</v>
      </c>
      <c r="J4" s="222">
        <f t="shared" si="1"/>
        <v>2029</v>
      </c>
      <c r="K4" s="222">
        <f t="shared" si="1"/>
        <v>2030</v>
      </c>
      <c r="L4" s="222">
        <f t="shared" si="1"/>
        <v>2031</v>
      </c>
      <c r="M4" s="222">
        <f t="shared" si="1"/>
        <v>2032</v>
      </c>
      <c r="N4" s="222">
        <f t="shared" si="1"/>
        <v>2033</v>
      </c>
      <c r="O4" s="222">
        <f t="shared" si="1"/>
        <v>2034</v>
      </c>
      <c r="P4" s="222">
        <f t="shared" si="1"/>
        <v>2035</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2036</v>
      </c>
      <c r="C7" s="222">
        <f>+B7+1</f>
        <v>2037</v>
      </c>
      <c r="D7" s="222">
        <f>+C7+1</f>
        <v>2038</v>
      </c>
      <c r="E7" s="222">
        <f>+D7+1</f>
        <v>2039</v>
      </c>
      <c r="F7" s="222">
        <f>+E7+1</f>
        <v>2040</v>
      </c>
      <c r="G7" s="222">
        <f>+F7+1</f>
        <v>2041</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3" t="s">
        <v>356</v>
      </c>
      <c r="M17" s="263" t="s">
        <v>357</v>
      </c>
    </row>
    <row r="18" spans="1:20" ht="7.5" customHeight="1">
      <c r="A18" s="264"/>
      <c r="B18" s="265"/>
      <c r="C18" s="265"/>
      <c r="D18" s="265"/>
      <c r="E18" s="265"/>
      <c r="F18" s="265"/>
      <c r="G18" s="265"/>
      <c r="H18" s="265"/>
      <c r="I18" s="265"/>
      <c r="J18" s="265"/>
      <c r="K18" s="265"/>
      <c r="L18" s="266"/>
      <c r="M18" s="266"/>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44227</v>
      </c>
      <c r="B20" s="269">
        <f>C20</f>
        <v>3365.2832031249995</v>
      </c>
      <c r="C20" s="269">
        <f>'EV Capex Summary'!$H$57/12</f>
        <v>3365.2832031249995</v>
      </c>
      <c r="D20" s="269">
        <f>B27*$B$5/8</f>
        <v>480.89896972656243</v>
      </c>
      <c r="E20" s="269">
        <f>C20*E$12/12</f>
        <v>56.088053385416664</v>
      </c>
      <c r="F20" s="269">
        <f>-D20</f>
        <v>-480.89896972656243</v>
      </c>
      <c r="G20" s="269">
        <f>-E20</f>
        <v>-56.088053385416664</v>
      </c>
      <c r="H20" s="269">
        <f t="shared" ref="H20:I38" si="2">B20+F20</f>
        <v>2884.3842333984371</v>
      </c>
      <c r="I20" s="269">
        <f t="shared" si="2"/>
        <v>3309.195149739583</v>
      </c>
      <c r="J20" s="269">
        <f>I20-H20</f>
        <v>424.81091634114591</v>
      </c>
      <c r="K20" s="269">
        <f t="shared" ref="K20:K51" si="3">-J20*$K$15</f>
        <v>-89.210292431640639</v>
      </c>
      <c r="L20" s="269">
        <f>-K20</f>
        <v>89.210292431640639</v>
      </c>
      <c r="M20" s="270">
        <f>I20+K20</f>
        <v>3219.9848573079425</v>
      </c>
      <c r="N20" s="271"/>
      <c r="O20" s="271"/>
      <c r="P20" s="271"/>
      <c r="Q20" s="271"/>
      <c r="R20" s="271"/>
      <c r="S20" s="271"/>
      <c r="T20" s="271"/>
    </row>
    <row r="21" spans="1:20" s="230" customFormat="1">
      <c r="A21" s="267">
        <f>EOMONTH(A20,1)</f>
        <v>44255</v>
      </c>
      <c r="B21" s="269">
        <f t="shared" ref="B21:B31" si="4">C21</f>
        <v>6730.5664062499991</v>
      </c>
      <c r="C21" s="289">
        <f>'EV Capex Summary'!$H$57/12+C20</f>
        <v>6730.5664062499991</v>
      </c>
      <c r="D21" s="269">
        <f t="shared" ref="D21:D27" si="5">B28*$B$5/8</f>
        <v>541.01134094238273</v>
      </c>
      <c r="E21" s="269">
        <f>C21*E$12/12</f>
        <v>112.17610677083333</v>
      </c>
      <c r="F21" s="269">
        <f t="shared" ref="F21:G36" si="6">F20-D21</f>
        <v>-1021.9103106689452</v>
      </c>
      <c r="G21" s="269">
        <f t="shared" si="6"/>
        <v>-168.26416015625</v>
      </c>
      <c r="H21" s="269">
        <f t="shared" si="2"/>
        <v>5708.6560955810537</v>
      </c>
      <c r="I21" s="269">
        <f t="shared" si="2"/>
        <v>6562.3022460937491</v>
      </c>
      <c r="J21" s="269">
        <f t="shared" ref="J21:J84" si="7">I21-H21</f>
        <v>853.64615051269539</v>
      </c>
      <c r="K21" s="269">
        <f t="shared" si="3"/>
        <v>-179.26569160766601</v>
      </c>
      <c r="L21" s="269">
        <f t="shared" ref="L21:L84" si="8">-K21+K20</f>
        <v>90.055399176025375</v>
      </c>
      <c r="M21" s="270">
        <f t="shared" ref="M21:M84" si="9">I21+K21</f>
        <v>6383.0365544860833</v>
      </c>
      <c r="N21" s="271"/>
      <c r="O21" s="271"/>
      <c r="P21" s="271"/>
      <c r="Q21" s="271"/>
      <c r="R21" s="271"/>
      <c r="S21" s="271"/>
      <c r="T21" s="271"/>
    </row>
    <row r="22" spans="1:20" s="230" customFormat="1">
      <c r="A22" s="267">
        <f t="shared" ref="A22:A85" si="10">EOMONTH(A21,1)</f>
        <v>44286</v>
      </c>
      <c r="B22" s="269">
        <f t="shared" si="4"/>
        <v>10095.849609374998</v>
      </c>
      <c r="C22" s="289">
        <f>'EV Capex Summary'!$H$57/12+C21</f>
        <v>10095.849609374998</v>
      </c>
      <c r="D22" s="269">
        <f t="shared" si="5"/>
        <v>601.12371215820303</v>
      </c>
      <c r="E22" s="269">
        <f t="shared" ref="E22:E74" si="11">C22*E$12/12</f>
        <v>168.26416015624997</v>
      </c>
      <c r="F22" s="269">
        <f t="shared" si="6"/>
        <v>-1623.0340228271482</v>
      </c>
      <c r="G22" s="269">
        <f t="shared" si="6"/>
        <v>-336.5283203125</v>
      </c>
      <c r="H22" s="269">
        <f t="shared" si="2"/>
        <v>8472.8155865478493</v>
      </c>
      <c r="I22" s="269">
        <f t="shared" si="2"/>
        <v>9759.3212890624982</v>
      </c>
      <c r="J22" s="269">
        <f t="shared" si="7"/>
        <v>1286.5057025146489</v>
      </c>
      <c r="K22" s="269">
        <f t="shared" si="3"/>
        <v>-270.16619752807628</v>
      </c>
      <c r="L22" s="269">
        <f t="shared" si="8"/>
        <v>90.900505920410268</v>
      </c>
      <c r="M22" s="270">
        <f t="shared" si="9"/>
        <v>9489.1550915344214</v>
      </c>
      <c r="N22" s="271"/>
      <c r="O22" s="271"/>
      <c r="P22" s="271"/>
      <c r="Q22" s="271"/>
      <c r="R22" s="271"/>
      <c r="S22" s="271"/>
      <c r="T22" s="271"/>
    </row>
    <row r="23" spans="1:20" s="230" customFormat="1">
      <c r="A23" s="267">
        <f t="shared" si="10"/>
        <v>44316</v>
      </c>
      <c r="B23" s="269">
        <f t="shared" si="4"/>
        <v>13461.132812499998</v>
      </c>
      <c r="C23" s="289">
        <f>'EV Capex Summary'!$H$57/12+C22</f>
        <v>13461.132812499998</v>
      </c>
      <c r="D23" s="269">
        <f t="shared" si="5"/>
        <v>661.23608337402334</v>
      </c>
      <c r="E23" s="269">
        <f t="shared" si="11"/>
        <v>224.35221354166666</v>
      </c>
      <c r="F23" s="269">
        <f t="shared" si="6"/>
        <v>-2284.2701062011715</v>
      </c>
      <c r="G23" s="269">
        <f t="shared" si="6"/>
        <v>-560.88053385416663</v>
      </c>
      <c r="H23" s="269">
        <f t="shared" si="2"/>
        <v>11176.862706298827</v>
      </c>
      <c r="I23" s="269">
        <f t="shared" si="2"/>
        <v>12900.252278645832</v>
      </c>
      <c r="J23" s="269">
        <f t="shared" si="7"/>
        <v>1723.389572347005</v>
      </c>
      <c r="K23" s="269">
        <f t="shared" si="3"/>
        <v>-361.91181019287103</v>
      </c>
      <c r="L23" s="269">
        <f t="shared" si="8"/>
        <v>91.745612664794749</v>
      </c>
      <c r="M23" s="270">
        <f t="shared" si="9"/>
        <v>12538.340468452961</v>
      </c>
      <c r="N23" s="272"/>
      <c r="O23" s="273"/>
      <c r="P23" s="271"/>
      <c r="Q23" s="271"/>
      <c r="R23" s="271"/>
      <c r="S23" s="271"/>
      <c r="T23" s="271"/>
    </row>
    <row r="24" spans="1:20" s="230" customFormat="1">
      <c r="A24" s="267">
        <f t="shared" si="10"/>
        <v>44347</v>
      </c>
      <c r="B24" s="269">
        <f t="shared" si="4"/>
        <v>16826.416015624996</v>
      </c>
      <c r="C24" s="289">
        <f>'EV Capex Summary'!$H$57/12+C23</f>
        <v>16826.416015624996</v>
      </c>
      <c r="D24" s="269">
        <f t="shared" si="5"/>
        <v>721.34845458984364</v>
      </c>
      <c r="E24" s="269">
        <f t="shared" si="11"/>
        <v>280.44026692708331</v>
      </c>
      <c r="F24" s="269">
        <f t="shared" si="6"/>
        <v>-3005.6185607910152</v>
      </c>
      <c r="G24" s="269">
        <f t="shared" si="6"/>
        <v>-841.32080078125</v>
      </c>
      <c r="H24" s="269">
        <f t="shared" si="2"/>
        <v>13820.797454833981</v>
      </c>
      <c r="I24" s="269">
        <f t="shared" si="2"/>
        <v>15985.095214843746</v>
      </c>
      <c r="J24" s="269">
        <f t="shared" si="7"/>
        <v>2164.2977600097656</v>
      </c>
      <c r="K24" s="269">
        <f t="shared" si="3"/>
        <v>-454.50252960205074</v>
      </c>
      <c r="L24" s="269">
        <f t="shared" si="8"/>
        <v>92.590719409179712</v>
      </c>
      <c r="M24" s="270">
        <f t="shared" si="9"/>
        <v>15530.592685241696</v>
      </c>
      <c r="N24" s="271"/>
      <c r="O24" s="271"/>
      <c r="P24" s="271"/>
      <c r="Q24" s="271"/>
      <c r="R24" s="271"/>
      <c r="S24" s="271"/>
      <c r="T24" s="271"/>
    </row>
    <row r="25" spans="1:20" s="230" customFormat="1">
      <c r="A25" s="267">
        <f t="shared" si="10"/>
        <v>44377</v>
      </c>
      <c r="B25" s="269">
        <f t="shared" si="4"/>
        <v>20191.699218749996</v>
      </c>
      <c r="C25" s="289">
        <f>'EV Capex Summary'!$H$57/12+C24</f>
        <v>20191.699218749996</v>
      </c>
      <c r="D25" s="269">
        <f t="shared" si="5"/>
        <v>721.34845458984364</v>
      </c>
      <c r="E25" s="269">
        <f t="shared" si="11"/>
        <v>336.52832031249994</v>
      </c>
      <c r="F25" s="269">
        <f t="shared" si="6"/>
        <v>-3726.9670153808588</v>
      </c>
      <c r="G25" s="269">
        <f t="shared" si="6"/>
        <v>-1177.84912109375</v>
      </c>
      <c r="H25" s="269">
        <f t="shared" si="2"/>
        <v>16464.732203369138</v>
      </c>
      <c r="I25" s="269">
        <f t="shared" si="2"/>
        <v>19013.850097656246</v>
      </c>
      <c r="J25" s="269">
        <f t="shared" si="7"/>
        <v>2549.1178942871084</v>
      </c>
      <c r="K25" s="269">
        <f t="shared" si="3"/>
        <v>-535.31475780029268</v>
      </c>
      <c r="L25" s="269">
        <f t="shared" si="8"/>
        <v>80.812228198241939</v>
      </c>
      <c r="M25" s="270">
        <f t="shared" si="9"/>
        <v>18478.535339855953</v>
      </c>
      <c r="N25" s="271"/>
      <c r="O25" s="271"/>
      <c r="P25" s="271"/>
      <c r="Q25" s="271"/>
      <c r="R25" s="271"/>
      <c r="S25" s="271"/>
      <c r="T25" s="271"/>
    </row>
    <row r="26" spans="1:20" s="230" customFormat="1">
      <c r="A26" s="267">
        <f t="shared" si="10"/>
        <v>44408</v>
      </c>
      <c r="B26" s="269">
        <f t="shared" si="4"/>
        <v>23556.982421874996</v>
      </c>
      <c r="C26" s="289">
        <f>'EV Capex Summary'!$H$57/12+C25</f>
        <v>23556.982421874996</v>
      </c>
      <c r="D26" s="269">
        <f t="shared" si="5"/>
        <v>721.34845458984364</v>
      </c>
      <c r="E26" s="269">
        <f t="shared" si="11"/>
        <v>392.61637369791657</v>
      </c>
      <c r="F26" s="269">
        <f t="shared" si="6"/>
        <v>-4448.3154699707029</v>
      </c>
      <c r="G26" s="269">
        <f t="shared" si="6"/>
        <v>-1570.4654947916665</v>
      </c>
      <c r="H26" s="269">
        <f t="shared" si="2"/>
        <v>19108.666951904292</v>
      </c>
      <c r="I26" s="269">
        <f t="shared" si="2"/>
        <v>21986.516927083328</v>
      </c>
      <c r="J26" s="269">
        <f t="shared" si="7"/>
        <v>2877.8499751790368</v>
      </c>
      <c r="K26" s="269">
        <f t="shared" si="3"/>
        <v>-604.3484947875977</v>
      </c>
      <c r="L26" s="269">
        <f>-K26+K25</f>
        <v>69.033736987305019</v>
      </c>
      <c r="M26" s="270">
        <f t="shared" si="9"/>
        <v>21382.16843229573</v>
      </c>
      <c r="N26" s="271"/>
      <c r="O26" s="271"/>
      <c r="P26" s="271"/>
      <c r="Q26" s="271"/>
      <c r="R26" s="271"/>
      <c r="S26" s="271"/>
      <c r="T26" s="271"/>
    </row>
    <row r="27" spans="1:20" s="230" customFormat="1">
      <c r="A27" s="267">
        <f t="shared" si="10"/>
        <v>44439</v>
      </c>
      <c r="B27" s="269">
        <f t="shared" si="4"/>
        <v>26922.265624999996</v>
      </c>
      <c r="C27" s="289">
        <f>'EV Capex Summary'!$H$57/12+C26</f>
        <v>26922.265624999996</v>
      </c>
      <c r="D27" s="269">
        <f t="shared" si="5"/>
        <v>721.34845458984364</v>
      </c>
      <c r="E27" s="269">
        <f t="shared" si="11"/>
        <v>448.70442708333331</v>
      </c>
      <c r="F27" s="269">
        <f t="shared" si="6"/>
        <v>-5169.6639245605465</v>
      </c>
      <c r="G27" s="269">
        <f t="shared" si="6"/>
        <v>-2019.1699218749998</v>
      </c>
      <c r="H27" s="269">
        <f t="shared" si="2"/>
        <v>21752.601700439449</v>
      </c>
      <c r="I27" s="269">
        <f t="shared" si="2"/>
        <v>24903.095703124996</v>
      </c>
      <c r="J27" s="269">
        <f t="shared" si="7"/>
        <v>3150.4940026855475</v>
      </c>
      <c r="K27" s="269">
        <f t="shared" si="3"/>
        <v>-661.60374056396495</v>
      </c>
      <c r="L27" s="269">
        <f>-K27+K26</f>
        <v>57.255245776367246</v>
      </c>
      <c r="M27" s="270">
        <f t="shared" si="9"/>
        <v>24241.491962561031</v>
      </c>
      <c r="N27" s="271"/>
      <c r="O27" s="271"/>
      <c r="P27" s="271"/>
      <c r="Q27" s="271"/>
      <c r="R27" s="271"/>
      <c r="S27" s="271"/>
      <c r="T27" s="271"/>
    </row>
    <row r="28" spans="1:20" s="230" customFormat="1">
      <c r="A28" s="267">
        <f t="shared" si="10"/>
        <v>44469</v>
      </c>
      <c r="B28" s="269">
        <f t="shared" si="4"/>
        <v>30287.548828124996</v>
      </c>
      <c r="C28" s="289">
        <f>'EV Capex Summary'!$H$57/12+C27</f>
        <v>30287.548828124996</v>
      </c>
      <c r="D28" s="269">
        <f t="shared" ref="D28:D39" si="12">B28*$C$5/12</f>
        <v>618.11839233398439</v>
      </c>
      <c r="E28" s="269">
        <f t="shared" si="11"/>
        <v>504.79248046875</v>
      </c>
      <c r="F28" s="269">
        <f t="shared" si="6"/>
        <v>-5787.7823168945306</v>
      </c>
      <c r="G28" s="269">
        <f t="shared" si="6"/>
        <v>-2523.96240234375</v>
      </c>
      <c r="H28" s="269">
        <f t="shared" si="2"/>
        <v>24499.766511230468</v>
      </c>
      <c r="I28" s="269">
        <f t="shared" si="2"/>
        <v>27763.586425781246</v>
      </c>
      <c r="J28" s="269">
        <f t="shared" si="7"/>
        <v>3263.8199145507788</v>
      </c>
      <c r="K28" s="269">
        <f t="shared" si="3"/>
        <v>-685.4021820556635</v>
      </c>
      <c r="L28" s="269">
        <f>-K28+K27</f>
        <v>23.798441491698554</v>
      </c>
      <c r="M28" s="270">
        <f t="shared" si="9"/>
        <v>27078.184243725584</v>
      </c>
      <c r="N28" s="271"/>
      <c r="O28" s="271"/>
      <c r="P28" s="271"/>
      <c r="Q28" s="271"/>
      <c r="R28" s="271"/>
      <c r="S28" s="271"/>
      <c r="T28" s="271"/>
    </row>
    <row r="29" spans="1:20" s="230" customFormat="1">
      <c r="A29" s="267">
        <f t="shared" si="10"/>
        <v>44500</v>
      </c>
      <c r="B29" s="269">
        <f t="shared" si="4"/>
        <v>33652.832031249993</v>
      </c>
      <c r="C29" s="289">
        <f>'EV Capex Summary'!$H$57/12+C28</f>
        <v>33652.832031249993</v>
      </c>
      <c r="D29" s="269">
        <f t="shared" si="12"/>
        <v>686.79821370442698</v>
      </c>
      <c r="E29" s="269">
        <f t="shared" si="11"/>
        <v>560.88053385416663</v>
      </c>
      <c r="F29" s="269">
        <f t="shared" si="6"/>
        <v>-6474.5805305989579</v>
      </c>
      <c r="G29" s="269">
        <f t="shared" si="6"/>
        <v>-3084.8429361979165</v>
      </c>
      <c r="H29" s="269">
        <f t="shared" si="2"/>
        <v>27178.251500651037</v>
      </c>
      <c r="I29" s="269">
        <f t="shared" si="2"/>
        <v>30567.989095052075</v>
      </c>
      <c r="J29" s="269">
        <f t="shared" si="7"/>
        <v>3389.7375944010382</v>
      </c>
      <c r="K29" s="269">
        <f t="shared" si="3"/>
        <v>-711.84489482421804</v>
      </c>
      <c r="L29" s="269">
        <f t="shared" si="8"/>
        <v>26.442712768554543</v>
      </c>
      <c r="M29" s="270">
        <f t="shared" si="9"/>
        <v>29856.144200227856</v>
      </c>
      <c r="N29" s="271"/>
      <c r="O29" s="271"/>
      <c r="P29" s="271"/>
      <c r="Q29" s="271"/>
      <c r="R29" s="271"/>
      <c r="S29" s="271"/>
      <c r="T29" s="271"/>
    </row>
    <row r="30" spans="1:20" s="230" customFormat="1">
      <c r="A30" s="267">
        <f t="shared" si="10"/>
        <v>44530</v>
      </c>
      <c r="B30" s="269">
        <f t="shared" si="4"/>
        <v>37018.115234374993</v>
      </c>
      <c r="C30" s="289">
        <f>'EV Capex Summary'!$H$57/12+C29</f>
        <v>37018.115234374993</v>
      </c>
      <c r="D30" s="269">
        <f t="shared" si="12"/>
        <v>755.47803507486969</v>
      </c>
      <c r="E30" s="269">
        <f t="shared" si="11"/>
        <v>616.96858723958326</v>
      </c>
      <c r="F30" s="269">
        <f t="shared" si="6"/>
        <v>-7230.0585656738276</v>
      </c>
      <c r="G30" s="269">
        <f t="shared" si="6"/>
        <v>-3701.8115234375</v>
      </c>
      <c r="H30" s="269">
        <f t="shared" si="2"/>
        <v>29788.056668701167</v>
      </c>
      <c r="I30" s="269">
        <f t="shared" si="2"/>
        <v>33316.303710937493</v>
      </c>
      <c r="J30" s="269">
        <f t="shared" si="7"/>
        <v>3528.2470422363258</v>
      </c>
      <c r="K30" s="269">
        <f t="shared" si="3"/>
        <v>-740.93187886962835</v>
      </c>
      <c r="L30" s="269">
        <f t="shared" si="8"/>
        <v>29.086984045410304</v>
      </c>
      <c r="M30" s="270">
        <f t="shared" si="9"/>
        <v>32575.371832067864</v>
      </c>
      <c r="N30" s="271"/>
      <c r="O30" s="271"/>
      <c r="P30" s="271"/>
      <c r="Q30" s="271"/>
      <c r="R30" s="271"/>
      <c r="S30" s="271"/>
      <c r="T30" s="271"/>
    </row>
    <row r="31" spans="1:20" s="230" customFormat="1">
      <c r="A31" s="267">
        <f t="shared" si="10"/>
        <v>44561</v>
      </c>
      <c r="B31" s="269">
        <f t="shared" si="4"/>
        <v>40383.398437499993</v>
      </c>
      <c r="C31" s="289">
        <f>'EV Capex Summary'!$H$57/12+C30</f>
        <v>40383.398437499993</v>
      </c>
      <c r="D31" s="269">
        <f t="shared" si="12"/>
        <v>824.1578564453124</v>
      </c>
      <c r="E31" s="269">
        <f t="shared" si="11"/>
        <v>673.05664062499989</v>
      </c>
      <c r="F31" s="269">
        <f t="shared" si="6"/>
        <v>-8054.2164221191397</v>
      </c>
      <c r="G31" s="269">
        <f t="shared" si="6"/>
        <v>-4374.8681640625</v>
      </c>
      <c r="H31" s="269">
        <f t="shared" si="2"/>
        <v>32329.182015380851</v>
      </c>
      <c r="I31" s="269">
        <f t="shared" si="2"/>
        <v>36008.530273437493</v>
      </c>
      <c r="J31" s="269">
        <f t="shared" si="7"/>
        <v>3679.3482580566415</v>
      </c>
      <c r="K31" s="269">
        <f t="shared" si="3"/>
        <v>-772.66313419189464</v>
      </c>
      <c r="L31" s="269">
        <f t="shared" si="8"/>
        <v>31.731255322266293</v>
      </c>
      <c r="M31" s="270">
        <f t="shared" si="9"/>
        <v>35235.867139245602</v>
      </c>
      <c r="N31" s="271"/>
      <c r="O31" s="271"/>
      <c r="P31" s="271"/>
      <c r="Q31" s="271"/>
      <c r="R31" s="271"/>
      <c r="S31" s="271"/>
      <c r="T31" s="271"/>
    </row>
    <row r="32" spans="1:20" s="230" customFormat="1">
      <c r="A32" s="267">
        <f t="shared" si="10"/>
        <v>44592</v>
      </c>
      <c r="B32" s="269">
        <f>B31</f>
        <v>40383.398437499993</v>
      </c>
      <c r="C32" s="269">
        <f t="shared" ref="C32:C95" si="13">C31</f>
        <v>40383.398437499993</v>
      </c>
      <c r="D32" s="269">
        <f t="shared" si="12"/>
        <v>824.1578564453124</v>
      </c>
      <c r="E32" s="269">
        <f t="shared" si="11"/>
        <v>673.05664062499989</v>
      </c>
      <c r="F32" s="269">
        <f t="shared" si="6"/>
        <v>-8878.3742785644517</v>
      </c>
      <c r="G32" s="269">
        <f t="shared" si="6"/>
        <v>-5047.9248046875</v>
      </c>
      <c r="H32" s="269">
        <f t="shared" si="2"/>
        <v>31505.024158935543</v>
      </c>
      <c r="I32" s="269">
        <f t="shared" si="2"/>
        <v>35335.473632812493</v>
      </c>
      <c r="J32" s="269">
        <f t="shared" si="7"/>
        <v>3830.4494738769499</v>
      </c>
      <c r="K32" s="269">
        <f t="shared" si="3"/>
        <v>-804.39438951415946</v>
      </c>
      <c r="L32" s="269">
        <f t="shared" si="8"/>
        <v>31.731255322264815</v>
      </c>
      <c r="M32" s="270">
        <f t="shared" si="9"/>
        <v>34531.079243298336</v>
      </c>
      <c r="N32" s="271"/>
      <c r="O32" s="271"/>
      <c r="P32" s="271"/>
      <c r="Q32" s="271"/>
      <c r="R32" s="271"/>
      <c r="S32" s="271"/>
      <c r="T32" s="271"/>
    </row>
    <row r="33" spans="1:20" s="230" customFormat="1">
      <c r="A33" s="267">
        <f t="shared" si="10"/>
        <v>44620</v>
      </c>
      <c r="B33" s="269">
        <f t="shared" ref="B33:C96" si="14">B32</f>
        <v>40383.398437499993</v>
      </c>
      <c r="C33" s="269">
        <f t="shared" si="13"/>
        <v>40383.398437499993</v>
      </c>
      <c r="D33" s="269">
        <f t="shared" si="12"/>
        <v>824.1578564453124</v>
      </c>
      <c r="E33" s="269">
        <f t="shared" si="11"/>
        <v>673.05664062499989</v>
      </c>
      <c r="F33" s="269">
        <f t="shared" si="6"/>
        <v>-9702.5321350097638</v>
      </c>
      <c r="G33" s="269">
        <f t="shared" si="6"/>
        <v>-5720.9814453125</v>
      </c>
      <c r="H33" s="269">
        <f t="shared" si="2"/>
        <v>30680.866302490227</v>
      </c>
      <c r="I33" s="269">
        <f t="shared" si="2"/>
        <v>34662.416992187493</v>
      </c>
      <c r="J33" s="269">
        <f t="shared" si="7"/>
        <v>3981.5506896972656</v>
      </c>
      <c r="K33" s="269">
        <f t="shared" si="3"/>
        <v>-836.12564483642575</v>
      </c>
      <c r="L33" s="269">
        <f t="shared" si="8"/>
        <v>31.731255322266293</v>
      </c>
      <c r="M33" s="270">
        <f t="shared" si="9"/>
        <v>33826.291347351063</v>
      </c>
      <c r="N33" s="274"/>
      <c r="O33" s="271"/>
      <c r="P33" s="271"/>
      <c r="Q33" s="271"/>
      <c r="R33" s="271"/>
      <c r="S33" s="271"/>
      <c r="T33" s="271"/>
    </row>
    <row r="34" spans="1:20" s="230" customFormat="1">
      <c r="A34" s="267">
        <f t="shared" si="10"/>
        <v>44651</v>
      </c>
      <c r="B34" s="269">
        <f t="shared" si="14"/>
        <v>40383.398437499993</v>
      </c>
      <c r="C34" s="269">
        <f t="shared" si="13"/>
        <v>40383.398437499993</v>
      </c>
      <c r="D34" s="269">
        <f t="shared" si="12"/>
        <v>824.1578564453124</v>
      </c>
      <c r="E34" s="269">
        <f t="shared" si="11"/>
        <v>673.05664062499989</v>
      </c>
      <c r="F34" s="269">
        <f t="shared" si="6"/>
        <v>-10526.689991455076</v>
      </c>
      <c r="G34" s="269">
        <f t="shared" si="6"/>
        <v>-6394.0380859375</v>
      </c>
      <c r="H34" s="269">
        <f t="shared" si="2"/>
        <v>29856.708446044919</v>
      </c>
      <c r="I34" s="269">
        <f t="shared" si="2"/>
        <v>33989.360351562493</v>
      </c>
      <c r="J34" s="269">
        <f t="shared" si="7"/>
        <v>4132.6519055175741</v>
      </c>
      <c r="K34" s="269">
        <f t="shared" si="3"/>
        <v>-867.85690015869056</v>
      </c>
      <c r="L34" s="269">
        <f t="shared" si="8"/>
        <v>31.731255322264815</v>
      </c>
      <c r="M34" s="270">
        <f t="shared" si="9"/>
        <v>33121.503451403805</v>
      </c>
      <c r="N34" s="274"/>
      <c r="O34" s="271"/>
      <c r="P34" s="271"/>
      <c r="Q34" s="271"/>
      <c r="R34" s="271"/>
      <c r="S34" s="271"/>
      <c r="T34" s="271"/>
    </row>
    <row r="35" spans="1:20" s="230" customFormat="1">
      <c r="A35" s="267">
        <f t="shared" si="10"/>
        <v>44681</v>
      </c>
      <c r="B35" s="269">
        <f t="shared" si="14"/>
        <v>40383.398437499993</v>
      </c>
      <c r="C35" s="269">
        <f t="shared" si="13"/>
        <v>40383.398437499993</v>
      </c>
      <c r="D35" s="269">
        <f t="shared" si="12"/>
        <v>824.1578564453124</v>
      </c>
      <c r="E35" s="269">
        <f t="shared" si="11"/>
        <v>673.05664062499989</v>
      </c>
      <c r="F35" s="269">
        <f t="shared" si="6"/>
        <v>-11350.847847900388</v>
      </c>
      <c r="G35" s="269">
        <f t="shared" si="6"/>
        <v>-7067.0947265625</v>
      </c>
      <c r="H35" s="269">
        <f t="shared" si="2"/>
        <v>29032.550589599603</v>
      </c>
      <c r="I35" s="269">
        <f t="shared" si="2"/>
        <v>33316.303710937493</v>
      </c>
      <c r="J35" s="269">
        <f t="shared" si="7"/>
        <v>4283.7531213378898</v>
      </c>
      <c r="K35" s="269">
        <f t="shared" si="3"/>
        <v>-899.58815548095686</v>
      </c>
      <c r="L35" s="269">
        <f t="shared" si="8"/>
        <v>31.731255322266293</v>
      </c>
      <c r="M35" s="270">
        <f t="shared" si="9"/>
        <v>32416.715555456536</v>
      </c>
      <c r="N35" s="274"/>
      <c r="O35" s="271"/>
      <c r="P35" s="271"/>
      <c r="Q35" s="271"/>
      <c r="R35" s="271"/>
      <c r="S35" s="271"/>
      <c r="T35" s="271"/>
    </row>
    <row r="36" spans="1:20" s="230" customFormat="1">
      <c r="A36" s="267">
        <f t="shared" si="10"/>
        <v>44712</v>
      </c>
      <c r="B36" s="269">
        <f t="shared" si="14"/>
        <v>40383.398437499993</v>
      </c>
      <c r="C36" s="269">
        <f t="shared" si="13"/>
        <v>40383.398437499993</v>
      </c>
      <c r="D36" s="269">
        <f t="shared" si="12"/>
        <v>824.1578564453124</v>
      </c>
      <c r="E36" s="269">
        <f t="shared" si="11"/>
        <v>673.05664062499989</v>
      </c>
      <c r="F36" s="269">
        <f t="shared" si="6"/>
        <v>-12175.0057043457</v>
      </c>
      <c r="G36" s="269">
        <f t="shared" si="6"/>
        <v>-7740.1513671875</v>
      </c>
      <c r="H36" s="269">
        <f t="shared" si="2"/>
        <v>28208.392733154295</v>
      </c>
      <c r="I36" s="269">
        <f t="shared" si="2"/>
        <v>32643.247070312493</v>
      </c>
      <c r="J36" s="269">
        <f t="shared" si="7"/>
        <v>4434.8543371581982</v>
      </c>
      <c r="K36" s="269">
        <f t="shared" si="3"/>
        <v>-931.31941080322156</v>
      </c>
      <c r="L36" s="269">
        <f t="shared" si="8"/>
        <v>31.731255322264701</v>
      </c>
      <c r="M36" s="270">
        <f t="shared" si="9"/>
        <v>31711.927659509271</v>
      </c>
      <c r="N36" s="271"/>
      <c r="O36" s="275"/>
      <c r="P36" s="271"/>
      <c r="Q36" s="271"/>
      <c r="R36" s="271"/>
      <c r="S36" s="271"/>
      <c r="T36" s="271"/>
    </row>
    <row r="37" spans="1:20" s="230" customFormat="1">
      <c r="A37" s="267">
        <f t="shared" si="10"/>
        <v>44742</v>
      </c>
      <c r="B37" s="269">
        <f t="shared" si="14"/>
        <v>40383.398437499993</v>
      </c>
      <c r="C37" s="269">
        <f t="shared" si="13"/>
        <v>40383.398437499993</v>
      </c>
      <c r="D37" s="269">
        <f t="shared" si="12"/>
        <v>824.1578564453124</v>
      </c>
      <c r="E37" s="269">
        <f t="shared" si="11"/>
        <v>673.05664062499989</v>
      </c>
      <c r="F37" s="269">
        <f t="shared" ref="F37:G52" si="15">F36-D37</f>
        <v>-12999.163560791012</v>
      </c>
      <c r="G37" s="269">
        <f t="shared" si="15"/>
        <v>-8413.2080078125</v>
      </c>
      <c r="H37" s="269">
        <f t="shared" si="2"/>
        <v>27384.234876708979</v>
      </c>
      <c r="I37" s="269">
        <f t="shared" si="2"/>
        <v>31970.190429687493</v>
      </c>
      <c r="J37" s="269">
        <f t="shared" si="7"/>
        <v>4585.9555529785139</v>
      </c>
      <c r="K37" s="269">
        <f t="shared" si="3"/>
        <v>-963.05066612548785</v>
      </c>
      <c r="L37" s="269">
        <f t="shared" si="8"/>
        <v>31.731255322266293</v>
      </c>
      <c r="M37" s="270">
        <f t="shared" si="9"/>
        <v>31007.139763562005</v>
      </c>
      <c r="N37" s="271"/>
      <c r="O37" s="275"/>
      <c r="P37" s="271"/>
      <c r="Q37" s="271"/>
      <c r="R37" s="271"/>
      <c r="S37" s="271"/>
      <c r="T37" s="271"/>
    </row>
    <row r="38" spans="1:20" s="230" customFormat="1">
      <c r="A38" s="267">
        <f t="shared" si="10"/>
        <v>44773</v>
      </c>
      <c r="B38" s="269">
        <f t="shared" si="14"/>
        <v>40383.398437499993</v>
      </c>
      <c r="C38" s="269">
        <f t="shared" si="13"/>
        <v>40383.398437499993</v>
      </c>
      <c r="D38" s="269">
        <f t="shared" si="12"/>
        <v>824.1578564453124</v>
      </c>
      <c r="E38" s="269">
        <f t="shared" si="11"/>
        <v>673.05664062499989</v>
      </c>
      <c r="F38" s="269">
        <f t="shared" si="15"/>
        <v>-13823.321417236324</v>
      </c>
      <c r="G38" s="269">
        <f t="shared" si="15"/>
        <v>-9086.2646484375</v>
      </c>
      <c r="H38" s="269">
        <f t="shared" si="2"/>
        <v>26560.07702026367</v>
      </c>
      <c r="I38" s="269">
        <f t="shared" si="2"/>
        <v>31297.133789062493</v>
      </c>
      <c r="J38" s="269">
        <f t="shared" si="7"/>
        <v>4737.0567687988223</v>
      </c>
      <c r="K38" s="269">
        <f t="shared" si="3"/>
        <v>-994.78192144775267</v>
      </c>
      <c r="L38" s="269">
        <f t="shared" si="8"/>
        <v>31.731255322264815</v>
      </c>
      <c r="M38" s="270">
        <f t="shared" si="9"/>
        <v>30302.35186761474</v>
      </c>
      <c r="N38" s="271"/>
      <c r="O38" s="275"/>
      <c r="P38" s="271"/>
      <c r="Q38" s="271"/>
      <c r="R38" s="271"/>
      <c r="S38" s="271"/>
      <c r="T38" s="271"/>
    </row>
    <row r="39" spans="1:20" s="230" customFormat="1">
      <c r="A39" s="267">
        <f t="shared" si="10"/>
        <v>44804</v>
      </c>
      <c r="B39" s="269">
        <f t="shared" si="14"/>
        <v>40383.398437499993</v>
      </c>
      <c r="C39" s="269">
        <f t="shared" si="13"/>
        <v>40383.398437499993</v>
      </c>
      <c r="D39" s="269">
        <f t="shared" si="12"/>
        <v>824.1578564453124</v>
      </c>
      <c r="E39" s="269">
        <f t="shared" si="11"/>
        <v>673.05664062499989</v>
      </c>
      <c r="F39" s="269">
        <f t="shared" si="15"/>
        <v>-14647.479273681636</v>
      </c>
      <c r="G39" s="269">
        <f t="shared" si="15"/>
        <v>-9759.3212890625</v>
      </c>
      <c r="H39" s="269">
        <f t="shared" ref="H39:I74" si="16">B39+F39</f>
        <v>25735.919163818355</v>
      </c>
      <c r="I39" s="269">
        <f t="shared" si="16"/>
        <v>30624.077148437493</v>
      </c>
      <c r="J39" s="269">
        <f t="shared" si="7"/>
        <v>4888.157984619138</v>
      </c>
      <c r="K39" s="269">
        <f t="shared" si="3"/>
        <v>-1026.5131767700188</v>
      </c>
      <c r="L39" s="269">
        <f t="shared" si="8"/>
        <v>31.731255322266179</v>
      </c>
      <c r="M39" s="270">
        <f t="shared" si="9"/>
        <v>29597.563971667474</v>
      </c>
      <c r="N39" s="271"/>
      <c r="O39" s="275"/>
      <c r="P39" s="271"/>
      <c r="Q39" s="271"/>
      <c r="R39" s="271"/>
      <c r="S39" s="271"/>
      <c r="T39" s="271"/>
    </row>
    <row r="40" spans="1:20" s="230" customFormat="1">
      <c r="A40" s="267">
        <f t="shared" si="10"/>
        <v>44834</v>
      </c>
      <c r="B40" s="269">
        <f t="shared" si="14"/>
        <v>40383.398437499993</v>
      </c>
      <c r="C40" s="269">
        <f t="shared" si="13"/>
        <v>40383.398437499993</v>
      </c>
      <c r="D40" s="269">
        <f>B40*$D$5/12</f>
        <v>588.5880322265624</v>
      </c>
      <c r="E40" s="269">
        <f t="shared" si="11"/>
        <v>673.05664062499989</v>
      </c>
      <c r="F40" s="269">
        <f t="shared" si="15"/>
        <v>-15236.067305908198</v>
      </c>
      <c r="G40" s="269">
        <f t="shared" si="15"/>
        <v>-10432.3779296875</v>
      </c>
      <c r="H40" s="269">
        <f t="shared" si="16"/>
        <v>25147.331131591796</v>
      </c>
      <c r="I40" s="269">
        <f t="shared" si="16"/>
        <v>29951.020507812493</v>
      </c>
      <c r="J40" s="269">
        <f t="shared" si="7"/>
        <v>4803.6893762206964</v>
      </c>
      <c r="K40" s="269">
        <f t="shared" si="3"/>
        <v>-1008.7747690063462</v>
      </c>
      <c r="L40" s="269">
        <f t="shared" si="8"/>
        <v>-17.738407763672626</v>
      </c>
      <c r="M40" s="270">
        <f t="shared" si="9"/>
        <v>28942.245738806145</v>
      </c>
      <c r="N40" s="271"/>
      <c r="O40" s="275"/>
      <c r="P40" s="271"/>
      <c r="Q40" s="271"/>
      <c r="R40" s="271"/>
      <c r="S40" s="271"/>
      <c r="T40" s="271"/>
    </row>
    <row r="41" spans="1:20" s="230" customFormat="1">
      <c r="A41" s="267">
        <f t="shared" si="10"/>
        <v>44865</v>
      </c>
      <c r="B41" s="269">
        <f t="shared" si="14"/>
        <v>40383.398437499993</v>
      </c>
      <c r="C41" s="269">
        <f t="shared" si="13"/>
        <v>40383.398437499993</v>
      </c>
      <c r="D41" s="269">
        <f t="shared" ref="D41:D51" si="17">B41*$D$5/12</f>
        <v>588.5880322265624</v>
      </c>
      <c r="E41" s="269">
        <f t="shared" si="11"/>
        <v>673.05664062499989</v>
      </c>
      <c r="F41" s="269">
        <f t="shared" si="15"/>
        <v>-15824.65533813476</v>
      </c>
      <c r="G41" s="269">
        <f t="shared" si="15"/>
        <v>-11105.4345703125</v>
      </c>
      <c r="H41" s="269">
        <f t="shared" si="16"/>
        <v>24558.743099365231</v>
      </c>
      <c r="I41" s="269">
        <f t="shared" si="16"/>
        <v>29277.963867187493</v>
      </c>
      <c r="J41" s="269">
        <f t="shared" si="7"/>
        <v>4719.2207678222621</v>
      </c>
      <c r="K41" s="269">
        <f t="shared" si="3"/>
        <v>-991.03636124267496</v>
      </c>
      <c r="L41" s="269">
        <f t="shared" si="8"/>
        <v>-17.738407763671262</v>
      </c>
      <c r="M41" s="270">
        <f t="shared" si="9"/>
        <v>28286.927505944819</v>
      </c>
      <c r="N41" s="271"/>
      <c r="O41" s="275"/>
      <c r="P41" s="271"/>
      <c r="Q41" s="271"/>
      <c r="R41" s="271"/>
      <c r="S41" s="271"/>
      <c r="T41" s="271"/>
    </row>
    <row r="42" spans="1:20" s="230" customFormat="1">
      <c r="A42" s="267">
        <f t="shared" si="10"/>
        <v>44895</v>
      </c>
      <c r="B42" s="269">
        <f t="shared" si="14"/>
        <v>40383.398437499993</v>
      </c>
      <c r="C42" s="269">
        <f t="shared" si="13"/>
        <v>40383.398437499993</v>
      </c>
      <c r="D42" s="269">
        <f t="shared" si="17"/>
        <v>588.5880322265624</v>
      </c>
      <c r="E42" s="269">
        <f t="shared" si="11"/>
        <v>673.05664062499989</v>
      </c>
      <c r="F42" s="269">
        <f t="shared" si="15"/>
        <v>-16413.243370361324</v>
      </c>
      <c r="G42" s="269">
        <f t="shared" si="15"/>
        <v>-11778.4912109375</v>
      </c>
      <c r="H42" s="269">
        <f t="shared" si="16"/>
        <v>23970.155067138669</v>
      </c>
      <c r="I42" s="269">
        <f t="shared" si="16"/>
        <v>28604.907226562493</v>
      </c>
      <c r="J42" s="269">
        <f t="shared" si="7"/>
        <v>4634.7521594238242</v>
      </c>
      <c r="K42" s="269">
        <f t="shared" si="3"/>
        <v>-973.29795347900301</v>
      </c>
      <c r="L42" s="269">
        <f t="shared" si="8"/>
        <v>-17.738407763671944</v>
      </c>
      <c r="M42" s="270">
        <f t="shared" si="9"/>
        <v>27631.60927308349</v>
      </c>
      <c r="N42" s="271"/>
      <c r="O42" s="275"/>
      <c r="P42" s="271"/>
      <c r="Q42" s="271"/>
      <c r="R42" s="271"/>
      <c r="S42" s="271"/>
      <c r="T42" s="271"/>
    </row>
    <row r="43" spans="1:20" s="230" customFormat="1">
      <c r="A43" s="267">
        <f t="shared" si="10"/>
        <v>44926</v>
      </c>
      <c r="B43" s="269">
        <f t="shared" si="14"/>
        <v>40383.398437499993</v>
      </c>
      <c r="C43" s="269">
        <f t="shared" si="13"/>
        <v>40383.398437499993</v>
      </c>
      <c r="D43" s="269">
        <f t="shared" si="17"/>
        <v>588.5880322265624</v>
      </c>
      <c r="E43" s="269">
        <f t="shared" si="11"/>
        <v>673.05664062499989</v>
      </c>
      <c r="F43" s="269">
        <f t="shared" si="15"/>
        <v>-17001.831402587886</v>
      </c>
      <c r="G43" s="269">
        <f t="shared" si="15"/>
        <v>-12451.5478515625</v>
      </c>
      <c r="H43" s="269">
        <f t="shared" si="16"/>
        <v>23381.567034912106</v>
      </c>
      <c r="I43" s="269">
        <f t="shared" si="16"/>
        <v>27931.850585937493</v>
      </c>
      <c r="J43" s="269">
        <f t="shared" si="7"/>
        <v>4550.2835510253863</v>
      </c>
      <c r="K43" s="269">
        <f t="shared" si="3"/>
        <v>-955.55954571533107</v>
      </c>
      <c r="L43" s="269">
        <f t="shared" si="8"/>
        <v>-17.738407763671944</v>
      </c>
      <c r="M43" s="270">
        <f t="shared" si="9"/>
        <v>26976.291040222161</v>
      </c>
      <c r="N43" s="271"/>
      <c r="O43" s="275"/>
      <c r="P43" s="271"/>
      <c r="Q43" s="271"/>
      <c r="R43" s="271"/>
      <c r="S43" s="271"/>
      <c r="T43" s="271"/>
    </row>
    <row r="44" spans="1:20" s="230" customFormat="1">
      <c r="A44" s="267">
        <f t="shared" si="10"/>
        <v>44957</v>
      </c>
      <c r="B44" s="269">
        <f t="shared" si="14"/>
        <v>40383.398437499993</v>
      </c>
      <c r="C44" s="269">
        <f t="shared" si="13"/>
        <v>40383.398437499993</v>
      </c>
      <c r="D44" s="269">
        <f t="shared" si="17"/>
        <v>588.5880322265624</v>
      </c>
      <c r="E44" s="269">
        <f t="shared" si="11"/>
        <v>673.05664062499989</v>
      </c>
      <c r="F44" s="269">
        <f t="shared" si="15"/>
        <v>-17590.419434814448</v>
      </c>
      <c r="G44" s="269">
        <f t="shared" si="15"/>
        <v>-13124.6044921875</v>
      </c>
      <c r="H44" s="269">
        <f t="shared" si="16"/>
        <v>22792.979002685544</v>
      </c>
      <c r="I44" s="269">
        <f t="shared" si="16"/>
        <v>27258.793945312493</v>
      </c>
      <c r="J44" s="269">
        <f t="shared" si="7"/>
        <v>4465.8149426269483</v>
      </c>
      <c r="K44" s="269">
        <f t="shared" si="3"/>
        <v>-937.82113795165913</v>
      </c>
      <c r="L44" s="269">
        <f t="shared" si="8"/>
        <v>-17.738407763671944</v>
      </c>
      <c r="M44" s="270">
        <f t="shared" si="9"/>
        <v>26320.972807360835</v>
      </c>
      <c r="N44" s="271"/>
      <c r="O44" s="275"/>
      <c r="P44" s="271"/>
      <c r="Q44" s="271"/>
      <c r="R44" s="271"/>
      <c r="S44" s="271"/>
      <c r="T44" s="271"/>
    </row>
    <row r="45" spans="1:20" s="230" customFormat="1">
      <c r="A45" s="267">
        <f t="shared" si="10"/>
        <v>44985</v>
      </c>
      <c r="B45" s="269">
        <f t="shared" si="14"/>
        <v>40383.398437499993</v>
      </c>
      <c r="C45" s="269">
        <f t="shared" si="13"/>
        <v>40383.398437499993</v>
      </c>
      <c r="D45" s="269">
        <f t="shared" si="17"/>
        <v>588.5880322265624</v>
      </c>
      <c r="E45" s="269">
        <f t="shared" si="11"/>
        <v>673.05664062499989</v>
      </c>
      <c r="F45" s="269">
        <f t="shared" si="15"/>
        <v>-18179.00746704101</v>
      </c>
      <c r="G45" s="269">
        <f t="shared" si="15"/>
        <v>-13797.6611328125</v>
      </c>
      <c r="H45" s="269">
        <f t="shared" si="16"/>
        <v>22204.390970458982</v>
      </c>
      <c r="I45" s="269">
        <f t="shared" si="16"/>
        <v>26585.737304687493</v>
      </c>
      <c r="J45" s="269">
        <f t="shared" si="7"/>
        <v>4381.3463342285104</v>
      </c>
      <c r="K45" s="269">
        <f t="shared" si="3"/>
        <v>-920.08273018798718</v>
      </c>
      <c r="L45" s="269">
        <f t="shared" si="8"/>
        <v>-17.738407763671944</v>
      </c>
      <c r="M45" s="270">
        <f t="shared" si="9"/>
        <v>25665.654574499506</v>
      </c>
      <c r="N45" s="271"/>
      <c r="O45" s="275"/>
      <c r="P45" s="271"/>
      <c r="Q45" s="271"/>
      <c r="R45" s="271"/>
      <c r="S45" s="271"/>
      <c r="T45" s="271"/>
    </row>
    <row r="46" spans="1:20" s="230" customFormat="1">
      <c r="A46" s="267">
        <f t="shared" si="10"/>
        <v>45016</v>
      </c>
      <c r="B46" s="269">
        <f t="shared" si="14"/>
        <v>40383.398437499993</v>
      </c>
      <c r="C46" s="269">
        <f t="shared" si="13"/>
        <v>40383.398437499993</v>
      </c>
      <c r="D46" s="269">
        <f t="shared" si="17"/>
        <v>588.5880322265624</v>
      </c>
      <c r="E46" s="269">
        <f t="shared" si="11"/>
        <v>673.05664062499989</v>
      </c>
      <c r="F46" s="269">
        <f t="shared" si="15"/>
        <v>-18767.595499267572</v>
      </c>
      <c r="G46" s="269">
        <f t="shared" si="15"/>
        <v>-14470.7177734375</v>
      </c>
      <c r="H46" s="269">
        <f t="shared" si="16"/>
        <v>21615.80293823242</v>
      </c>
      <c r="I46" s="269">
        <f t="shared" si="16"/>
        <v>25912.680664062493</v>
      </c>
      <c r="J46" s="269">
        <f t="shared" si="7"/>
        <v>4296.8777258300724</v>
      </c>
      <c r="K46" s="269">
        <f t="shared" si="3"/>
        <v>-902.34432242431524</v>
      </c>
      <c r="L46" s="269">
        <f t="shared" si="8"/>
        <v>-17.738407763671944</v>
      </c>
      <c r="M46" s="270">
        <f t="shared" si="9"/>
        <v>25010.336341638176</v>
      </c>
      <c r="N46" s="271"/>
      <c r="O46" s="275"/>
      <c r="P46" s="271"/>
      <c r="Q46" s="271"/>
      <c r="R46" s="271"/>
      <c r="S46" s="271"/>
      <c r="T46" s="271"/>
    </row>
    <row r="47" spans="1:20" s="230" customFormat="1">
      <c r="A47" s="267">
        <f t="shared" si="10"/>
        <v>45046</v>
      </c>
      <c r="B47" s="269">
        <f t="shared" si="14"/>
        <v>40383.398437499993</v>
      </c>
      <c r="C47" s="269">
        <f t="shared" si="13"/>
        <v>40383.398437499993</v>
      </c>
      <c r="D47" s="269">
        <f t="shared" si="17"/>
        <v>588.5880322265624</v>
      </c>
      <c r="E47" s="269">
        <f t="shared" si="11"/>
        <v>673.05664062499989</v>
      </c>
      <c r="F47" s="269">
        <f t="shared" si="15"/>
        <v>-19356.183531494135</v>
      </c>
      <c r="G47" s="269">
        <f t="shared" si="15"/>
        <v>-15143.7744140625</v>
      </c>
      <c r="H47" s="269">
        <f t="shared" si="16"/>
        <v>21027.214906005858</v>
      </c>
      <c r="I47" s="269">
        <f t="shared" si="16"/>
        <v>25239.624023437493</v>
      </c>
      <c r="J47" s="269">
        <f t="shared" si="7"/>
        <v>4212.4091174316345</v>
      </c>
      <c r="K47" s="269">
        <f t="shared" si="3"/>
        <v>-884.60591466064318</v>
      </c>
      <c r="L47" s="269">
        <f t="shared" si="8"/>
        <v>-17.738407763672058</v>
      </c>
      <c r="M47" s="270">
        <f t="shared" si="9"/>
        <v>24355.018108776851</v>
      </c>
      <c r="N47" s="271"/>
      <c r="O47" s="275"/>
      <c r="P47" s="271"/>
      <c r="Q47" s="271"/>
      <c r="R47" s="271"/>
      <c r="S47" s="271"/>
      <c r="T47" s="271"/>
    </row>
    <row r="48" spans="1:20" s="230" customFormat="1">
      <c r="A48" s="267">
        <f t="shared" si="10"/>
        <v>45077</v>
      </c>
      <c r="B48" s="269">
        <f t="shared" si="14"/>
        <v>40383.398437499993</v>
      </c>
      <c r="C48" s="269">
        <f t="shared" si="13"/>
        <v>40383.398437499993</v>
      </c>
      <c r="D48" s="269">
        <f t="shared" si="17"/>
        <v>588.5880322265624</v>
      </c>
      <c r="E48" s="269">
        <f t="shared" si="11"/>
        <v>673.05664062499989</v>
      </c>
      <c r="F48" s="269">
        <f t="shared" si="15"/>
        <v>-19944.771563720697</v>
      </c>
      <c r="G48" s="269">
        <f t="shared" si="15"/>
        <v>-15816.8310546875</v>
      </c>
      <c r="H48" s="269">
        <f t="shared" si="16"/>
        <v>20438.626873779296</v>
      </c>
      <c r="I48" s="269">
        <f t="shared" si="16"/>
        <v>24566.567382812493</v>
      </c>
      <c r="J48" s="269">
        <f t="shared" si="7"/>
        <v>4127.9405090331966</v>
      </c>
      <c r="K48" s="269">
        <f t="shared" si="3"/>
        <v>-866.86750689697124</v>
      </c>
      <c r="L48" s="269">
        <f t="shared" si="8"/>
        <v>-17.738407763671944</v>
      </c>
      <c r="M48" s="270">
        <f t="shared" si="9"/>
        <v>23699.699875915521</v>
      </c>
      <c r="N48" s="271"/>
      <c r="O48" s="275"/>
      <c r="P48" s="271"/>
      <c r="Q48" s="271"/>
      <c r="R48" s="271"/>
      <c r="S48" s="271"/>
      <c r="T48" s="271"/>
    </row>
    <row r="49" spans="1:20" s="230" customFormat="1">
      <c r="A49" s="267">
        <f t="shared" si="10"/>
        <v>45107</v>
      </c>
      <c r="B49" s="269">
        <f t="shared" si="14"/>
        <v>40383.398437499993</v>
      </c>
      <c r="C49" s="269">
        <f t="shared" si="13"/>
        <v>40383.398437499993</v>
      </c>
      <c r="D49" s="269">
        <f t="shared" si="17"/>
        <v>588.5880322265624</v>
      </c>
      <c r="E49" s="269">
        <f t="shared" si="11"/>
        <v>673.05664062499989</v>
      </c>
      <c r="F49" s="269">
        <f t="shared" si="15"/>
        <v>-20533.359595947259</v>
      </c>
      <c r="G49" s="269">
        <f t="shared" si="15"/>
        <v>-16489.8876953125</v>
      </c>
      <c r="H49" s="269">
        <f t="shared" si="16"/>
        <v>19850.038841552734</v>
      </c>
      <c r="I49" s="269">
        <f t="shared" si="16"/>
        <v>23893.510742187493</v>
      </c>
      <c r="J49" s="269">
        <f t="shared" si="7"/>
        <v>4043.4719006347586</v>
      </c>
      <c r="K49" s="269">
        <f t="shared" si="3"/>
        <v>-849.12909913329929</v>
      </c>
      <c r="L49" s="269">
        <f t="shared" si="8"/>
        <v>-17.738407763671944</v>
      </c>
      <c r="M49" s="270">
        <f t="shared" si="9"/>
        <v>23044.381643054192</v>
      </c>
      <c r="N49" s="271"/>
      <c r="O49" s="275"/>
      <c r="P49" s="271"/>
      <c r="Q49" s="271"/>
      <c r="R49" s="271"/>
      <c r="S49" s="271"/>
      <c r="T49" s="271"/>
    </row>
    <row r="50" spans="1:20" s="230" customFormat="1">
      <c r="A50" s="267">
        <f t="shared" si="10"/>
        <v>45138</v>
      </c>
      <c r="B50" s="269">
        <f t="shared" si="14"/>
        <v>40383.398437499993</v>
      </c>
      <c r="C50" s="269">
        <f t="shared" si="13"/>
        <v>40383.398437499993</v>
      </c>
      <c r="D50" s="269">
        <f t="shared" si="17"/>
        <v>588.5880322265624</v>
      </c>
      <c r="E50" s="269">
        <f t="shared" si="11"/>
        <v>673.05664062499989</v>
      </c>
      <c r="F50" s="269">
        <f t="shared" si="15"/>
        <v>-21121.947628173821</v>
      </c>
      <c r="G50" s="269">
        <f t="shared" si="15"/>
        <v>-17162.9443359375</v>
      </c>
      <c r="H50" s="269">
        <f t="shared" si="16"/>
        <v>19261.450809326172</v>
      </c>
      <c r="I50" s="269">
        <f t="shared" si="16"/>
        <v>23220.454101562493</v>
      </c>
      <c r="J50" s="269">
        <f t="shared" si="7"/>
        <v>3959.0032922363207</v>
      </c>
      <c r="K50" s="269">
        <f t="shared" si="3"/>
        <v>-831.39069136962735</v>
      </c>
      <c r="L50" s="269">
        <f t="shared" si="8"/>
        <v>-17.738407763671944</v>
      </c>
      <c r="M50" s="270">
        <f t="shared" si="9"/>
        <v>22389.063410192866</v>
      </c>
      <c r="N50" s="271"/>
      <c r="O50" s="275"/>
      <c r="P50" s="271"/>
      <c r="Q50" s="271"/>
      <c r="R50" s="271"/>
      <c r="S50" s="271"/>
      <c r="T50" s="271"/>
    </row>
    <row r="51" spans="1:20" s="230" customFormat="1">
      <c r="A51" s="267">
        <f t="shared" si="10"/>
        <v>45169</v>
      </c>
      <c r="B51" s="269">
        <f t="shared" si="14"/>
        <v>40383.398437499993</v>
      </c>
      <c r="C51" s="269">
        <f t="shared" si="13"/>
        <v>40383.398437499993</v>
      </c>
      <c r="D51" s="269">
        <f t="shared" si="17"/>
        <v>588.5880322265624</v>
      </c>
      <c r="E51" s="269">
        <f t="shared" si="11"/>
        <v>673.05664062499989</v>
      </c>
      <c r="F51" s="269">
        <f t="shared" si="15"/>
        <v>-21710.535660400383</v>
      </c>
      <c r="G51" s="269">
        <f t="shared" si="15"/>
        <v>-17836.0009765625</v>
      </c>
      <c r="H51" s="269">
        <f t="shared" si="16"/>
        <v>18672.86277709961</v>
      </c>
      <c r="I51" s="269">
        <f t="shared" si="16"/>
        <v>22547.397460937493</v>
      </c>
      <c r="J51" s="269">
        <f t="shared" si="7"/>
        <v>3874.5346838378828</v>
      </c>
      <c r="K51" s="269">
        <f t="shared" si="3"/>
        <v>-813.6522836059554</v>
      </c>
      <c r="L51" s="269">
        <f t="shared" si="8"/>
        <v>-17.738407763671944</v>
      </c>
      <c r="M51" s="270">
        <f t="shared" si="9"/>
        <v>21733.745177331537</v>
      </c>
      <c r="N51" s="271"/>
      <c r="O51" s="275"/>
      <c r="P51" s="271"/>
      <c r="Q51" s="271"/>
      <c r="R51" s="271"/>
      <c r="S51" s="271"/>
      <c r="T51" s="271"/>
    </row>
    <row r="52" spans="1:20" s="230" customFormat="1">
      <c r="A52" s="267">
        <f t="shared" si="10"/>
        <v>45199</v>
      </c>
      <c r="B52" s="269">
        <f t="shared" si="14"/>
        <v>40383.398437499993</v>
      </c>
      <c r="C52" s="269">
        <f t="shared" si="13"/>
        <v>40383.398437499993</v>
      </c>
      <c r="D52" s="269">
        <f>B52*$E$5/12</f>
        <v>420.32387207031246</v>
      </c>
      <c r="E52" s="269">
        <f t="shared" si="11"/>
        <v>673.05664062499989</v>
      </c>
      <c r="F52" s="269">
        <f t="shared" si="15"/>
        <v>-22130.859532470695</v>
      </c>
      <c r="G52" s="269">
        <f t="shared" si="15"/>
        <v>-18509.0576171875</v>
      </c>
      <c r="H52" s="269">
        <f t="shared" si="16"/>
        <v>18252.538905029298</v>
      </c>
      <c r="I52" s="269">
        <f t="shared" si="16"/>
        <v>21874.340820312493</v>
      </c>
      <c r="J52" s="269">
        <f t="shared" si="7"/>
        <v>3621.8019152831948</v>
      </c>
      <c r="K52" s="269">
        <f t="shared" ref="K52:K83" si="18">-J52*$K$15</f>
        <v>-760.57840220947094</v>
      </c>
      <c r="L52" s="269">
        <f t="shared" si="8"/>
        <v>-53.073881396484467</v>
      </c>
      <c r="M52" s="270">
        <f t="shared" si="9"/>
        <v>21113.762418103022</v>
      </c>
      <c r="N52" s="271"/>
      <c r="O52" s="275"/>
      <c r="P52" s="271"/>
      <c r="Q52" s="271"/>
      <c r="R52" s="271"/>
      <c r="S52" s="271"/>
      <c r="T52" s="271"/>
    </row>
    <row r="53" spans="1:20" s="230" customFormat="1">
      <c r="A53" s="267">
        <f t="shared" si="10"/>
        <v>45230</v>
      </c>
      <c r="B53" s="269">
        <f t="shared" si="14"/>
        <v>40383.398437499993</v>
      </c>
      <c r="C53" s="269">
        <f t="shared" si="13"/>
        <v>40383.398437499993</v>
      </c>
      <c r="D53" s="269">
        <f t="shared" ref="D53:D63" si="19">B53*$E$5/12</f>
        <v>420.32387207031246</v>
      </c>
      <c r="E53" s="269">
        <f t="shared" si="11"/>
        <v>673.05664062499989</v>
      </c>
      <c r="F53" s="269">
        <f t="shared" ref="F53:G68" si="20">F52-D53</f>
        <v>-22551.183404541007</v>
      </c>
      <c r="G53" s="269">
        <f t="shared" si="20"/>
        <v>-19182.1142578125</v>
      </c>
      <c r="H53" s="269">
        <f t="shared" si="16"/>
        <v>17832.215032958986</v>
      </c>
      <c r="I53" s="269">
        <f t="shared" si="16"/>
        <v>21201.284179687493</v>
      </c>
      <c r="J53" s="269">
        <f t="shared" si="7"/>
        <v>3369.0691467285069</v>
      </c>
      <c r="K53" s="269">
        <f t="shared" si="18"/>
        <v>-707.50452081298647</v>
      </c>
      <c r="L53" s="269">
        <f t="shared" si="8"/>
        <v>-53.073881396484467</v>
      </c>
      <c r="M53" s="270">
        <f t="shared" si="9"/>
        <v>20493.779658874508</v>
      </c>
      <c r="N53" s="271"/>
      <c r="O53" s="275"/>
      <c r="P53" s="271"/>
      <c r="Q53" s="271"/>
      <c r="R53" s="271"/>
      <c r="S53" s="271"/>
      <c r="T53" s="271"/>
    </row>
    <row r="54" spans="1:20" s="230" customFormat="1">
      <c r="A54" s="267">
        <f t="shared" si="10"/>
        <v>45260</v>
      </c>
      <c r="B54" s="269">
        <f t="shared" si="14"/>
        <v>40383.398437499993</v>
      </c>
      <c r="C54" s="269">
        <f t="shared" si="13"/>
        <v>40383.398437499993</v>
      </c>
      <c r="D54" s="269">
        <f t="shared" si="19"/>
        <v>420.32387207031246</v>
      </c>
      <c r="E54" s="269">
        <f t="shared" si="11"/>
        <v>673.05664062499989</v>
      </c>
      <c r="F54" s="269">
        <f t="shared" si="20"/>
        <v>-22971.507276611319</v>
      </c>
      <c r="G54" s="269">
        <f t="shared" si="20"/>
        <v>-19855.1708984375</v>
      </c>
      <c r="H54" s="269">
        <f t="shared" si="16"/>
        <v>17411.891160888674</v>
      </c>
      <c r="I54" s="269">
        <f t="shared" si="16"/>
        <v>20528.227539062493</v>
      </c>
      <c r="J54" s="269">
        <f t="shared" si="7"/>
        <v>3116.336378173819</v>
      </c>
      <c r="K54" s="269">
        <f t="shared" si="18"/>
        <v>-654.430639416502</v>
      </c>
      <c r="L54" s="269">
        <f t="shared" si="8"/>
        <v>-53.073881396484467</v>
      </c>
      <c r="M54" s="270">
        <f t="shared" si="9"/>
        <v>19873.796899645989</v>
      </c>
      <c r="N54" s="271"/>
      <c r="O54" s="275"/>
      <c r="P54" s="271"/>
      <c r="Q54" s="271"/>
      <c r="R54" s="271"/>
      <c r="S54" s="271"/>
      <c r="T54" s="271"/>
    </row>
    <row r="55" spans="1:20" s="230" customFormat="1">
      <c r="A55" s="267">
        <f t="shared" si="10"/>
        <v>45291</v>
      </c>
      <c r="B55" s="269">
        <f t="shared" si="14"/>
        <v>40383.398437499993</v>
      </c>
      <c r="C55" s="269">
        <f t="shared" si="13"/>
        <v>40383.398437499993</v>
      </c>
      <c r="D55" s="269">
        <f t="shared" si="19"/>
        <v>420.32387207031246</v>
      </c>
      <c r="E55" s="269">
        <f t="shared" si="11"/>
        <v>673.05664062499989</v>
      </c>
      <c r="F55" s="269">
        <f t="shared" si="20"/>
        <v>-23391.831148681631</v>
      </c>
      <c r="G55" s="269">
        <f t="shared" si="20"/>
        <v>-20528.2275390625</v>
      </c>
      <c r="H55" s="269">
        <f t="shared" si="16"/>
        <v>16991.567288818362</v>
      </c>
      <c r="I55" s="269">
        <f t="shared" si="16"/>
        <v>19855.170898437493</v>
      </c>
      <c r="J55" s="269">
        <f t="shared" si="7"/>
        <v>2863.603609619131</v>
      </c>
      <c r="K55" s="269">
        <f t="shared" si="18"/>
        <v>-601.35675802001754</v>
      </c>
      <c r="L55" s="269">
        <f t="shared" si="8"/>
        <v>-53.073881396484467</v>
      </c>
      <c r="M55" s="270">
        <f t="shared" si="9"/>
        <v>19253.814140417475</v>
      </c>
      <c r="N55" s="271"/>
      <c r="O55" s="275"/>
      <c r="P55" s="271"/>
      <c r="Q55" s="271"/>
      <c r="R55" s="271"/>
      <c r="S55" s="271"/>
      <c r="T55" s="271"/>
    </row>
    <row r="56" spans="1:20" s="230" customFormat="1">
      <c r="A56" s="267">
        <f t="shared" si="10"/>
        <v>45322</v>
      </c>
      <c r="B56" s="269">
        <f t="shared" si="14"/>
        <v>40383.398437499993</v>
      </c>
      <c r="C56" s="269">
        <f t="shared" si="13"/>
        <v>40383.398437499993</v>
      </c>
      <c r="D56" s="269">
        <f t="shared" si="19"/>
        <v>420.32387207031246</v>
      </c>
      <c r="E56" s="269">
        <f t="shared" si="11"/>
        <v>673.05664062499989</v>
      </c>
      <c r="F56" s="269">
        <f t="shared" si="20"/>
        <v>-23812.155020751943</v>
      </c>
      <c r="G56" s="269">
        <f t="shared" si="20"/>
        <v>-21201.2841796875</v>
      </c>
      <c r="H56" s="269">
        <f t="shared" si="16"/>
        <v>16571.24341674805</v>
      </c>
      <c r="I56" s="269">
        <f t="shared" si="16"/>
        <v>19182.114257812493</v>
      </c>
      <c r="J56" s="269">
        <f t="shared" si="7"/>
        <v>2610.8708410644431</v>
      </c>
      <c r="K56" s="269">
        <f t="shared" si="18"/>
        <v>-548.28287662353307</v>
      </c>
      <c r="L56" s="269">
        <f t="shared" si="8"/>
        <v>-53.073881396484467</v>
      </c>
      <c r="M56" s="270">
        <f t="shared" si="9"/>
        <v>18633.83138118896</v>
      </c>
      <c r="N56" s="271"/>
      <c r="O56" s="275"/>
      <c r="P56" s="271"/>
      <c r="Q56" s="271"/>
      <c r="R56" s="271"/>
      <c r="S56" s="271"/>
      <c r="T56" s="271"/>
    </row>
    <row r="57" spans="1:20" s="230" customFormat="1">
      <c r="A57" s="267">
        <f t="shared" si="10"/>
        <v>45351</v>
      </c>
      <c r="B57" s="269">
        <f t="shared" si="14"/>
        <v>40383.398437499993</v>
      </c>
      <c r="C57" s="269">
        <f t="shared" si="13"/>
        <v>40383.398437499993</v>
      </c>
      <c r="D57" s="269">
        <f t="shared" si="19"/>
        <v>420.32387207031246</v>
      </c>
      <c r="E57" s="269">
        <f t="shared" si="11"/>
        <v>673.05664062499989</v>
      </c>
      <c r="F57" s="269">
        <f t="shared" si="20"/>
        <v>-24232.478892822255</v>
      </c>
      <c r="G57" s="269">
        <f t="shared" si="20"/>
        <v>-21874.3408203125</v>
      </c>
      <c r="H57" s="269">
        <f t="shared" si="16"/>
        <v>16150.919544677738</v>
      </c>
      <c r="I57" s="269">
        <f t="shared" si="16"/>
        <v>18509.057617187493</v>
      </c>
      <c r="J57" s="269">
        <f t="shared" si="7"/>
        <v>2358.1380725097551</v>
      </c>
      <c r="K57" s="269">
        <f t="shared" si="18"/>
        <v>-495.20899522704855</v>
      </c>
      <c r="L57" s="269">
        <f t="shared" si="8"/>
        <v>-53.073881396484524</v>
      </c>
      <c r="M57" s="270">
        <f t="shared" si="9"/>
        <v>18013.848621960446</v>
      </c>
      <c r="N57" s="271"/>
      <c r="O57" s="275"/>
      <c r="P57" s="271"/>
      <c r="Q57" s="271"/>
      <c r="R57" s="271"/>
      <c r="S57" s="271"/>
      <c r="T57" s="271"/>
    </row>
    <row r="58" spans="1:20" s="230" customFormat="1">
      <c r="A58" s="267">
        <f t="shared" si="10"/>
        <v>45382</v>
      </c>
      <c r="B58" s="269">
        <f t="shared" si="14"/>
        <v>40383.398437499993</v>
      </c>
      <c r="C58" s="269">
        <f t="shared" si="13"/>
        <v>40383.398437499993</v>
      </c>
      <c r="D58" s="269">
        <f t="shared" si="19"/>
        <v>420.32387207031246</v>
      </c>
      <c r="E58" s="269">
        <f t="shared" si="11"/>
        <v>673.05664062499989</v>
      </c>
      <c r="F58" s="269">
        <f t="shared" si="20"/>
        <v>-24652.802764892567</v>
      </c>
      <c r="G58" s="269">
        <f t="shared" si="20"/>
        <v>-22547.3974609375</v>
      </c>
      <c r="H58" s="269">
        <f t="shared" si="16"/>
        <v>15730.595672607426</v>
      </c>
      <c r="I58" s="269">
        <f t="shared" si="16"/>
        <v>17836.000976562493</v>
      </c>
      <c r="J58" s="269">
        <f t="shared" si="7"/>
        <v>2105.4053039550672</v>
      </c>
      <c r="K58" s="269">
        <f t="shared" si="18"/>
        <v>-442.13511383056408</v>
      </c>
      <c r="L58" s="269">
        <f t="shared" si="8"/>
        <v>-53.073881396484467</v>
      </c>
      <c r="M58" s="270">
        <f t="shared" si="9"/>
        <v>17393.865862731927</v>
      </c>
      <c r="N58" s="271"/>
      <c r="O58" s="275"/>
      <c r="P58" s="271"/>
      <c r="Q58" s="271"/>
      <c r="R58" s="271"/>
      <c r="S58" s="271"/>
      <c r="T58" s="271"/>
    </row>
    <row r="59" spans="1:20" s="230" customFormat="1">
      <c r="A59" s="267">
        <f t="shared" si="10"/>
        <v>45412</v>
      </c>
      <c r="B59" s="269">
        <f t="shared" si="14"/>
        <v>40383.398437499993</v>
      </c>
      <c r="C59" s="269">
        <f t="shared" si="13"/>
        <v>40383.398437499993</v>
      </c>
      <c r="D59" s="269">
        <f t="shared" si="19"/>
        <v>420.32387207031246</v>
      </c>
      <c r="E59" s="269">
        <f t="shared" si="11"/>
        <v>673.05664062499989</v>
      </c>
      <c r="F59" s="269">
        <f t="shared" si="20"/>
        <v>-25073.126636962879</v>
      </c>
      <c r="G59" s="269">
        <f t="shared" si="20"/>
        <v>-23220.4541015625</v>
      </c>
      <c r="H59" s="269">
        <f t="shared" si="16"/>
        <v>15310.271800537113</v>
      </c>
      <c r="I59" s="269">
        <f t="shared" si="16"/>
        <v>17162.944335937493</v>
      </c>
      <c r="J59" s="269">
        <f t="shared" si="7"/>
        <v>1852.6725354003793</v>
      </c>
      <c r="K59" s="269">
        <f t="shared" si="18"/>
        <v>-389.06123243407961</v>
      </c>
      <c r="L59" s="269">
        <f t="shared" si="8"/>
        <v>-53.073881396484467</v>
      </c>
      <c r="M59" s="270">
        <f t="shared" si="9"/>
        <v>16773.883103503413</v>
      </c>
      <c r="N59" s="271"/>
      <c r="O59" s="271"/>
      <c r="P59" s="271"/>
      <c r="Q59" s="271"/>
      <c r="R59" s="271"/>
      <c r="S59" s="271"/>
      <c r="T59" s="271"/>
    </row>
    <row r="60" spans="1:20" s="230" customFormat="1">
      <c r="A60" s="267">
        <f t="shared" si="10"/>
        <v>45443</v>
      </c>
      <c r="B60" s="269">
        <f t="shared" si="14"/>
        <v>40383.398437499993</v>
      </c>
      <c r="C60" s="269">
        <f t="shared" si="13"/>
        <v>40383.398437499993</v>
      </c>
      <c r="D60" s="269">
        <f t="shared" si="19"/>
        <v>420.32387207031246</v>
      </c>
      <c r="E60" s="269">
        <f t="shared" si="11"/>
        <v>673.05664062499989</v>
      </c>
      <c r="F60" s="269">
        <f t="shared" si="20"/>
        <v>-25493.450509033191</v>
      </c>
      <c r="G60" s="269">
        <f t="shared" si="20"/>
        <v>-23893.5107421875</v>
      </c>
      <c r="H60" s="269">
        <f t="shared" si="16"/>
        <v>14889.947928466801</v>
      </c>
      <c r="I60" s="269">
        <f t="shared" si="16"/>
        <v>16489.887695312493</v>
      </c>
      <c r="J60" s="269">
        <f t="shared" si="7"/>
        <v>1599.9397668456913</v>
      </c>
      <c r="K60" s="269">
        <f t="shared" si="18"/>
        <v>-335.98735103759515</v>
      </c>
      <c r="L60" s="269">
        <f t="shared" si="8"/>
        <v>-53.073881396484467</v>
      </c>
      <c r="M60" s="270">
        <f t="shared" si="9"/>
        <v>16153.900344274898</v>
      </c>
      <c r="N60" s="271"/>
      <c r="O60" s="271"/>
      <c r="P60" s="271"/>
      <c r="Q60" s="271"/>
      <c r="R60" s="271"/>
      <c r="S60" s="271"/>
      <c r="T60" s="271"/>
    </row>
    <row r="61" spans="1:20" s="230" customFormat="1">
      <c r="A61" s="267">
        <f t="shared" si="10"/>
        <v>45473</v>
      </c>
      <c r="B61" s="269">
        <f t="shared" si="14"/>
        <v>40383.398437499993</v>
      </c>
      <c r="C61" s="269">
        <f t="shared" si="13"/>
        <v>40383.398437499993</v>
      </c>
      <c r="D61" s="269">
        <f t="shared" si="19"/>
        <v>420.32387207031246</v>
      </c>
      <c r="E61" s="269">
        <f t="shared" si="11"/>
        <v>673.05664062499989</v>
      </c>
      <c r="F61" s="269">
        <f t="shared" si="20"/>
        <v>-25913.774381103503</v>
      </c>
      <c r="G61" s="269">
        <f t="shared" si="20"/>
        <v>-24566.5673828125</v>
      </c>
      <c r="H61" s="269">
        <f t="shared" si="16"/>
        <v>14469.624056396489</v>
      </c>
      <c r="I61" s="269">
        <f t="shared" si="16"/>
        <v>15816.831054687493</v>
      </c>
      <c r="J61" s="269">
        <f t="shared" si="7"/>
        <v>1347.2069982910034</v>
      </c>
      <c r="K61" s="269">
        <f t="shared" si="18"/>
        <v>-282.91346964111068</v>
      </c>
      <c r="L61" s="269">
        <f t="shared" si="8"/>
        <v>-53.073881396484467</v>
      </c>
      <c r="M61" s="270">
        <f t="shared" si="9"/>
        <v>15533.917585046382</v>
      </c>
      <c r="N61" s="271"/>
      <c r="O61" s="271"/>
      <c r="P61" s="271"/>
      <c r="Q61" s="271"/>
      <c r="R61" s="271"/>
      <c r="S61" s="271"/>
      <c r="T61" s="271"/>
    </row>
    <row r="62" spans="1:20" s="230" customFormat="1" ht="15">
      <c r="A62" s="267">
        <f t="shared" si="10"/>
        <v>45504</v>
      </c>
      <c r="B62" s="269">
        <f t="shared" si="14"/>
        <v>40383.398437499993</v>
      </c>
      <c r="C62" s="269">
        <f t="shared" si="13"/>
        <v>40383.398437499993</v>
      </c>
      <c r="D62" s="269">
        <f t="shared" si="19"/>
        <v>420.32387207031246</v>
      </c>
      <c r="E62" s="269">
        <f t="shared" si="11"/>
        <v>673.05664062499989</v>
      </c>
      <c r="F62" s="269">
        <f t="shared" si="20"/>
        <v>-26334.098253173815</v>
      </c>
      <c r="G62" s="269">
        <f t="shared" si="20"/>
        <v>-25239.6240234375</v>
      </c>
      <c r="H62" s="269">
        <f t="shared" si="16"/>
        <v>14049.300184326177</v>
      </c>
      <c r="I62" s="269">
        <f t="shared" si="16"/>
        <v>15143.774414062493</v>
      </c>
      <c r="J62" s="269">
        <f t="shared" si="7"/>
        <v>1094.4742297363155</v>
      </c>
      <c r="K62" s="269">
        <f t="shared" si="18"/>
        <v>-229.83958824462624</v>
      </c>
      <c r="L62" s="269">
        <f t="shared" si="8"/>
        <v>-53.073881396484438</v>
      </c>
      <c r="M62" s="270">
        <f t="shared" si="9"/>
        <v>14913.934825817867</v>
      </c>
      <c r="N62" s="97"/>
      <c r="O62" s="271"/>
      <c r="P62" s="271"/>
      <c r="Q62" s="271"/>
      <c r="R62" s="271"/>
      <c r="S62" s="271"/>
      <c r="T62" s="271"/>
    </row>
    <row r="63" spans="1:20" s="230" customFormat="1" ht="15">
      <c r="A63" s="267">
        <f t="shared" si="10"/>
        <v>45535</v>
      </c>
      <c r="B63" s="269">
        <f t="shared" si="14"/>
        <v>40383.398437499993</v>
      </c>
      <c r="C63" s="269">
        <f t="shared" si="13"/>
        <v>40383.398437499993</v>
      </c>
      <c r="D63" s="269">
        <f t="shared" si="19"/>
        <v>420.32387207031246</v>
      </c>
      <c r="E63" s="269">
        <f t="shared" si="11"/>
        <v>673.05664062499989</v>
      </c>
      <c r="F63" s="269">
        <f t="shared" si="20"/>
        <v>-26754.422125244128</v>
      </c>
      <c r="G63" s="269">
        <f t="shared" si="20"/>
        <v>-25912.6806640625</v>
      </c>
      <c r="H63" s="269">
        <f t="shared" si="16"/>
        <v>13628.976312255865</v>
      </c>
      <c r="I63" s="269">
        <f t="shared" si="16"/>
        <v>14470.717773437493</v>
      </c>
      <c r="J63" s="269">
        <f t="shared" si="7"/>
        <v>841.74146118162753</v>
      </c>
      <c r="K63" s="269">
        <f t="shared" si="18"/>
        <v>-176.76570684814178</v>
      </c>
      <c r="L63" s="269">
        <f t="shared" si="8"/>
        <v>-53.073881396484467</v>
      </c>
      <c r="M63" s="270">
        <f t="shared" si="9"/>
        <v>14293.952066589351</v>
      </c>
      <c r="N63" s="21"/>
      <c r="O63" s="271"/>
      <c r="P63" s="271"/>
      <c r="Q63" s="271"/>
      <c r="R63" s="271"/>
      <c r="S63" s="271"/>
      <c r="T63" s="271"/>
    </row>
    <row r="64" spans="1:20" s="230" customFormat="1" ht="15">
      <c r="A64" s="267">
        <f t="shared" si="10"/>
        <v>45565</v>
      </c>
      <c r="B64" s="269">
        <f t="shared" si="14"/>
        <v>40383.398437499993</v>
      </c>
      <c r="C64" s="269">
        <f t="shared" si="13"/>
        <v>40383.398437499993</v>
      </c>
      <c r="D64" s="269">
        <f t="shared" ref="D64:D75" si="21">B64*$F$5/12</f>
        <v>300.51979003906246</v>
      </c>
      <c r="E64" s="269">
        <f t="shared" si="11"/>
        <v>673.05664062499989</v>
      </c>
      <c r="F64" s="269">
        <f t="shared" si="20"/>
        <v>-27054.941915283191</v>
      </c>
      <c r="G64" s="269">
        <f t="shared" si="20"/>
        <v>-26585.7373046875</v>
      </c>
      <c r="H64" s="269">
        <f t="shared" si="16"/>
        <v>13328.456522216802</v>
      </c>
      <c r="I64" s="269">
        <f t="shared" si="16"/>
        <v>13797.661132812493</v>
      </c>
      <c r="J64" s="269">
        <f t="shared" si="7"/>
        <v>469.20461059569061</v>
      </c>
      <c r="K64" s="269">
        <f t="shared" si="18"/>
        <v>-98.532968225095019</v>
      </c>
      <c r="L64" s="269">
        <f t="shared" si="8"/>
        <v>-78.232738623046757</v>
      </c>
      <c r="M64" s="270">
        <f t="shared" si="9"/>
        <v>13699.128164587397</v>
      </c>
      <c r="N64" s="21"/>
      <c r="O64" s="271"/>
      <c r="P64" s="271"/>
      <c r="Q64" s="271"/>
      <c r="R64" s="271"/>
      <c r="S64" s="271"/>
      <c r="T64" s="271"/>
    </row>
    <row r="65" spans="1:20" s="230" customFormat="1" ht="15">
      <c r="A65" s="267">
        <f t="shared" si="10"/>
        <v>45596</v>
      </c>
      <c r="B65" s="269">
        <f t="shared" si="14"/>
        <v>40383.398437499993</v>
      </c>
      <c r="C65" s="269">
        <f t="shared" si="13"/>
        <v>40383.398437499993</v>
      </c>
      <c r="D65" s="269">
        <f t="shared" si="21"/>
        <v>300.51979003906246</v>
      </c>
      <c r="E65" s="269">
        <f t="shared" si="11"/>
        <v>673.05664062499989</v>
      </c>
      <c r="F65" s="269">
        <f t="shared" si="20"/>
        <v>-27355.461705322254</v>
      </c>
      <c r="G65" s="269">
        <f t="shared" si="20"/>
        <v>-27258.7939453125</v>
      </c>
      <c r="H65" s="269">
        <f t="shared" si="16"/>
        <v>13027.936732177739</v>
      </c>
      <c r="I65" s="269">
        <f t="shared" si="16"/>
        <v>13124.604492187493</v>
      </c>
      <c r="J65" s="269">
        <f t="shared" si="7"/>
        <v>96.667760009753692</v>
      </c>
      <c r="K65" s="269">
        <f t="shared" si="18"/>
        <v>-20.300229602048276</v>
      </c>
      <c r="L65" s="269">
        <f t="shared" si="8"/>
        <v>-78.232738623046743</v>
      </c>
      <c r="M65" s="270">
        <f t="shared" si="9"/>
        <v>13104.304262585445</v>
      </c>
      <c r="N65" s="21"/>
      <c r="O65" s="271"/>
      <c r="P65" s="271"/>
      <c r="Q65" s="271"/>
      <c r="R65" s="271"/>
      <c r="S65" s="271"/>
      <c r="T65" s="271"/>
    </row>
    <row r="66" spans="1:20" s="230" customFormat="1" ht="15">
      <c r="A66" s="267">
        <f t="shared" si="10"/>
        <v>45626</v>
      </c>
      <c r="B66" s="269">
        <f t="shared" si="14"/>
        <v>40383.398437499993</v>
      </c>
      <c r="C66" s="269">
        <f t="shared" si="13"/>
        <v>40383.398437499993</v>
      </c>
      <c r="D66" s="269">
        <f t="shared" si="21"/>
        <v>300.51979003906246</v>
      </c>
      <c r="E66" s="269">
        <f t="shared" si="11"/>
        <v>673.05664062499989</v>
      </c>
      <c r="F66" s="269">
        <f t="shared" si="20"/>
        <v>-27655.981495361317</v>
      </c>
      <c r="G66" s="269">
        <f t="shared" si="20"/>
        <v>-27931.8505859375</v>
      </c>
      <c r="H66" s="269">
        <f t="shared" si="16"/>
        <v>12727.416942138676</v>
      </c>
      <c r="I66" s="269">
        <f t="shared" si="16"/>
        <v>12451.547851562493</v>
      </c>
      <c r="J66" s="269">
        <f t="shared" si="7"/>
        <v>-275.86909057618323</v>
      </c>
      <c r="K66" s="269">
        <f t="shared" si="18"/>
        <v>57.932509020998474</v>
      </c>
      <c r="L66" s="269">
        <f t="shared" si="8"/>
        <v>-78.232738623046743</v>
      </c>
      <c r="M66" s="270">
        <f t="shared" si="9"/>
        <v>12509.480360583491</v>
      </c>
      <c r="N66" s="21"/>
      <c r="O66" s="271"/>
      <c r="P66" s="271"/>
      <c r="Q66" s="271"/>
      <c r="R66" s="271"/>
      <c r="S66" s="271"/>
      <c r="T66" s="271"/>
    </row>
    <row r="67" spans="1:20" s="230" customFormat="1" ht="15">
      <c r="A67" s="267">
        <f t="shared" si="10"/>
        <v>45657</v>
      </c>
      <c r="B67" s="269">
        <f t="shared" si="14"/>
        <v>40383.398437499993</v>
      </c>
      <c r="C67" s="269">
        <f t="shared" si="13"/>
        <v>40383.398437499993</v>
      </c>
      <c r="D67" s="269">
        <f t="shared" si="21"/>
        <v>300.51979003906246</v>
      </c>
      <c r="E67" s="269">
        <f t="shared" si="11"/>
        <v>673.05664062499989</v>
      </c>
      <c r="F67" s="269">
        <f t="shared" si="20"/>
        <v>-27956.50128540038</v>
      </c>
      <c r="G67" s="269">
        <f t="shared" si="20"/>
        <v>-28604.9072265625</v>
      </c>
      <c r="H67" s="269">
        <f t="shared" si="16"/>
        <v>12426.897152099613</v>
      </c>
      <c r="I67" s="269">
        <f t="shared" si="16"/>
        <v>11778.491210937493</v>
      </c>
      <c r="J67" s="269">
        <f t="shared" si="7"/>
        <v>-648.40594116212014</v>
      </c>
      <c r="K67" s="269">
        <f t="shared" si="18"/>
        <v>136.16524764404522</v>
      </c>
      <c r="L67" s="269">
        <f t="shared" si="8"/>
        <v>-78.232738623046743</v>
      </c>
      <c r="M67" s="270">
        <f t="shared" si="9"/>
        <v>11914.656458581538</v>
      </c>
      <c r="N67" s="21"/>
      <c r="O67" s="271"/>
      <c r="P67" s="271"/>
      <c r="Q67" s="271"/>
      <c r="R67" s="271"/>
      <c r="S67" s="271"/>
      <c r="T67" s="271"/>
    </row>
    <row r="68" spans="1:20" s="230" customFormat="1" ht="15">
      <c r="A68" s="267">
        <f t="shared" si="10"/>
        <v>45688</v>
      </c>
      <c r="B68" s="269">
        <f t="shared" si="14"/>
        <v>40383.398437499993</v>
      </c>
      <c r="C68" s="269">
        <f t="shared" si="13"/>
        <v>40383.398437499993</v>
      </c>
      <c r="D68" s="269">
        <f t="shared" si="21"/>
        <v>300.51979003906246</v>
      </c>
      <c r="E68" s="269">
        <f t="shared" si="11"/>
        <v>673.05664062499989</v>
      </c>
      <c r="F68" s="269">
        <f t="shared" si="20"/>
        <v>-28257.021075439443</v>
      </c>
      <c r="G68" s="269">
        <f t="shared" si="20"/>
        <v>-29277.9638671875</v>
      </c>
      <c r="H68" s="269">
        <f t="shared" si="16"/>
        <v>12126.37736206055</v>
      </c>
      <c r="I68" s="269">
        <f t="shared" si="16"/>
        <v>11105.434570312493</v>
      </c>
      <c r="J68" s="269">
        <f t="shared" si="7"/>
        <v>-1020.9427917480571</v>
      </c>
      <c r="K68" s="269">
        <f t="shared" si="18"/>
        <v>214.39798626709197</v>
      </c>
      <c r="L68" s="269">
        <f t="shared" si="8"/>
        <v>-78.232738623046743</v>
      </c>
      <c r="M68" s="270">
        <f t="shared" si="9"/>
        <v>11319.832556579584</v>
      </c>
      <c r="N68" s="21"/>
      <c r="O68" s="271"/>
      <c r="P68" s="271"/>
      <c r="Q68" s="271"/>
      <c r="R68" s="271"/>
      <c r="S68" s="271"/>
      <c r="T68" s="271"/>
    </row>
    <row r="69" spans="1:20" s="230" customFormat="1" ht="15">
      <c r="A69" s="267">
        <f t="shared" si="10"/>
        <v>45716</v>
      </c>
      <c r="B69" s="269">
        <f t="shared" si="14"/>
        <v>40383.398437499993</v>
      </c>
      <c r="C69" s="269">
        <f t="shared" si="13"/>
        <v>40383.398437499993</v>
      </c>
      <c r="D69" s="269">
        <f t="shared" si="21"/>
        <v>300.51979003906246</v>
      </c>
      <c r="E69" s="269">
        <f t="shared" si="11"/>
        <v>673.05664062499989</v>
      </c>
      <c r="F69" s="269">
        <f t="shared" ref="F69:G84" si="22">F68-D69</f>
        <v>-28557.540865478506</v>
      </c>
      <c r="G69" s="269">
        <f t="shared" si="22"/>
        <v>-29951.0205078125</v>
      </c>
      <c r="H69" s="269">
        <f t="shared" si="16"/>
        <v>11825.857572021487</v>
      </c>
      <c r="I69" s="269">
        <f t="shared" si="16"/>
        <v>10432.377929687493</v>
      </c>
      <c r="J69" s="269">
        <f t="shared" si="7"/>
        <v>-1393.479642333994</v>
      </c>
      <c r="K69" s="269">
        <f t="shared" si="18"/>
        <v>292.63072489013871</v>
      </c>
      <c r="L69" s="269">
        <f t="shared" si="8"/>
        <v>-78.232738623046743</v>
      </c>
      <c r="M69" s="270">
        <f t="shared" si="9"/>
        <v>10725.008654577632</v>
      </c>
      <c r="N69" s="21"/>
      <c r="O69" s="271"/>
      <c r="P69" s="271"/>
      <c r="Q69" s="271"/>
      <c r="R69" s="271"/>
      <c r="S69" s="271"/>
      <c r="T69" s="271"/>
    </row>
    <row r="70" spans="1:20" s="230" customFormat="1" ht="15">
      <c r="A70" s="267">
        <f t="shared" si="10"/>
        <v>45747</v>
      </c>
      <c r="B70" s="269">
        <f t="shared" si="14"/>
        <v>40383.398437499993</v>
      </c>
      <c r="C70" s="269">
        <f t="shared" si="13"/>
        <v>40383.398437499993</v>
      </c>
      <c r="D70" s="269">
        <f t="shared" si="21"/>
        <v>300.51979003906246</v>
      </c>
      <c r="E70" s="269">
        <f t="shared" si="11"/>
        <v>673.05664062499989</v>
      </c>
      <c r="F70" s="269">
        <f t="shared" si="22"/>
        <v>-28858.060655517569</v>
      </c>
      <c r="G70" s="269">
        <f t="shared" si="22"/>
        <v>-30624.0771484375</v>
      </c>
      <c r="H70" s="269">
        <f t="shared" si="16"/>
        <v>11525.337781982424</v>
      </c>
      <c r="I70" s="269">
        <f t="shared" si="16"/>
        <v>9759.3212890624927</v>
      </c>
      <c r="J70" s="269">
        <f t="shared" si="7"/>
        <v>-1766.0164929199309</v>
      </c>
      <c r="K70" s="269">
        <f t="shared" si="18"/>
        <v>370.86346351318548</v>
      </c>
      <c r="L70" s="269">
        <f t="shared" si="8"/>
        <v>-78.232738623046771</v>
      </c>
      <c r="M70" s="270">
        <f t="shared" si="9"/>
        <v>10130.184752575678</v>
      </c>
      <c r="N70" s="21"/>
      <c r="O70" s="271"/>
      <c r="P70" s="271"/>
      <c r="Q70" s="271"/>
      <c r="R70" s="271"/>
      <c r="S70" s="271"/>
      <c r="T70" s="271"/>
    </row>
    <row r="71" spans="1:20" s="230" customFormat="1" ht="15">
      <c r="A71" s="267">
        <f t="shared" si="10"/>
        <v>45777</v>
      </c>
      <c r="B71" s="269">
        <f t="shared" si="14"/>
        <v>40383.398437499993</v>
      </c>
      <c r="C71" s="269">
        <f t="shared" si="13"/>
        <v>40383.398437499993</v>
      </c>
      <c r="D71" s="269">
        <f t="shared" si="21"/>
        <v>300.51979003906246</v>
      </c>
      <c r="E71" s="269">
        <f t="shared" si="11"/>
        <v>673.05664062499989</v>
      </c>
      <c r="F71" s="269">
        <f t="shared" si="22"/>
        <v>-29158.580445556632</v>
      </c>
      <c r="G71" s="269">
        <f t="shared" si="22"/>
        <v>-31297.1337890625</v>
      </c>
      <c r="H71" s="269">
        <f t="shared" si="16"/>
        <v>11224.817991943361</v>
      </c>
      <c r="I71" s="269">
        <f t="shared" si="16"/>
        <v>9086.2646484374927</v>
      </c>
      <c r="J71" s="269">
        <f t="shared" si="7"/>
        <v>-2138.5533435058678</v>
      </c>
      <c r="K71" s="269">
        <f t="shared" si="18"/>
        <v>449.09620213623225</v>
      </c>
      <c r="L71" s="269">
        <f t="shared" si="8"/>
        <v>-78.232738623046771</v>
      </c>
      <c r="M71" s="270">
        <f t="shared" si="9"/>
        <v>9535.3608505737247</v>
      </c>
      <c r="N71" s="21"/>
      <c r="O71" s="271"/>
      <c r="P71" s="271"/>
      <c r="Q71" s="271"/>
      <c r="R71" s="271"/>
      <c r="S71" s="271"/>
      <c r="T71" s="271"/>
    </row>
    <row r="72" spans="1:20" s="230" customFormat="1" ht="15">
      <c r="A72" s="267">
        <f t="shared" si="10"/>
        <v>45808</v>
      </c>
      <c r="B72" s="269">
        <f t="shared" si="14"/>
        <v>40383.398437499993</v>
      </c>
      <c r="C72" s="269">
        <f t="shared" si="13"/>
        <v>40383.398437499993</v>
      </c>
      <c r="D72" s="269">
        <f t="shared" si="21"/>
        <v>300.51979003906246</v>
      </c>
      <c r="E72" s="269">
        <f t="shared" si="11"/>
        <v>673.05664062499989</v>
      </c>
      <c r="F72" s="269">
        <f t="shared" si="22"/>
        <v>-29459.100235595695</v>
      </c>
      <c r="G72" s="269">
        <f t="shared" si="22"/>
        <v>-31970.1904296875</v>
      </c>
      <c r="H72" s="269">
        <f t="shared" si="16"/>
        <v>10924.298201904297</v>
      </c>
      <c r="I72" s="269">
        <f t="shared" si="16"/>
        <v>8413.2080078124927</v>
      </c>
      <c r="J72" s="269">
        <f t="shared" si="7"/>
        <v>-2511.0901940918047</v>
      </c>
      <c r="K72" s="269">
        <f t="shared" si="18"/>
        <v>527.32894075927902</v>
      </c>
      <c r="L72" s="269">
        <f t="shared" si="8"/>
        <v>-78.232738623046771</v>
      </c>
      <c r="M72" s="270">
        <f t="shared" si="9"/>
        <v>8940.5369485717711</v>
      </c>
      <c r="N72" s="21"/>
      <c r="O72" s="271"/>
      <c r="P72" s="271"/>
      <c r="Q72" s="271"/>
      <c r="R72" s="271"/>
      <c r="S72" s="271"/>
      <c r="T72" s="271"/>
    </row>
    <row r="73" spans="1:20" s="230" customFormat="1" ht="15">
      <c r="A73" s="267">
        <f t="shared" si="10"/>
        <v>45838</v>
      </c>
      <c r="B73" s="269">
        <f t="shared" si="14"/>
        <v>40383.398437499993</v>
      </c>
      <c r="C73" s="269">
        <f t="shared" si="13"/>
        <v>40383.398437499993</v>
      </c>
      <c r="D73" s="269">
        <f t="shared" si="21"/>
        <v>300.51979003906246</v>
      </c>
      <c r="E73" s="269">
        <f t="shared" si="11"/>
        <v>673.05664062499989</v>
      </c>
      <c r="F73" s="269">
        <f t="shared" si="22"/>
        <v>-29759.620025634758</v>
      </c>
      <c r="G73" s="269">
        <f t="shared" si="22"/>
        <v>-32643.2470703125</v>
      </c>
      <c r="H73" s="269">
        <f t="shared" si="16"/>
        <v>10623.778411865234</v>
      </c>
      <c r="I73" s="269">
        <f t="shared" si="16"/>
        <v>7740.1513671874927</v>
      </c>
      <c r="J73" s="269">
        <f t="shared" si="7"/>
        <v>-2883.6270446777417</v>
      </c>
      <c r="K73" s="269">
        <f t="shared" si="18"/>
        <v>605.56167938232568</v>
      </c>
      <c r="L73" s="269">
        <f t="shared" si="8"/>
        <v>-78.232738623046657</v>
      </c>
      <c r="M73" s="270">
        <f t="shared" si="9"/>
        <v>8345.7130465698192</v>
      </c>
      <c r="N73" s="21"/>
      <c r="O73" s="271"/>
      <c r="P73" s="271"/>
      <c r="Q73" s="271"/>
      <c r="R73" s="271"/>
      <c r="S73" s="271"/>
      <c r="T73" s="271"/>
    </row>
    <row r="74" spans="1:20" s="230" customFormat="1" ht="15">
      <c r="A74" s="267">
        <f t="shared" si="10"/>
        <v>45869</v>
      </c>
      <c r="B74" s="269">
        <f t="shared" si="14"/>
        <v>40383.398437499993</v>
      </c>
      <c r="C74" s="269">
        <f t="shared" si="13"/>
        <v>40383.398437499993</v>
      </c>
      <c r="D74" s="269">
        <f t="shared" si="21"/>
        <v>300.51979003906246</v>
      </c>
      <c r="E74" s="269">
        <f t="shared" si="11"/>
        <v>673.05664062499989</v>
      </c>
      <c r="F74" s="269">
        <f t="shared" si="22"/>
        <v>-30060.139815673821</v>
      </c>
      <c r="G74" s="269">
        <f t="shared" si="22"/>
        <v>-33316.3037109375</v>
      </c>
      <c r="H74" s="269">
        <f t="shared" si="16"/>
        <v>10323.258621826171</v>
      </c>
      <c r="I74" s="269">
        <f t="shared" si="16"/>
        <v>7067.0947265624927</v>
      </c>
      <c r="J74" s="269">
        <f t="shared" si="7"/>
        <v>-3256.1638952636786</v>
      </c>
      <c r="K74" s="269">
        <f t="shared" si="18"/>
        <v>683.79441800537245</v>
      </c>
      <c r="L74" s="269">
        <f t="shared" si="8"/>
        <v>-78.232738623046771</v>
      </c>
      <c r="M74" s="270">
        <f t="shared" si="9"/>
        <v>7750.8891445678655</v>
      </c>
      <c r="N74" s="21"/>
      <c r="O74" s="271"/>
      <c r="P74" s="271"/>
      <c r="Q74" s="271"/>
      <c r="R74" s="271"/>
      <c r="S74" s="271"/>
      <c r="T74" s="271"/>
    </row>
    <row r="75" spans="1:20" s="230" customFormat="1" ht="15">
      <c r="A75" s="267">
        <f t="shared" si="10"/>
        <v>45900</v>
      </c>
      <c r="B75" s="269">
        <f t="shared" si="14"/>
        <v>40383.398437499993</v>
      </c>
      <c r="C75" s="269">
        <f t="shared" si="13"/>
        <v>40383.398437499993</v>
      </c>
      <c r="D75" s="269">
        <f t="shared" si="21"/>
        <v>300.51979003906246</v>
      </c>
      <c r="E75" s="269">
        <f>C75*E$12/12</f>
        <v>673.05664062499989</v>
      </c>
      <c r="F75" s="269">
        <f t="shared" si="22"/>
        <v>-30360.659605712885</v>
      </c>
      <c r="G75" s="269">
        <f t="shared" si="22"/>
        <v>-33989.3603515625</v>
      </c>
      <c r="H75" s="269">
        <f t="shared" ref="H75:I90" si="23">B75+F75</f>
        <v>10022.738831787108</v>
      </c>
      <c r="I75" s="269">
        <f t="shared" si="23"/>
        <v>6394.0380859374927</v>
      </c>
      <c r="J75" s="269">
        <f t="shared" si="7"/>
        <v>-3628.7007458496155</v>
      </c>
      <c r="K75" s="269">
        <f t="shared" si="18"/>
        <v>762.02715662841922</v>
      </c>
      <c r="L75" s="269">
        <f t="shared" si="8"/>
        <v>-78.232738623046771</v>
      </c>
      <c r="M75" s="270">
        <f t="shared" si="9"/>
        <v>7156.0652425659118</v>
      </c>
      <c r="N75" s="21"/>
      <c r="O75" s="271"/>
      <c r="P75" s="271"/>
      <c r="Q75" s="271"/>
      <c r="R75" s="271"/>
      <c r="S75" s="271"/>
      <c r="T75" s="271"/>
    </row>
    <row r="76" spans="1:20" s="230" customFormat="1" ht="15">
      <c r="A76" s="267">
        <f t="shared" si="10"/>
        <v>45930</v>
      </c>
      <c r="B76" s="269">
        <f t="shared" si="14"/>
        <v>40383.398437499993</v>
      </c>
      <c r="C76" s="269">
        <f t="shared" si="13"/>
        <v>40383.398437499993</v>
      </c>
      <c r="D76" s="269">
        <f t="shared" ref="D76:D87" si="24">B76*$G$5/12</f>
        <v>300.18326171874997</v>
      </c>
      <c r="E76" s="269">
        <f>C76*E$12/12</f>
        <v>673.05664062499989</v>
      </c>
      <c r="F76" s="269">
        <f t="shared" si="22"/>
        <v>-30660.842867431635</v>
      </c>
      <c r="G76" s="269">
        <f t="shared" si="22"/>
        <v>-34662.4169921875</v>
      </c>
      <c r="H76" s="269">
        <f t="shared" si="23"/>
        <v>9722.5555700683581</v>
      </c>
      <c r="I76" s="269">
        <f t="shared" si="23"/>
        <v>5720.9814453124927</v>
      </c>
      <c r="J76" s="269">
        <f t="shared" si="7"/>
        <v>-4001.5741247558653</v>
      </c>
      <c r="K76" s="269">
        <f t="shared" si="18"/>
        <v>840.33056619873173</v>
      </c>
      <c r="L76" s="269">
        <f t="shared" si="8"/>
        <v>-78.30340957031251</v>
      </c>
      <c r="M76" s="270">
        <f t="shared" si="9"/>
        <v>6561.3120115112242</v>
      </c>
      <c r="N76" s="21"/>
      <c r="O76" s="271"/>
      <c r="P76" s="271"/>
      <c r="Q76" s="271"/>
      <c r="R76" s="271"/>
      <c r="S76" s="271"/>
      <c r="T76" s="271"/>
    </row>
    <row r="77" spans="1:20" s="230" customFormat="1" ht="15">
      <c r="A77" s="267">
        <f t="shared" si="10"/>
        <v>45961</v>
      </c>
      <c r="B77" s="269">
        <f t="shared" si="14"/>
        <v>40383.398437499993</v>
      </c>
      <c r="C77" s="269">
        <f t="shared" si="13"/>
        <v>40383.398437499993</v>
      </c>
      <c r="D77" s="269">
        <f t="shared" si="24"/>
        <v>300.18326171874997</v>
      </c>
      <c r="E77" s="269">
        <f>C77*E$12/12</f>
        <v>673.05664062499989</v>
      </c>
      <c r="F77" s="269">
        <f t="shared" si="22"/>
        <v>-30961.026129150385</v>
      </c>
      <c r="G77" s="269">
        <f t="shared" si="22"/>
        <v>-35335.4736328125</v>
      </c>
      <c r="H77" s="269">
        <f t="shared" si="23"/>
        <v>9422.3723083496079</v>
      </c>
      <c r="I77" s="269">
        <f t="shared" si="23"/>
        <v>5047.9248046874927</v>
      </c>
      <c r="J77" s="269">
        <f t="shared" si="7"/>
        <v>-4374.4475036621152</v>
      </c>
      <c r="K77" s="269">
        <f t="shared" si="18"/>
        <v>918.63397576904413</v>
      </c>
      <c r="L77" s="269">
        <f t="shared" si="8"/>
        <v>-78.303409570312397</v>
      </c>
      <c r="M77" s="270">
        <f t="shared" si="9"/>
        <v>5966.5587804565366</v>
      </c>
      <c r="N77" s="21"/>
      <c r="O77" s="271"/>
      <c r="P77" s="271"/>
      <c r="Q77" s="271"/>
      <c r="R77" s="271"/>
      <c r="S77" s="271"/>
      <c r="T77" s="271"/>
    </row>
    <row r="78" spans="1:20" s="230" customFormat="1" ht="15">
      <c r="A78" s="267">
        <f t="shared" si="10"/>
        <v>45991</v>
      </c>
      <c r="B78" s="269">
        <f t="shared" si="14"/>
        <v>40383.398437499993</v>
      </c>
      <c r="C78" s="269">
        <f t="shared" si="13"/>
        <v>40383.398437499993</v>
      </c>
      <c r="D78" s="269">
        <f t="shared" si="24"/>
        <v>300.18326171874997</v>
      </c>
      <c r="E78" s="269">
        <f>C78*E$12/12</f>
        <v>673.05664062499989</v>
      </c>
      <c r="F78" s="269">
        <f t="shared" si="22"/>
        <v>-31261.209390869135</v>
      </c>
      <c r="G78" s="269">
        <f t="shared" si="22"/>
        <v>-36008.5302734375</v>
      </c>
      <c r="H78" s="269">
        <f t="shared" si="23"/>
        <v>9122.1890466308578</v>
      </c>
      <c r="I78" s="269">
        <f t="shared" si="23"/>
        <v>4374.8681640624927</v>
      </c>
      <c r="J78" s="269">
        <f t="shared" si="7"/>
        <v>-4747.3208825683651</v>
      </c>
      <c r="K78" s="269">
        <f t="shared" si="18"/>
        <v>996.93738533935664</v>
      </c>
      <c r="L78" s="269">
        <f t="shared" si="8"/>
        <v>-78.30340957031251</v>
      </c>
      <c r="M78" s="270">
        <f t="shared" si="9"/>
        <v>5371.805549401849</v>
      </c>
      <c r="N78" s="21"/>
      <c r="O78" s="271"/>
      <c r="P78" s="271"/>
      <c r="Q78" s="271"/>
      <c r="R78" s="271"/>
      <c r="S78" s="271"/>
      <c r="T78" s="271"/>
    </row>
    <row r="79" spans="1:20" s="230" customFormat="1" ht="15">
      <c r="A79" s="267">
        <f t="shared" si="10"/>
        <v>46022</v>
      </c>
      <c r="B79" s="269">
        <f t="shared" si="14"/>
        <v>40383.398437499993</v>
      </c>
      <c r="C79" s="269">
        <f t="shared" si="13"/>
        <v>40383.398437499993</v>
      </c>
      <c r="D79" s="269">
        <f t="shared" si="24"/>
        <v>300.18326171874997</v>
      </c>
      <c r="E79" s="269">
        <f>C79*E$12/12</f>
        <v>673.05664062499989</v>
      </c>
      <c r="F79" s="269">
        <f t="shared" si="22"/>
        <v>-31561.392652587885</v>
      </c>
      <c r="G79" s="269">
        <f t="shared" si="22"/>
        <v>-36681.5869140625</v>
      </c>
      <c r="H79" s="269">
        <f t="shared" si="23"/>
        <v>8822.0057849121076</v>
      </c>
      <c r="I79" s="269">
        <f t="shared" si="23"/>
        <v>3701.8115234374927</v>
      </c>
      <c r="J79" s="269">
        <f t="shared" si="7"/>
        <v>-5120.1942614746149</v>
      </c>
      <c r="K79" s="269">
        <f t="shared" si="18"/>
        <v>1075.2407949096691</v>
      </c>
      <c r="L79" s="269">
        <f t="shared" si="8"/>
        <v>-78.30340957031251</v>
      </c>
      <c r="M79" s="270">
        <f t="shared" si="9"/>
        <v>4777.0523183471614</v>
      </c>
      <c r="N79" s="21"/>
      <c r="O79" s="271"/>
      <c r="P79" s="271"/>
      <c r="Q79" s="271"/>
      <c r="R79" s="271"/>
      <c r="S79" s="271"/>
      <c r="T79" s="271"/>
    </row>
    <row r="80" spans="1:20" s="230" customFormat="1" ht="15">
      <c r="A80" s="267">
        <f t="shared" si="10"/>
        <v>46053</v>
      </c>
      <c r="B80" s="269">
        <f t="shared" si="14"/>
        <v>40383.398437499993</v>
      </c>
      <c r="C80" s="269">
        <f t="shared" si="13"/>
        <v>40383.398437499993</v>
      </c>
      <c r="D80" s="269">
        <f t="shared" si="24"/>
        <v>300.18326171874997</v>
      </c>
      <c r="E80" s="269">
        <f t="shared" ref="E80:E84" si="25">C80*E$12/12</f>
        <v>673.05664062499989</v>
      </c>
      <c r="F80" s="269">
        <f t="shared" si="22"/>
        <v>-31861.575914306635</v>
      </c>
      <c r="G80" s="269">
        <f t="shared" si="22"/>
        <v>-37354.6435546875</v>
      </c>
      <c r="H80" s="269">
        <f t="shared" si="23"/>
        <v>8521.8225231933575</v>
      </c>
      <c r="I80" s="269">
        <f t="shared" si="23"/>
        <v>3028.7548828124927</v>
      </c>
      <c r="J80" s="269">
        <f t="shared" si="7"/>
        <v>-5493.0676403808648</v>
      </c>
      <c r="K80" s="269">
        <f t="shared" si="18"/>
        <v>1153.5442044799815</v>
      </c>
      <c r="L80" s="269">
        <f t="shared" si="8"/>
        <v>-78.303409570312397</v>
      </c>
      <c r="M80" s="270">
        <f t="shared" si="9"/>
        <v>4182.2990872924747</v>
      </c>
      <c r="N80" s="21"/>
      <c r="O80" s="271"/>
      <c r="P80" s="271"/>
      <c r="Q80" s="271"/>
      <c r="R80" s="271"/>
      <c r="S80" s="271"/>
      <c r="T80" s="271"/>
    </row>
    <row r="81" spans="1:20" s="230" customFormat="1" ht="15">
      <c r="A81" s="267">
        <f t="shared" si="10"/>
        <v>46081</v>
      </c>
      <c r="B81" s="269">
        <f t="shared" si="14"/>
        <v>40383.398437499993</v>
      </c>
      <c r="C81" s="269">
        <f t="shared" si="13"/>
        <v>40383.398437499993</v>
      </c>
      <c r="D81" s="269">
        <f t="shared" si="24"/>
        <v>300.18326171874997</v>
      </c>
      <c r="E81" s="269">
        <f t="shared" si="25"/>
        <v>673.05664062499989</v>
      </c>
      <c r="F81" s="269">
        <f t="shared" si="22"/>
        <v>-32161.759176025385</v>
      </c>
      <c r="G81" s="269">
        <f t="shared" si="22"/>
        <v>-38027.7001953125</v>
      </c>
      <c r="H81" s="269">
        <f t="shared" si="23"/>
        <v>8221.6392614746073</v>
      </c>
      <c r="I81" s="269">
        <f t="shared" si="23"/>
        <v>2355.6982421874927</v>
      </c>
      <c r="J81" s="269">
        <f t="shared" si="7"/>
        <v>-5865.9410192871146</v>
      </c>
      <c r="K81" s="269">
        <f t="shared" si="18"/>
        <v>1231.8476140502939</v>
      </c>
      <c r="L81" s="269">
        <f t="shared" si="8"/>
        <v>-78.303409570312397</v>
      </c>
      <c r="M81" s="270">
        <f t="shared" si="9"/>
        <v>3587.5458562377867</v>
      </c>
      <c r="N81" s="21"/>
      <c r="O81" s="271"/>
      <c r="P81" s="271"/>
      <c r="Q81" s="271"/>
      <c r="R81" s="271"/>
      <c r="S81" s="271"/>
      <c r="T81" s="271"/>
    </row>
    <row r="82" spans="1:20" s="230" customFormat="1" ht="15">
      <c r="A82" s="267">
        <f t="shared" si="10"/>
        <v>46112</v>
      </c>
      <c r="B82" s="269">
        <f t="shared" si="14"/>
        <v>40383.398437499993</v>
      </c>
      <c r="C82" s="269">
        <f t="shared" si="13"/>
        <v>40383.398437499993</v>
      </c>
      <c r="D82" s="269">
        <f t="shared" si="24"/>
        <v>300.18326171874997</v>
      </c>
      <c r="E82" s="269">
        <f t="shared" si="25"/>
        <v>673.05664062499989</v>
      </c>
      <c r="F82" s="269">
        <f t="shared" si="22"/>
        <v>-32461.942437744136</v>
      </c>
      <c r="G82" s="269">
        <f t="shared" si="22"/>
        <v>-38700.7568359375</v>
      </c>
      <c r="H82" s="269">
        <f t="shared" si="23"/>
        <v>7921.4559997558572</v>
      </c>
      <c r="I82" s="269">
        <f t="shared" si="23"/>
        <v>1682.6416015624927</v>
      </c>
      <c r="J82" s="269">
        <f t="shared" si="7"/>
        <v>-6238.8143981933645</v>
      </c>
      <c r="K82" s="269">
        <f t="shared" si="18"/>
        <v>1310.1510236206066</v>
      </c>
      <c r="L82" s="269">
        <f t="shared" si="8"/>
        <v>-78.303409570312624</v>
      </c>
      <c r="M82" s="270">
        <f t="shared" si="9"/>
        <v>2992.7926251830995</v>
      </c>
      <c r="N82" s="21"/>
      <c r="O82" s="271"/>
      <c r="P82" s="271"/>
      <c r="Q82" s="271"/>
      <c r="R82" s="271"/>
      <c r="S82" s="271"/>
      <c r="T82" s="271"/>
    </row>
    <row r="83" spans="1:20" s="230" customFormat="1" ht="15">
      <c r="A83" s="267">
        <f t="shared" si="10"/>
        <v>46142</v>
      </c>
      <c r="B83" s="269">
        <f t="shared" si="14"/>
        <v>40383.398437499993</v>
      </c>
      <c r="C83" s="269">
        <f t="shared" si="13"/>
        <v>40383.398437499993</v>
      </c>
      <c r="D83" s="269">
        <f t="shared" si="24"/>
        <v>300.18326171874997</v>
      </c>
      <c r="E83" s="269">
        <f t="shared" si="25"/>
        <v>673.05664062499989</v>
      </c>
      <c r="F83" s="269">
        <f t="shared" si="22"/>
        <v>-32762.125699462886</v>
      </c>
      <c r="G83" s="269">
        <f t="shared" si="22"/>
        <v>-39373.8134765625</v>
      </c>
      <c r="H83" s="269">
        <f t="shared" si="23"/>
        <v>7621.272738037107</v>
      </c>
      <c r="I83" s="269">
        <f t="shared" si="23"/>
        <v>1009.5849609374927</v>
      </c>
      <c r="J83" s="269">
        <f t="shared" si="7"/>
        <v>-6611.6877770996143</v>
      </c>
      <c r="K83" s="269">
        <f t="shared" si="18"/>
        <v>1388.454433190919</v>
      </c>
      <c r="L83" s="269">
        <f t="shared" si="8"/>
        <v>-78.303409570312397</v>
      </c>
      <c r="M83" s="270">
        <f t="shared" si="9"/>
        <v>2398.0393941284119</v>
      </c>
      <c r="N83" s="21"/>
      <c r="O83" s="271"/>
      <c r="P83" s="271"/>
      <c r="Q83" s="271"/>
      <c r="R83" s="271"/>
      <c r="S83" s="271"/>
      <c r="T83" s="271"/>
    </row>
    <row r="84" spans="1:20" s="230" customFormat="1" ht="15">
      <c r="A84" s="267">
        <f t="shared" si="10"/>
        <v>46173</v>
      </c>
      <c r="B84" s="269">
        <f t="shared" si="14"/>
        <v>40383.398437499993</v>
      </c>
      <c r="C84" s="269">
        <f t="shared" si="13"/>
        <v>40383.398437499993</v>
      </c>
      <c r="D84" s="269">
        <f t="shared" si="24"/>
        <v>300.18326171874997</v>
      </c>
      <c r="E84" s="269">
        <f t="shared" si="25"/>
        <v>673.05664062499989</v>
      </c>
      <c r="F84" s="269">
        <f t="shared" si="22"/>
        <v>-33062.308961181632</v>
      </c>
      <c r="G84" s="269">
        <f t="shared" si="22"/>
        <v>-40046.8701171875</v>
      </c>
      <c r="H84" s="269">
        <f t="shared" si="23"/>
        <v>7321.0894763183605</v>
      </c>
      <c r="I84" s="269">
        <f t="shared" si="23"/>
        <v>336.52832031249272</v>
      </c>
      <c r="J84" s="269">
        <f t="shared" si="7"/>
        <v>-6984.5611560058678</v>
      </c>
      <c r="K84" s="269">
        <f t="shared" ref="K84:K115" si="26">-J84*$K$15</f>
        <v>1466.7578427612323</v>
      </c>
      <c r="L84" s="269">
        <f t="shared" si="8"/>
        <v>-78.303409570313306</v>
      </c>
      <c r="M84" s="270">
        <f t="shared" si="9"/>
        <v>1803.286163073725</v>
      </c>
      <c r="N84" s="21"/>
      <c r="O84" s="271"/>
      <c r="P84" s="271"/>
      <c r="Q84" s="271"/>
      <c r="R84" s="271"/>
      <c r="S84" s="271"/>
      <c r="T84" s="271"/>
    </row>
    <row r="85" spans="1:20" s="230" customFormat="1" ht="15">
      <c r="A85" s="267">
        <f t="shared" si="10"/>
        <v>46203</v>
      </c>
      <c r="B85" s="269">
        <f t="shared" si="14"/>
        <v>40383.398437499993</v>
      </c>
      <c r="C85" s="269">
        <f t="shared" si="13"/>
        <v>40383.398437499993</v>
      </c>
      <c r="D85" s="269">
        <f t="shared" si="24"/>
        <v>300.18326171874997</v>
      </c>
      <c r="E85" s="269">
        <f>C84+G84</f>
        <v>336.52832031249272</v>
      </c>
      <c r="F85" s="269">
        <f t="shared" ref="F85:G100" si="27">F84-D85</f>
        <v>-33362.492222900379</v>
      </c>
      <c r="G85" s="269">
        <f t="shared" si="27"/>
        <v>-40383.398437499993</v>
      </c>
      <c r="H85" s="269">
        <f t="shared" si="23"/>
        <v>7020.906214599614</v>
      </c>
      <c r="I85" s="269">
        <f t="shared" si="23"/>
        <v>0</v>
      </c>
      <c r="J85" s="269">
        <f t="shared" ref="J85:J148" si="28">I85-H85</f>
        <v>-7020.906214599614</v>
      </c>
      <c r="K85" s="269">
        <f t="shared" si="26"/>
        <v>1474.3903050659189</v>
      </c>
      <c r="L85" s="269">
        <f t="shared" ref="L85:L148" si="29">-K85+K84</f>
        <v>-7.6324623046866691</v>
      </c>
      <c r="M85" s="270">
        <f t="shared" ref="M85:M148" si="30">I85+K85</f>
        <v>1474.3903050659189</v>
      </c>
      <c r="N85" s="21"/>
      <c r="O85" s="271"/>
      <c r="P85" s="271"/>
      <c r="Q85" s="271"/>
      <c r="R85" s="271"/>
      <c r="S85" s="271"/>
      <c r="T85" s="271"/>
    </row>
    <row r="86" spans="1:20" s="230" customFormat="1" ht="15">
      <c r="A86" s="267">
        <f t="shared" ref="A86:A149" si="31">EOMONTH(A85,1)</f>
        <v>46234</v>
      </c>
      <c r="B86" s="269">
        <f t="shared" si="14"/>
        <v>40383.398437499993</v>
      </c>
      <c r="C86" s="269">
        <f t="shared" si="13"/>
        <v>40383.398437499993</v>
      </c>
      <c r="D86" s="269">
        <f t="shared" si="24"/>
        <v>300.18326171874997</v>
      </c>
      <c r="E86" s="269"/>
      <c r="F86" s="269">
        <f t="shared" si="27"/>
        <v>-33662.675484619125</v>
      </c>
      <c r="G86" s="269">
        <f t="shared" si="27"/>
        <v>-40383.398437499993</v>
      </c>
      <c r="H86" s="269">
        <f t="shared" si="23"/>
        <v>6720.7229528808675</v>
      </c>
      <c r="I86" s="269">
        <f t="shared" si="23"/>
        <v>0</v>
      </c>
      <c r="J86" s="269">
        <f t="shared" si="28"/>
        <v>-6720.7229528808675</v>
      </c>
      <c r="K86" s="269">
        <f t="shared" si="26"/>
        <v>1411.3518201049822</v>
      </c>
      <c r="L86" s="269">
        <f t="shared" si="29"/>
        <v>63.038484960936785</v>
      </c>
      <c r="M86" s="270">
        <f t="shared" si="30"/>
        <v>1411.3518201049822</v>
      </c>
      <c r="N86" s="21"/>
      <c r="O86" s="271"/>
      <c r="P86" s="271"/>
      <c r="Q86" s="271"/>
      <c r="R86" s="271"/>
      <c r="S86" s="271"/>
      <c r="T86" s="271"/>
    </row>
    <row r="87" spans="1:20" s="230" customFormat="1" ht="15">
      <c r="A87" s="267">
        <f t="shared" si="31"/>
        <v>46265</v>
      </c>
      <c r="B87" s="269">
        <f t="shared" si="14"/>
        <v>40383.398437499993</v>
      </c>
      <c r="C87" s="269">
        <f t="shared" si="13"/>
        <v>40383.398437499993</v>
      </c>
      <c r="D87" s="269">
        <f t="shared" si="24"/>
        <v>300.18326171874997</v>
      </c>
      <c r="E87" s="269"/>
      <c r="F87" s="269">
        <f t="shared" si="27"/>
        <v>-33962.858746337872</v>
      </c>
      <c r="G87" s="269">
        <f t="shared" si="27"/>
        <v>-40383.398437499993</v>
      </c>
      <c r="H87" s="269">
        <f t="shared" si="23"/>
        <v>6420.539691162121</v>
      </c>
      <c r="I87" s="269">
        <f t="shared" si="23"/>
        <v>0</v>
      </c>
      <c r="J87" s="269">
        <f t="shared" si="28"/>
        <v>-6420.539691162121</v>
      </c>
      <c r="K87" s="269">
        <f t="shared" si="26"/>
        <v>1348.3133351440454</v>
      </c>
      <c r="L87" s="269">
        <f t="shared" si="29"/>
        <v>63.038484960936785</v>
      </c>
      <c r="M87" s="270">
        <f t="shared" si="30"/>
        <v>1348.3133351440454</v>
      </c>
      <c r="N87" s="21"/>
      <c r="O87" s="271"/>
      <c r="P87" s="271"/>
      <c r="Q87" s="271"/>
      <c r="R87" s="271"/>
      <c r="S87" s="271"/>
      <c r="T87" s="271"/>
    </row>
    <row r="88" spans="1:20" s="230" customFormat="1" ht="15">
      <c r="A88" s="267">
        <f t="shared" si="31"/>
        <v>46295</v>
      </c>
      <c r="B88" s="269">
        <f t="shared" si="14"/>
        <v>40383.398437499993</v>
      </c>
      <c r="C88" s="269">
        <f t="shared" si="13"/>
        <v>40383.398437499993</v>
      </c>
      <c r="D88" s="269">
        <f t="shared" ref="D88:D99" si="32">B88*$H$5/12</f>
        <v>300.51979003906246</v>
      </c>
      <c r="E88" s="269"/>
      <c r="F88" s="269">
        <f t="shared" si="27"/>
        <v>-34263.378536376935</v>
      </c>
      <c r="G88" s="269">
        <f t="shared" si="27"/>
        <v>-40383.398437499993</v>
      </c>
      <c r="H88" s="269">
        <f t="shared" si="23"/>
        <v>6120.0199011230579</v>
      </c>
      <c r="I88" s="269">
        <f t="shared" si="23"/>
        <v>0</v>
      </c>
      <c r="J88" s="269">
        <f t="shared" si="28"/>
        <v>-6120.0199011230579</v>
      </c>
      <c r="K88" s="269">
        <f t="shared" si="26"/>
        <v>1285.204179235842</v>
      </c>
      <c r="L88" s="269">
        <f t="shared" si="29"/>
        <v>63.10915590820332</v>
      </c>
      <c r="M88" s="270">
        <f t="shared" si="30"/>
        <v>1285.204179235842</v>
      </c>
      <c r="N88" s="21"/>
      <c r="O88" s="271"/>
      <c r="P88" s="271"/>
      <c r="Q88" s="271"/>
      <c r="R88" s="271"/>
      <c r="S88" s="271"/>
      <c r="T88" s="271"/>
    </row>
    <row r="89" spans="1:20" s="230" customFormat="1" ht="15">
      <c r="A89" s="267">
        <f t="shared" si="31"/>
        <v>46326</v>
      </c>
      <c r="B89" s="269">
        <f t="shared" si="14"/>
        <v>40383.398437499993</v>
      </c>
      <c r="C89" s="269">
        <f t="shared" si="13"/>
        <v>40383.398437499993</v>
      </c>
      <c r="D89" s="269">
        <f t="shared" si="32"/>
        <v>300.51979003906246</v>
      </c>
      <c r="E89" s="269"/>
      <c r="F89" s="269">
        <f t="shared" si="27"/>
        <v>-34563.898326415998</v>
      </c>
      <c r="G89" s="269">
        <f t="shared" si="27"/>
        <v>-40383.398437499993</v>
      </c>
      <c r="H89" s="269">
        <f t="shared" si="23"/>
        <v>5819.5001110839949</v>
      </c>
      <c r="I89" s="269">
        <f t="shared" si="23"/>
        <v>0</v>
      </c>
      <c r="J89" s="269">
        <f t="shared" si="28"/>
        <v>-5819.5001110839949</v>
      </c>
      <c r="K89" s="269">
        <f t="shared" si="26"/>
        <v>1222.095023327639</v>
      </c>
      <c r="L89" s="269">
        <f t="shared" si="29"/>
        <v>63.109155908203093</v>
      </c>
      <c r="M89" s="270">
        <f t="shared" si="30"/>
        <v>1222.095023327639</v>
      </c>
      <c r="N89" s="21"/>
      <c r="O89" s="271"/>
      <c r="P89" s="271"/>
      <c r="Q89" s="271"/>
      <c r="R89" s="271"/>
      <c r="S89" s="271"/>
      <c r="T89" s="271"/>
    </row>
    <row r="90" spans="1:20" s="230" customFormat="1" ht="15">
      <c r="A90" s="267">
        <f t="shared" si="31"/>
        <v>46356</v>
      </c>
      <c r="B90" s="269">
        <f t="shared" si="14"/>
        <v>40383.398437499993</v>
      </c>
      <c r="C90" s="269">
        <f t="shared" si="13"/>
        <v>40383.398437499993</v>
      </c>
      <c r="D90" s="269">
        <f t="shared" si="32"/>
        <v>300.51979003906246</v>
      </c>
      <c r="E90" s="269"/>
      <c r="F90" s="269">
        <f t="shared" si="27"/>
        <v>-34864.418116455061</v>
      </c>
      <c r="G90" s="269">
        <f t="shared" si="27"/>
        <v>-40383.398437499993</v>
      </c>
      <c r="H90" s="269">
        <f t="shared" si="23"/>
        <v>5518.9803210449318</v>
      </c>
      <c r="I90" s="269">
        <f t="shared" si="23"/>
        <v>0</v>
      </c>
      <c r="J90" s="269">
        <f t="shared" si="28"/>
        <v>-5518.9803210449318</v>
      </c>
      <c r="K90" s="269">
        <f t="shared" si="26"/>
        <v>1158.9858674194356</v>
      </c>
      <c r="L90" s="269">
        <f t="shared" si="29"/>
        <v>63.10915590820332</v>
      </c>
      <c r="M90" s="270">
        <f t="shared" si="30"/>
        <v>1158.9858674194356</v>
      </c>
      <c r="N90" s="21"/>
      <c r="O90" s="271"/>
      <c r="P90" s="271"/>
      <c r="Q90" s="271"/>
      <c r="R90" s="271"/>
      <c r="S90" s="271"/>
      <c r="T90" s="271"/>
    </row>
    <row r="91" spans="1:20" s="230" customFormat="1" ht="15">
      <c r="A91" s="267">
        <f t="shared" si="31"/>
        <v>46387</v>
      </c>
      <c r="B91" s="269">
        <f t="shared" si="14"/>
        <v>40383.398437499993</v>
      </c>
      <c r="C91" s="269">
        <f t="shared" si="13"/>
        <v>40383.398437499993</v>
      </c>
      <c r="D91" s="269">
        <f t="shared" si="32"/>
        <v>300.51979003906246</v>
      </c>
      <c r="E91" s="269"/>
      <c r="F91" s="269">
        <f t="shared" si="27"/>
        <v>-35164.937906494124</v>
      </c>
      <c r="G91" s="269">
        <f t="shared" si="27"/>
        <v>-40383.398437499993</v>
      </c>
      <c r="H91" s="269">
        <f t="shared" ref="H91:I111" si="33">B91+F91</f>
        <v>5218.4605310058687</v>
      </c>
      <c r="I91" s="269">
        <f t="shared" si="33"/>
        <v>0</v>
      </c>
      <c r="J91" s="269">
        <f t="shared" si="28"/>
        <v>-5218.4605310058687</v>
      </c>
      <c r="K91" s="269">
        <f t="shared" si="26"/>
        <v>1095.8767115112323</v>
      </c>
      <c r="L91" s="269">
        <f t="shared" si="29"/>
        <v>63.10915590820332</v>
      </c>
      <c r="M91" s="270">
        <f t="shared" si="30"/>
        <v>1095.8767115112323</v>
      </c>
      <c r="N91" s="21"/>
      <c r="O91" s="271"/>
      <c r="P91" s="271"/>
      <c r="Q91" s="271"/>
      <c r="R91" s="271"/>
      <c r="S91" s="271"/>
      <c r="T91" s="271"/>
    </row>
    <row r="92" spans="1:20" s="230" customFormat="1" ht="15">
      <c r="A92" s="267">
        <f t="shared" si="31"/>
        <v>46418</v>
      </c>
      <c r="B92" s="269">
        <f t="shared" si="14"/>
        <v>40383.398437499993</v>
      </c>
      <c r="C92" s="269">
        <f t="shared" si="13"/>
        <v>40383.398437499993</v>
      </c>
      <c r="D92" s="269">
        <f t="shared" si="32"/>
        <v>300.51979003906246</v>
      </c>
      <c r="E92" s="269"/>
      <c r="F92" s="269">
        <f t="shared" si="27"/>
        <v>-35465.457696533187</v>
      </c>
      <c r="G92" s="269">
        <f t="shared" si="27"/>
        <v>-40383.398437499993</v>
      </c>
      <c r="H92" s="269">
        <f t="shared" si="33"/>
        <v>4917.9407409668056</v>
      </c>
      <c r="I92" s="269">
        <f t="shared" si="33"/>
        <v>0</v>
      </c>
      <c r="J92" s="269">
        <f t="shared" si="28"/>
        <v>-4917.9407409668056</v>
      </c>
      <c r="K92" s="269">
        <f t="shared" si="26"/>
        <v>1032.7675556030292</v>
      </c>
      <c r="L92" s="269">
        <f t="shared" si="29"/>
        <v>63.109155908203093</v>
      </c>
      <c r="M92" s="270">
        <f t="shared" si="30"/>
        <v>1032.7675556030292</v>
      </c>
      <c r="N92" s="21"/>
      <c r="O92" s="271"/>
      <c r="P92" s="271"/>
      <c r="Q92" s="271"/>
      <c r="R92" s="271"/>
      <c r="S92" s="271"/>
      <c r="T92" s="271"/>
    </row>
    <row r="93" spans="1:20" s="230" customFormat="1" ht="15">
      <c r="A93" s="267">
        <f t="shared" si="31"/>
        <v>46446</v>
      </c>
      <c r="B93" s="269">
        <f t="shared" si="14"/>
        <v>40383.398437499993</v>
      </c>
      <c r="C93" s="269">
        <f t="shared" si="13"/>
        <v>40383.398437499993</v>
      </c>
      <c r="D93" s="269">
        <f t="shared" si="32"/>
        <v>300.51979003906246</v>
      </c>
      <c r="E93" s="269"/>
      <c r="F93" s="269">
        <f t="shared" si="27"/>
        <v>-35765.97748657225</v>
      </c>
      <c r="G93" s="269">
        <f t="shared" si="27"/>
        <v>-40383.398437499993</v>
      </c>
      <c r="H93" s="269">
        <f t="shared" si="33"/>
        <v>4617.4209509277425</v>
      </c>
      <c r="I93" s="269">
        <f t="shared" si="33"/>
        <v>0</v>
      </c>
      <c r="J93" s="269">
        <f t="shared" si="28"/>
        <v>-4617.4209509277425</v>
      </c>
      <c r="K93" s="269">
        <f t="shared" si="26"/>
        <v>969.6583996948259</v>
      </c>
      <c r="L93" s="269">
        <f t="shared" si="29"/>
        <v>63.10915590820332</v>
      </c>
      <c r="M93" s="270">
        <f t="shared" si="30"/>
        <v>969.6583996948259</v>
      </c>
      <c r="N93" s="21"/>
      <c r="O93" s="271"/>
      <c r="P93" s="271"/>
      <c r="Q93" s="271"/>
      <c r="R93" s="271"/>
      <c r="S93" s="271"/>
      <c r="T93" s="271"/>
    </row>
    <row r="94" spans="1:20" s="230" customFormat="1" ht="15">
      <c r="A94" s="267">
        <f t="shared" si="31"/>
        <v>46477</v>
      </c>
      <c r="B94" s="269">
        <f t="shared" si="14"/>
        <v>40383.398437499993</v>
      </c>
      <c r="C94" s="269">
        <f t="shared" si="13"/>
        <v>40383.398437499993</v>
      </c>
      <c r="D94" s="269">
        <f t="shared" si="32"/>
        <v>300.51979003906246</v>
      </c>
      <c r="E94" s="269"/>
      <c r="F94" s="269">
        <f t="shared" si="27"/>
        <v>-36066.497276611313</v>
      </c>
      <c r="G94" s="269">
        <f t="shared" si="27"/>
        <v>-40383.398437499993</v>
      </c>
      <c r="H94" s="269">
        <f t="shared" si="33"/>
        <v>4316.9011608886794</v>
      </c>
      <c r="I94" s="269">
        <f t="shared" si="33"/>
        <v>0</v>
      </c>
      <c r="J94" s="269">
        <f t="shared" si="28"/>
        <v>-4316.9011608886794</v>
      </c>
      <c r="K94" s="269">
        <f t="shared" si="26"/>
        <v>906.5492437866227</v>
      </c>
      <c r="L94" s="269">
        <f t="shared" si="29"/>
        <v>63.109155908203206</v>
      </c>
      <c r="M94" s="270">
        <f t="shared" si="30"/>
        <v>906.5492437866227</v>
      </c>
      <c r="N94" s="21"/>
      <c r="O94" s="271"/>
      <c r="P94" s="271"/>
      <c r="Q94" s="271"/>
      <c r="R94" s="271"/>
      <c r="S94" s="271"/>
      <c r="T94" s="271"/>
    </row>
    <row r="95" spans="1:20" s="230" customFormat="1" ht="15">
      <c r="A95" s="267">
        <f t="shared" si="31"/>
        <v>46507</v>
      </c>
      <c r="B95" s="269">
        <f t="shared" si="14"/>
        <v>40383.398437499993</v>
      </c>
      <c r="C95" s="269">
        <f t="shared" si="13"/>
        <v>40383.398437499993</v>
      </c>
      <c r="D95" s="269">
        <f t="shared" si="32"/>
        <v>300.51979003906246</v>
      </c>
      <c r="E95" s="269"/>
      <c r="F95" s="269">
        <f t="shared" si="27"/>
        <v>-36367.017066650376</v>
      </c>
      <c r="G95" s="269">
        <f t="shared" si="27"/>
        <v>-40383.398437499993</v>
      </c>
      <c r="H95" s="269">
        <f t="shared" si="33"/>
        <v>4016.3813708496164</v>
      </c>
      <c r="I95" s="269">
        <f t="shared" si="33"/>
        <v>0</v>
      </c>
      <c r="J95" s="269">
        <f t="shared" si="28"/>
        <v>-4016.3813708496164</v>
      </c>
      <c r="K95" s="269">
        <f t="shared" si="26"/>
        <v>843.44008787841938</v>
      </c>
      <c r="L95" s="269">
        <f t="shared" si="29"/>
        <v>63.10915590820332</v>
      </c>
      <c r="M95" s="270">
        <f t="shared" si="30"/>
        <v>843.44008787841938</v>
      </c>
      <c r="N95" s="21"/>
      <c r="O95" s="271"/>
      <c r="P95" s="271"/>
      <c r="Q95" s="271"/>
      <c r="R95" s="271"/>
      <c r="S95" s="271"/>
      <c r="T95" s="271"/>
    </row>
    <row r="96" spans="1:20" s="230" customFormat="1" ht="15">
      <c r="A96" s="267">
        <f t="shared" si="31"/>
        <v>46538</v>
      </c>
      <c r="B96" s="269">
        <f t="shared" si="14"/>
        <v>40383.398437499993</v>
      </c>
      <c r="C96" s="269">
        <f t="shared" si="14"/>
        <v>40383.398437499993</v>
      </c>
      <c r="D96" s="269">
        <f t="shared" si="32"/>
        <v>300.51979003906246</v>
      </c>
      <c r="E96" s="269"/>
      <c r="F96" s="269">
        <f t="shared" si="27"/>
        <v>-36667.536856689439</v>
      </c>
      <c r="G96" s="269">
        <f t="shared" si="27"/>
        <v>-40383.398437499993</v>
      </c>
      <c r="H96" s="269">
        <f t="shared" si="33"/>
        <v>3715.8615808105533</v>
      </c>
      <c r="I96" s="269">
        <f t="shared" si="33"/>
        <v>0</v>
      </c>
      <c r="J96" s="269">
        <f t="shared" si="28"/>
        <v>-3715.8615808105533</v>
      </c>
      <c r="K96" s="269">
        <f t="shared" si="26"/>
        <v>780.33093197021617</v>
      </c>
      <c r="L96" s="269">
        <f t="shared" si="29"/>
        <v>63.109155908203206</v>
      </c>
      <c r="M96" s="270">
        <f t="shared" si="30"/>
        <v>780.33093197021617</v>
      </c>
      <c r="N96" s="21"/>
      <c r="O96" s="271"/>
      <c r="P96" s="271"/>
      <c r="Q96" s="271"/>
      <c r="R96" s="271"/>
      <c r="S96" s="271"/>
      <c r="T96" s="271"/>
    </row>
    <row r="97" spans="1:20" s="230" customFormat="1" ht="15">
      <c r="A97" s="267">
        <f t="shared" si="31"/>
        <v>46568</v>
      </c>
      <c r="B97" s="269">
        <f t="shared" ref="B97:C118" si="34">B96</f>
        <v>40383.398437499993</v>
      </c>
      <c r="C97" s="269">
        <f t="shared" si="34"/>
        <v>40383.398437499993</v>
      </c>
      <c r="D97" s="269">
        <f t="shared" si="32"/>
        <v>300.51979003906246</v>
      </c>
      <c r="E97" s="269"/>
      <c r="F97" s="269">
        <f t="shared" si="27"/>
        <v>-36968.056646728503</v>
      </c>
      <c r="G97" s="269">
        <f t="shared" si="27"/>
        <v>-40383.398437499993</v>
      </c>
      <c r="H97" s="269">
        <f t="shared" si="33"/>
        <v>3415.3417907714902</v>
      </c>
      <c r="I97" s="269">
        <f t="shared" si="33"/>
        <v>0</v>
      </c>
      <c r="J97" s="269">
        <f t="shared" si="28"/>
        <v>-3415.3417907714902</v>
      </c>
      <c r="K97" s="269">
        <f t="shared" si="26"/>
        <v>717.22177606201296</v>
      </c>
      <c r="L97" s="269">
        <f t="shared" si="29"/>
        <v>63.109155908203206</v>
      </c>
      <c r="M97" s="270">
        <f t="shared" si="30"/>
        <v>717.22177606201296</v>
      </c>
      <c r="N97" s="21"/>
      <c r="O97" s="271"/>
      <c r="P97" s="271"/>
      <c r="Q97" s="271"/>
      <c r="R97" s="271"/>
      <c r="S97" s="271"/>
      <c r="T97" s="271"/>
    </row>
    <row r="98" spans="1:20" s="230" customFormat="1" ht="15">
      <c r="A98" s="267">
        <f t="shared" si="31"/>
        <v>46599</v>
      </c>
      <c r="B98" s="269">
        <f t="shared" si="34"/>
        <v>40383.398437499993</v>
      </c>
      <c r="C98" s="269">
        <f t="shared" si="34"/>
        <v>40383.398437499993</v>
      </c>
      <c r="D98" s="269">
        <f t="shared" si="32"/>
        <v>300.51979003906246</v>
      </c>
      <c r="E98" s="269"/>
      <c r="F98" s="269">
        <f t="shared" si="27"/>
        <v>-37268.576436767566</v>
      </c>
      <c r="G98" s="269">
        <f t="shared" si="27"/>
        <v>-40383.398437499993</v>
      </c>
      <c r="H98" s="269">
        <f t="shared" si="33"/>
        <v>3114.8220007324271</v>
      </c>
      <c r="I98" s="269">
        <f t="shared" si="33"/>
        <v>0</v>
      </c>
      <c r="J98" s="269">
        <f t="shared" si="28"/>
        <v>-3114.8220007324271</v>
      </c>
      <c r="K98" s="269">
        <f t="shared" si="26"/>
        <v>654.11262015380964</v>
      </c>
      <c r="L98" s="269">
        <f t="shared" si="29"/>
        <v>63.10915590820332</v>
      </c>
      <c r="M98" s="270">
        <f t="shared" si="30"/>
        <v>654.11262015380964</v>
      </c>
      <c r="N98" s="21"/>
      <c r="O98" s="271"/>
      <c r="P98" s="271"/>
      <c r="Q98" s="271"/>
      <c r="R98" s="271"/>
      <c r="S98" s="271"/>
      <c r="T98" s="271"/>
    </row>
    <row r="99" spans="1:20" s="230" customFormat="1" ht="15">
      <c r="A99" s="267">
        <f t="shared" si="31"/>
        <v>46630</v>
      </c>
      <c r="B99" s="269">
        <f t="shared" si="34"/>
        <v>40383.398437499993</v>
      </c>
      <c r="C99" s="269">
        <f t="shared" si="34"/>
        <v>40383.398437499993</v>
      </c>
      <c r="D99" s="269">
        <f t="shared" si="32"/>
        <v>300.51979003906246</v>
      </c>
      <c r="E99" s="269"/>
      <c r="F99" s="269">
        <f t="shared" si="27"/>
        <v>-37569.096226806629</v>
      </c>
      <c r="G99" s="269">
        <f t="shared" si="27"/>
        <v>-40383.398437499993</v>
      </c>
      <c r="H99" s="269">
        <f t="shared" si="33"/>
        <v>2814.302210693364</v>
      </c>
      <c r="I99" s="269">
        <f t="shared" si="33"/>
        <v>0</v>
      </c>
      <c r="J99" s="269">
        <f t="shared" si="28"/>
        <v>-2814.302210693364</v>
      </c>
      <c r="K99" s="269">
        <f t="shared" si="26"/>
        <v>591.00346424560644</v>
      </c>
      <c r="L99" s="269">
        <f t="shared" si="29"/>
        <v>63.109155908203206</v>
      </c>
      <c r="M99" s="270">
        <f t="shared" si="30"/>
        <v>591.00346424560644</v>
      </c>
      <c r="N99" s="21"/>
      <c r="O99" s="271"/>
      <c r="P99" s="271"/>
      <c r="Q99" s="271"/>
      <c r="R99" s="271"/>
      <c r="S99" s="271"/>
      <c r="T99" s="271"/>
    </row>
    <row r="100" spans="1:20" s="230" customFormat="1" ht="15">
      <c r="A100" s="267">
        <f t="shared" si="31"/>
        <v>46660</v>
      </c>
      <c r="B100" s="269">
        <f t="shared" si="34"/>
        <v>40383.398437499993</v>
      </c>
      <c r="C100" s="269">
        <f t="shared" si="34"/>
        <v>40383.398437499993</v>
      </c>
      <c r="D100" s="269">
        <f t="shared" ref="D100:D117" si="35">B100*$I$5/12</f>
        <v>150.09163085937499</v>
      </c>
      <c r="E100" s="269"/>
      <c r="F100" s="269">
        <f t="shared" si="27"/>
        <v>-37719.187857666002</v>
      </c>
      <c r="G100" s="269">
        <f t="shared" si="27"/>
        <v>-40383.398437499993</v>
      </c>
      <c r="H100" s="269">
        <f t="shared" si="33"/>
        <v>2664.2105798339908</v>
      </c>
      <c r="I100" s="269">
        <f t="shared" si="33"/>
        <v>0</v>
      </c>
      <c r="J100" s="269">
        <f t="shared" si="28"/>
        <v>-2664.2105798339908</v>
      </c>
      <c r="K100" s="269">
        <f t="shared" si="26"/>
        <v>559.48422176513805</v>
      </c>
      <c r="L100" s="269">
        <f t="shared" si="29"/>
        <v>31.519242480468392</v>
      </c>
      <c r="M100" s="270">
        <f t="shared" si="30"/>
        <v>559.48422176513805</v>
      </c>
      <c r="N100" s="21"/>
      <c r="O100" s="271"/>
      <c r="P100" s="271"/>
      <c r="Q100" s="271"/>
      <c r="R100" s="271"/>
      <c r="S100" s="271"/>
      <c r="T100" s="271"/>
    </row>
    <row r="101" spans="1:20" s="230" customFormat="1" ht="15">
      <c r="A101" s="267">
        <f t="shared" si="31"/>
        <v>46691</v>
      </c>
      <c r="B101" s="269">
        <f t="shared" si="34"/>
        <v>40383.398437499993</v>
      </c>
      <c r="C101" s="269">
        <f t="shared" si="34"/>
        <v>40383.398437499993</v>
      </c>
      <c r="D101" s="269">
        <f t="shared" si="35"/>
        <v>150.09163085937499</v>
      </c>
      <c r="E101" s="269"/>
      <c r="F101" s="269">
        <f t="shared" ref="F101:G116" si="36">F100-D101</f>
        <v>-37869.279488525375</v>
      </c>
      <c r="G101" s="269">
        <f t="shared" si="36"/>
        <v>-40383.398437499993</v>
      </c>
      <c r="H101" s="269">
        <f t="shared" si="33"/>
        <v>2514.1189489746175</v>
      </c>
      <c r="I101" s="269">
        <f t="shared" si="33"/>
        <v>0</v>
      </c>
      <c r="J101" s="269">
        <f t="shared" si="28"/>
        <v>-2514.1189489746175</v>
      </c>
      <c r="K101" s="269">
        <f t="shared" si="26"/>
        <v>527.96497928466965</v>
      </c>
      <c r="L101" s="269">
        <f t="shared" si="29"/>
        <v>31.519242480468392</v>
      </c>
      <c r="M101" s="270">
        <f t="shared" si="30"/>
        <v>527.96497928466965</v>
      </c>
      <c r="N101" s="21"/>
      <c r="O101" s="271"/>
      <c r="P101" s="271"/>
      <c r="Q101" s="271"/>
      <c r="R101" s="271"/>
      <c r="S101" s="271"/>
      <c r="T101" s="271"/>
    </row>
    <row r="102" spans="1:20" s="230" customFormat="1" ht="15">
      <c r="A102" s="267">
        <f t="shared" si="31"/>
        <v>46721</v>
      </c>
      <c r="B102" s="269">
        <f t="shared" si="34"/>
        <v>40383.398437499993</v>
      </c>
      <c r="C102" s="269">
        <f t="shared" si="34"/>
        <v>40383.398437499993</v>
      </c>
      <c r="D102" s="269">
        <f t="shared" si="35"/>
        <v>150.09163085937499</v>
      </c>
      <c r="E102" s="269"/>
      <c r="F102" s="269">
        <f t="shared" si="36"/>
        <v>-38019.371119384748</v>
      </c>
      <c r="G102" s="269">
        <f t="shared" si="36"/>
        <v>-40383.398437499993</v>
      </c>
      <c r="H102" s="269">
        <f t="shared" si="33"/>
        <v>2364.0273181152443</v>
      </c>
      <c r="I102" s="269">
        <f t="shared" si="33"/>
        <v>0</v>
      </c>
      <c r="J102" s="269">
        <f t="shared" si="28"/>
        <v>-2364.0273181152443</v>
      </c>
      <c r="K102" s="269">
        <f t="shared" si="26"/>
        <v>496.44573680420126</v>
      </c>
      <c r="L102" s="269">
        <f t="shared" si="29"/>
        <v>31.519242480468392</v>
      </c>
      <c r="M102" s="270">
        <f t="shared" si="30"/>
        <v>496.44573680420126</v>
      </c>
      <c r="N102" s="21"/>
      <c r="O102" s="271"/>
      <c r="P102" s="271"/>
      <c r="Q102" s="271"/>
      <c r="R102" s="271"/>
      <c r="S102" s="271"/>
      <c r="T102" s="271"/>
    </row>
    <row r="103" spans="1:20" s="230" customFormat="1" ht="15">
      <c r="A103" s="267">
        <f t="shared" si="31"/>
        <v>46752</v>
      </c>
      <c r="B103" s="269">
        <f t="shared" si="34"/>
        <v>40383.398437499993</v>
      </c>
      <c r="C103" s="269">
        <f t="shared" si="34"/>
        <v>40383.398437499993</v>
      </c>
      <c r="D103" s="269">
        <f t="shared" si="35"/>
        <v>150.09163085937499</v>
      </c>
      <c r="E103" s="269"/>
      <c r="F103" s="269">
        <f t="shared" si="36"/>
        <v>-38169.462750244122</v>
      </c>
      <c r="G103" s="269">
        <f t="shared" si="36"/>
        <v>-40383.398437499993</v>
      </c>
      <c r="H103" s="269">
        <f t="shared" si="33"/>
        <v>2213.935687255871</v>
      </c>
      <c r="I103" s="269">
        <f t="shared" si="33"/>
        <v>0</v>
      </c>
      <c r="J103" s="269">
        <f t="shared" si="28"/>
        <v>-2213.935687255871</v>
      </c>
      <c r="K103" s="269">
        <f t="shared" si="26"/>
        <v>464.92649432373287</v>
      </c>
      <c r="L103" s="269">
        <f t="shared" si="29"/>
        <v>31.519242480468392</v>
      </c>
      <c r="M103" s="270">
        <f t="shared" si="30"/>
        <v>464.92649432373287</v>
      </c>
      <c r="N103" s="21"/>
      <c r="O103" s="271"/>
      <c r="P103" s="271"/>
      <c r="Q103" s="271"/>
      <c r="R103" s="271"/>
      <c r="S103" s="271"/>
      <c r="T103" s="271"/>
    </row>
    <row r="104" spans="1:20" s="230" customFormat="1" ht="15">
      <c r="A104" s="267">
        <f t="shared" si="31"/>
        <v>46783</v>
      </c>
      <c r="B104" s="269">
        <f t="shared" si="34"/>
        <v>40383.398437499993</v>
      </c>
      <c r="C104" s="269">
        <f t="shared" si="34"/>
        <v>40383.398437499993</v>
      </c>
      <c r="D104" s="269">
        <f t="shared" si="35"/>
        <v>150.09163085937499</v>
      </c>
      <c r="E104" s="269"/>
      <c r="F104" s="269">
        <f t="shared" si="36"/>
        <v>-38319.554381103495</v>
      </c>
      <c r="G104" s="269">
        <f t="shared" si="36"/>
        <v>-40383.398437499993</v>
      </c>
      <c r="H104" s="269">
        <f t="shared" si="33"/>
        <v>2063.8440563964978</v>
      </c>
      <c r="I104" s="269">
        <f t="shared" si="33"/>
        <v>0</v>
      </c>
      <c r="J104" s="269">
        <f t="shared" si="28"/>
        <v>-2063.8440563964978</v>
      </c>
      <c r="K104" s="269">
        <f t="shared" si="26"/>
        <v>433.40725184326453</v>
      </c>
      <c r="L104" s="269">
        <f t="shared" si="29"/>
        <v>31.519242480468336</v>
      </c>
      <c r="M104" s="270">
        <f t="shared" si="30"/>
        <v>433.40725184326453</v>
      </c>
      <c r="N104" s="21"/>
      <c r="O104" s="271"/>
      <c r="P104" s="271"/>
      <c r="Q104" s="271"/>
      <c r="R104" s="271"/>
      <c r="S104" s="271"/>
      <c r="T104" s="271"/>
    </row>
    <row r="105" spans="1:20" s="230" customFormat="1" ht="15">
      <c r="A105" s="267">
        <f t="shared" si="31"/>
        <v>46812</v>
      </c>
      <c r="B105" s="269">
        <f t="shared" si="34"/>
        <v>40383.398437499993</v>
      </c>
      <c r="C105" s="269">
        <f t="shared" si="34"/>
        <v>40383.398437499993</v>
      </c>
      <c r="D105" s="269">
        <f t="shared" si="35"/>
        <v>150.09163085937499</v>
      </c>
      <c r="E105" s="269"/>
      <c r="F105" s="269">
        <f t="shared" si="36"/>
        <v>-38469.646011962868</v>
      </c>
      <c r="G105" s="269">
        <f t="shared" si="36"/>
        <v>-40383.398437499993</v>
      </c>
      <c r="H105" s="269">
        <f t="shared" si="33"/>
        <v>1913.7524255371245</v>
      </c>
      <c r="I105" s="269">
        <f t="shared" si="33"/>
        <v>0</v>
      </c>
      <c r="J105" s="269">
        <f t="shared" si="28"/>
        <v>-1913.7524255371245</v>
      </c>
      <c r="K105" s="269">
        <f t="shared" si="26"/>
        <v>401.88800936279614</v>
      </c>
      <c r="L105" s="269">
        <f t="shared" si="29"/>
        <v>31.519242480468392</v>
      </c>
      <c r="M105" s="270">
        <f t="shared" si="30"/>
        <v>401.88800936279614</v>
      </c>
      <c r="N105" s="21"/>
      <c r="O105" s="271"/>
      <c r="P105" s="271"/>
      <c r="Q105" s="271"/>
      <c r="R105" s="271"/>
      <c r="S105" s="271"/>
      <c r="T105" s="271"/>
    </row>
    <row r="106" spans="1:20" s="230" customFormat="1" ht="15">
      <c r="A106" s="267">
        <f t="shared" si="31"/>
        <v>46843</v>
      </c>
      <c r="B106" s="269">
        <f t="shared" si="34"/>
        <v>40383.398437499993</v>
      </c>
      <c r="C106" s="269">
        <f t="shared" si="34"/>
        <v>40383.398437499993</v>
      </c>
      <c r="D106" s="269">
        <f t="shared" si="35"/>
        <v>150.09163085937499</v>
      </c>
      <c r="E106" s="269"/>
      <c r="F106" s="269">
        <f t="shared" si="36"/>
        <v>-38619.737642822241</v>
      </c>
      <c r="G106" s="269">
        <f t="shared" si="36"/>
        <v>-40383.398437499993</v>
      </c>
      <c r="H106" s="269">
        <f t="shared" si="33"/>
        <v>1763.6607946777513</v>
      </c>
      <c r="I106" s="269">
        <f t="shared" si="33"/>
        <v>0</v>
      </c>
      <c r="J106" s="269">
        <f t="shared" si="28"/>
        <v>-1763.6607946777513</v>
      </c>
      <c r="K106" s="269">
        <f t="shared" si="26"/>
        <v>370.36876688232775</v>
      </c>
      <c r="L106" s="269">
        <f t="shared" si="29"/>
        <v>31.519242480468392</v>
      </c>
      <c r="M106" s="270">
        <f t="shared" si="30"/>
        <v>370.36876688232775</v>
      </c>
      <c r="N106" s="21"/>
      <c r="O106" s="271"/>
      <c r="P106" s="271"/>
      <c r="Q106" s="271"/>
      <c r="R106" s="271"/>
      <c r="S106" s="271"/>
      <c r="T106" s="271"/>
    </row>
    <row r="107" spans="1:20" s="230" customFormat="1" ht="15">
      <c r="A107" s="267">
        <f t="shared" si="31"/>
        <v>46873</v>
      </c>
      <c r="B107" s="269">
        <f t="shared" si="34"/>
        <v>40383.398437499993</v>
      </c>
      <c r="C107" s="269">
        <f t="shared" si="34"/>
        <v>40383.398437499993</v>
      </c>
      <c r="D107" s="269">
        <f t="shared" si="35"/>
        <v>150.09163085937499</v>
      </c>
      <c r="E107" s="269"/>
      <c r="F107" s="269">
        <f t="shared" si="36"/>
        <v>-38769.829273681615</v>
      </c>
      <c r="G107" s="269">
        <f t="shared" si="36"/>
        <v>-40383.398437499993</v>
      </c>
      <c r="H107" s="269">
        <f t="shared" si="33"/>
        <v>1613.569163818378</v>
      </c>
      <c r="I107" s="269">
        <f t="shared" si="33"/>
        <v>0</v>
      </c>
      <c r="J107" s="269">
        <f t="shared" si="28"/>
        <v>-1613.569163818378</v>
      </c>
      <c r="K107" s="269">
        <f t="shared" si="26"/>
        <v>338.84952440185936</v>
      </c>
      <c r="L107" s="269">
        <f t="shared" si="29"/>
        <v>31.519242480468392</v>
      </c>
      <c r="M107" s="270">
        <f t="shared" si="30"/>
        <v>338.84952440185936</v>
      </c>
      <c r="N107" s="21"/>
      <c r="O107" s="271"/>
      <c r="P107" s="271"/>
      <c r="Q107" s="271"/>
      <c r="R107" s="271"/>
      <c r="S107" s="271"/>
      <c r="T107" s="271"/>
    </row>
    <row r="108" spans="1:20" s="230" customFormat="1" ht="15">
      <c r="A108" s="267">
        <f t="shared" si="31"/>
        <v>46904</v>
      </c>
      <c r="B108" s="269">
        <f t="shared" si="34"/>
        <v>40383.398437499993</v>
      </c>
      <c r="C108" s="269">
        <f t="shared" si="34"/>
        <v>40383.398437499993</v>
      </c>
      <c r="D108" s="269">
        <f t="shared" si="35"/>
        <v>150.09163085937499</v>
      </c>
      <c r="E108" s="269"/>
      <c r="F108" s="269">
        <f t="shared" si="36"/>
        <v>-38919.920904540988</v>
      </c>
      <c r="G108" s="269">
        <f t="shared" si="36"/>
        <v>-40383.398437499993</v>
      </c>
      <c r="H108" s="269">
        <f t="shared" si="33"/>
        <v>1463.4775329590047</v>
      </c>
      <c r="I108" s="269">
        <f t="shared" si="33"/>
        <v>0</v>
      </c>
      <c r="J108" s="269">
        <f t="shared" si="28"/>
        <v>-1463.4775329590047</v>
      </c>
      <c r="K108" s="269">
        <f t="shared" si="26"/>
        <v>307.33028192139096</v>
      </c>
      <c r="L108" s="269">
        <f t="shared" si="29"/>
        <v>31.519242480468392</v>
      </c>
      <c r="M108" s="270">
        <f t="shared" si="30"/>
        <v>307.33028192139096</v>
      </c>
      <c r="N108" s="21"/>
      <c r="O108" s="271"/>
      <c r="P108" s="271"/>
      <c r="Q108" s="271"/>
      <c r="R108" s="271"/>
      <c r="S108" s="271"/>
      <c r="T108" s="271"/>
    </row>
    <row r="109" spans="1:20" s="230" customFormat="1" ht="15">
      <c r="A109" s="267">
        <f t="shared" si="31"/>
        <v>46934</v>
      </c>
      <c r="B109" s="269">
        <f t="shared" si="34"/>
        <v>40383.398437499993</v>
      </c>
      <c r="C109" s="269">
        <f t="shared" si="34"/>
        <v>40383.398437499993</v>
      </c>
      <c r="D109" s="269">
        <f t="shared" si="35"/>
        <v>150.09163085937499</v>
      </c>
      <c r="E109" s="269"/>
      <c r="F109" s="269">
        <f t="shared" si="36"/>
        <v>-39070.012535400361</v>
      </c>
      <c r="G109" s="269">
        <f t="shared" si="36"/>
        <v>-40383.398437499993</v>
      </c>
      <c r="H109" s="269">
        <f t="shared" si="33"/>
        <v>1313.3859020996315</v>
      </c>
      <c r="I109" s="269">
        <f t="shared" si="33"/>
        <v>0</v>
      </c>
      <c r="J109" s="269">
        <f t="shared" si="28"/>
        <v>-1313.3859020996315</v>
      </c>
      <c r="K109" s="269">
        <f t="shared" si="26"/>
        <v>275.81103944092263</v>
      </c>
      <c r="L109" s="269">
        <f t="shared" si="29"/>
        <v>31.519242480468336</v>
      </c>
      <c r="M109" s="270">
        <f t="shared" si="30"/>
        <v>275.81103944092263</v>
      </c>
      <c r="N109" s="97"/>
      <c r="O109" s="271"/>
      <c r="P109" s="271"/>
      <c r="Q109" s="271"/>
      <c r="R109" s="271"/>
      <c r="S109" s="271"/>
      <c r="T109" s="271"/>
    </row>
    <row r="110" spans="1:20" s="230" customFormat="1" ht="15">
      <c r="A110" s="267">
        <f t="shared" si="31"/>
        <v>46965</v>
      </c>
      <c r="B110" s="269">
        <f t="shared" si="34"/>
        <v>40383.398437499993</v>
      </c>
      <c r="C110" s="269">
        <f t="shared" si="34"/>
        <v>40383.398437499993</v>
      </c>
      <c r="D110" s="269">
        <f t="shared" si="35"/>
        <v>150.09163085937499</v>
      </c>
      <c r="E110" s="269"/>
      <c r="F110" s="269">
        <f t="shared" si="36"/>
        <v>-39220.104166259734</v>
      </c>
      <c r="G110" s="269">
        <f t="shared" si="36"/>
        <v>-40383.398437499993</v>
      </c>
      <c r="H110" s="269">
        <f t="shared" si="33"/>
        <v>1163.2942712402582</v>
      </c>
      <c r="I110" s="269">
        <f t="shared" si="33"/>
        <v>0</v>
      </c>
      <c r="J110" s="269">
        <f t="shared" si="28"/>
        <v>-1163.2942712402582</v>
      </c>
      <c r="K110" s="269">
        <f t="shared" si="26"/>
        <v>244.29179696045423</v>
      </c>
      <c r="L110" s="269">
        <f t="shared" si="29"/>
        <v>31.519242480468392</v>
      </c>
      <c r="M110" s="270">
        <f t="shared" si="30"/>
        <v>244.29179696045423</v>
      </c>
      <c r="N110" s="97"/>
      <c r="O110" s="271"/>
      <c r="P110" s="271"/>
      <c r="Q110" s="271"/>
      <c r="R110" s="271"/>
      <c r="S110" s="271"/>
      <c r="T110" s="271"/>
    </row>
    <row r="111" spans="1:20" s="230" customFormat="1" ht="15">
      <c r="A111" s="267">
        <f t="shared" si="31"/>
        <v>46996</v>
      </c>
      <c r="B111" s="269">
        <f t="shared" si="34"/>
        <v>40383.398437499993</v>
      </c>
      <c r="C111" s="269">
        <f t="shared" si="34"/>
        <v>40383.398437499993</v>
      </c>
      <c r="D111" s="269">
        <f t="shared" si="35"/>
        <v>150.09163085937499</v>
      </c>
      <c r="E111" s="269"/>
      <c r="F111" s="269">
        <f t="shared" si="36"/>
        <v>-39370.195797119108</v>
      </c>
      <c r="G111" s="269">
        <f t="shared" si="36"/>
        <v>-40383.398437499993</v>
      </c>
      <c r="H111" s="269">
        <f t="shared" si="33"/>
        <v>1013.202640380885</v>
      </c>
      <c r="I111" s="269">
        <f t="shared" si="33"/>
        <v>0</v>
      </c>
      <c r="J111" s="269">
        <f t="shared" si="28"/>
        <v>-1013.202640380885</v>
      </c>
      <c r="K111" s="269">
        <f t="shared" si="26"/>
        <v>212.77255447998584</v>
      </c>
      <c r="L111" s="269">
        <f t="shared" si="29"/>
        <v>31.519242480468392</v>
      </c>
      <c r="M111" s="270">
        <f t="shared" si="30"/>
        <v>212.77255447998584</v>
      </c>
      <c r="N111" s="97"/>
      <c r="O111" s="271"/>
      <c r="P111" s="271"/>
      <c r="Q111" s="271"/>
      <c r="R111" s="271"/>
      <c r="S111" s="271"/>
      <c r="T111" s="271"/>
    </row>
    <row r="112" spans="1:20" s="230" customFormat="1" ht="15">
      <c r="A112" s="267">
        <f t="shared" si="31"/>
        <v>47026</v>
      </c>
      <c r="B112" s="269">
        <f t="shared" si="34"/>
        <v>40383.398437499993</v>
      </c>
      <c r="C112" s="269">
        <f t="shared" si="34"/>
        <v>40383.398437499993</v>
      </c>
      <c r="D112" s="269">
        <f t="shared" si="35"/>
        <v>150.09163085937499</v>
      </c>
      <c r="E112" s="269"/>
      <c r="F112" s="269">
        <f t="shared" si="36"/>
        <v>-39520.287427978481</v>
      </c>
      <c r="G112" s="269">
        <f t="shared" si="36"/>
        <v>-40383.398437499993</v>
      </c>
      <c r="H112" s="269">
        <f t="shared" ref="H112:I127" si="37">B112+F112</f>
        <v>863.11100952151173</v>
      </c>
      <c r="I112" s="269">
        <f t="shared" si="37"/>
        <v>0</v>
      </c>
      <c r="J112" s="269">
        <f t="shared" si="28"/>
        <v>-863.11100952151173</v>
      </c>
      <c r="K112" s="269">
        <f t="shared" si="26"/>
        <v>181.25331199951745</v>
      </c>
      <c r="L112" s="269">
        <f t="shared" si="29"/>
        <v>31.519242480468392</v>
      </c>
      <c r="M112" s="270">
        <f t="shared" si="30"/>
        <v>181.25331199951745</v>
      </c>
      <c r="N112" s="97"/>
      <c r="O112" s="271"/>
      <c r="P112" s="271"/>
      <c r="Q112" s="271"/>
      <c r="R112" s="271"/>
      <c r="S112" s="271"/>
      <c r="T112" s="271"/>
    </row>
    <row r="113" spans="1:20" s="230" customFormat="1" ht="15">
      <c r="A113" s="267">
        <f t="shared" si="31"/>
        <v>47057</v>
      </c>
      <c r="B113" s="269">
        <f t="shared" si="34"/>
        <v>40383.398437499993</v>
      </c>
      <c r="C113" s="269">
        <f t="shared" si="34"/>
        <v>40383.398437499993</v>
      </c>
      <c r="D113" s="269">
        <f t="shared" si="35"/>
        <v>150.09163085937499</v>
      </c>
      <c r="E113" s="269"/>
      <c r="F113" s="269">
        <f t="shared" si="36"/>
        <v>-39670.379058837854</v>
      </c>
      <c r="G113" s="269">
        <f t="shared" si="36"/>
        <v>-40383.398437499993</v>
      </c>
      <c r="H113" s="269">
        <f t="shared" si="37"/>
        <v>713.01937866213848</v>
      </c>
      <c r="I113" s="269">
        <f t="shared" si="37"/>
        <v>0</v>
      </c>
      <c r="J113" s="269">
        <f t="shared" si="28"/>
        <v>-713.01937866213848</v>
      </c>
      <c r="K113" s="269">
        <f t="shared" si="26"/>
        <v>149.73406951904909</v>
      </c>
      <c r="L113" s="269">
        <f t="shared" si="29"/>
        <v>31.519242480468364</v>
      </c>
      <c r="M113" s="270">
        <f t="shared" si="30"/>
        <v>149.73406951904909</v>
      </c>
      <c r="N113" s="97"/>
      <c r="O113" s="271"/>
      <c r="P113" s="271"/>
      <c r="Q113" s="271"/>
      <c r="R113" s="271"/>
      <c r="S113" s="271"/>
      <c r="T113" s="271"/>
    </row>
    <row r="114" spans="1:20" s="230" customFormat="1" ht="15">
      <c r="A114" s="267">
        <f t="shared" si="31"/>
        <v>47087</v>
      </c>
      <c r="B114" s="269">
        <f t="shared" si="34"/>
        <v>40383.398437499993</v>
      </c>
      <c r="C114" s="269">
        <f t="shared" si="34"/>
        <v>40383.398437499993</v>
      </c>
      <c r="D114" s="269">
        <f t="shared" si="35"/>
        <v>150.09163085937499</v>
      </c>
      <c r="E114" s="269"/>
      <c r="F114" s="269">
        <f t="shared" si="36"/>
        <v>-39820.470689697227</v>
      </c>
      <c r="G114" s="269">
        <f t="shared" si="36"/>
        <v>-40383.398437499993</v>
      </c>
      <c r="H114" s="269">
        <f t="shared" si="37"/>
        <v>562.92774780276523</v>
      </c>
      <c r="I114" s="269">
        <f t="shared" si="37"/>
        <v>0</v>
      </c>
      <c r="J114" s="269">
        <f t="shared" si="28"/>
        <v>-562.92774780276523</v>
      </c>
      <c r="K114" s="269">
        <f t="shared" si="26"/>
        <v>118.21482703858069</v>
      </c>
      <c r="L114" s="269">
        <f t="shared" si="29"/>
        <v>31.519242480468392</v>
      </c>
      <c r="M114" s="270">
        <f t="shared" si="30"/>
        <v>118.21482703858069</v>
      </c>
      <c r="N114" s="97"/>
      <c r="O114" s="271"/>
      <c r="P114" s="271"/>
      <c r="Q114" s="271"/>
      <c r="R114" s="271"/>
      <c r="S114" s="271"/>
      <c r="T114" s="271"/>
    </row>
    <row r="115" spans="1:20" s="230" customFormat="1" ht="15">
      <c r="A115" s="267">
        <f t="shared" si="31"/>
        <v>47118</v>
      </c>
      <c r="B115" s="269">
        <f t="shared" si="34"/>
        <v>40383.398437499993</v>
      </c>
      <c r="C115" s="269">
        <f t="shared" si="34"/>
        <v>40383.398437499993</v>
      </c>
      <c r="D115" s="269">
        <f t="shared" si="35"/>
        <v>150.09163085937499</v>
      </c>
      <c r="E115" s="269"/>
      <c r="F115" s="269">
        <f t="shared" si="36"/>
        <v>-39970.562320556601</v>
      </c>
      <c r="G115" s="269">
        <f t="shared" si="36"/>
        <v>-40383.398437499993</v>
      </c>
      <c r="H115" s="269">
        <f t="shared" si="37"/>
        <v>412.83611694339197</v>
      </c>
      <c r="I115" s="269">
        <f t="shared" si="37"/>
        <v>0</v>
      </c>
      <c r="J115" s="269">
        <f t="shared" si="28"/>
        <v>-412.83611694339197</v>
      </c>
      <c r="K115" s="269">
        <f t="shared" si="26"/>
        <v>86.695584558112316</v>
      </c>
      <c r="L115" s="269">
        <f t="shared" si="29"/>
        <v>31.519242480468378</v>
      </c>
      <c r="M115" s="270">
        <f t="shared" si="30"/>
        <v>86.695584558112316</v>
      </c>
      <c r="N115" s="97"/>
      <c r="O115" s="271"/>
      <c r="P115" s="271"/>
      <c r="Q115" s="271"/>
      <c r="R115" s="271"/>
      <c r="S115" s="271"/>
      <c r="T115" s="271"/>
    </row>
    <row r="116" spans="1:20" s="230" customFormat="1" ht="15">
      <c r="A116" s="267">
        <f t="shared" si="31"/>
        <v>47149</v>
      </c>
      <c r="B116" s="269">
        <f t="shared" si="34"/>
        <v>40383.398437499993</v>
      </c>
      <c r="C116" s="269">
        <f t="shared" si="34"/>
        <v>40383.398437499993</v>
      </c>
      <c r="D116" s="269">
        <f t="shared" si="35"/>
        <v>150.09163085937499</v>
      </c>
      <c r="E116" s="269"/>
      <c r="F116" s="269">
        <f t="shared" si="36"/>
        <v>-40120.653951415974</v>
      </c>
      <c r="G116" s="269">
        <f t="shared" si="36"/>
        <v>-40383.398437499993</v>
      </c>
      <c r="H116" s="269">
        <f t="shared" si="37"/>
        <v>262.74448608401872</v>
      </c>
      <c r="I116" s="269">
        <f t="shared" si="37"/>
        <v>0</v>
      </c>
      <c r="J116" s="269">
        <f t="shared" si="28"/>
        <v>-262.74448608401872</v>
      </c>
      <c r="K116" s="269">
        <f t="shared" ref="K116:K147" si="38">-J116*$K$15</f>
        <v>55.17634207764393</v>
      </c>
      <c r="L116" s="269">
        <f t="shared" si="29"/>
        <v>31.519242480468385</v>
      </c>
      <c r="M116" s="270">
        <f t="shared" si="30"/>
        <v>55.17634207764393</v>
      </c>
      <c r="N116" s="97"/>
      <c r="O116" s="271"/>
      <c r="P116" s="271"/>
      <c r="Q116" s="271"/>
      <c r="R116" s="271"/>
      <c r="S116" s="271"/>
      <c r="T116" s="271"/>
    </row>
    <row r="117" spans="1:20" s="230" customFormat="1" ht="15">
      <c r="A117" s="267">
        <f t="shared" si="31"/>
        <v>47177</v>
      </c>
      <c r="B117" s="269">
        <f t="shared" si="34"/>
        <v>40383.398437499993</v>
      </c>
      <c r="C117" s="269">
        <f t="shared" si="34"/>
        <v>40383.398437499993</v>
      </c>
      <c r="D117" s="269">
        <f t="shared" si="35"/>
        <v>150.09163085937499</v>
      </c>
      <c r="E117" s="269"/>
      <c r="F117" s="269">
        <f t="shared" ref="F117:G132" si="39">F116-D117</f>
        <v>-40270.745582275347</v>
      </c>
      <c r="G117" s="269">
        <f t="shared" si="39"/>
        <v>-40383.398437499993</v>
      </c>
      <c r="H117" s="269">
        <f t="shared" si="37"/>
        <v>112.65285522464546</v>
      </c>
      <c r="I117" s="269">
        <f t="shared" si="37"/>
        <v>0</v>
      </c>
      <c r="J117" s="269">
        <f t="shared" si="28"/>
        <v>-112.65285522464546</v>
      </c>
      <c r="K117" s="269">
        <f t="shared" si="38"/>
        <v>23.657099597175545</v>
      </c>
      <c r="L117" s="269">
        <f t="shared" si="29"/>
        <v>31.519242480468385</v>
      </c>
      <c r="M117" s="270">
        <f t="shared" si="30"/>
        <v>23.657099597175545</v>
      </c>
      <c r="N117" s="97"/>
      <c r="O117" s="271"/>
      <c r="P117" s="271"/>
      <c r="Q117" s="271"/>
      <c r="R117" s="271"/>
      <c r="S117" s="271"/>
      <c r="T117" s="271"/>
    </row>
    <row r="118" spans="1:20" s="230" customFormat="1" ht="15">
      <c r="A118" s="267">
        <f t="shared" si="31"/>
        <v>47208</v>
      </c>
      <c r="B118" s="269">
        <f t="shared" si="34"/>
        <v>40383.398437499993</v>
      </c>
      <c r="C118" s="269">
        <f t="shared" si="34"/>
        <v>40383.398437499993</v>
      </c>
      <c r="D118" s="269">
        <f>B117+F117</f>
        <v>112.65285522464546</v>
      </c>
      <c r="E118" s="269"/>
      <c r="F118" s="269">
        <f t="shared" si="39"/>
        <v>-40383.398437499993</v>
      </c>
      <c r="G118" s="269">
        <f t="shared" si="39"/>
        <v>-40383.398437499993</v>
      </c>
      <c r="H118" s="269">
        <f t="shared" si="37"/>
        <v>0</v>
      </c>
      <c r="I118" s="269">
        <f t="shared" si="37"/>
        <v>0</v>
      </c>
      <c r="J118" s="269">
        <f t="shared" si="28"/>
        <v>0</v>
      </c>
      <c r="K118" s="269">
        <f t="shared" si="38"/>
        <v>0</v>
      </c>
      <c r="L118" s="269">
        <f t="shared" si="29"/>
        <v>23.657099597175545</v>
      </c>
      <c r="M118" s="270">
        <f t="shared" si="30"/>
        <v>0</v>
      </c>
      <c r="N118" s="97"/>
      <c r="O118" s="271"/>
      <c r="P118" s="271"/>
      <c r="Q118" s="271"/>
      <c r="R118" s="271"/>
      <c r="S118" s="271"/>
      <c r="T118" s="271"/>
    </row>
    <row r="119" spans="1:20" s="230" customFormat="1" ht="15">
      <c r="A119" s="267">
        <f t="shared" si="31"/>
        <v>47238</v>
      </c>
      <c r="B119" s="269">
        <f t="shared" ref="B119:C134" si="40">B118</f>
        <v>40383.398437499993</v>
      </c>
      <c r="C119" s="269">
        <f t="shared" si="40"/>
        <v>40383.398437499993</v>
      </c>
      <c r="D119" s="269"/>
      <c r="E119" s="269"/>
      <c r="F119" s="269">
        <f t="shared" si="39"/>
        <v>-40383.398437499993</v>
      </c>
      <c r="G119" s="269">
        <f t="shared" si="39"/>
        <v>-40383.398437499993</v>
      </c>
      <c r="H119" s="269">
        <f t="shared" si="37"/>
        <v>0</v>
      </c>
      <c r="I119" s="269">
        <f t="shared" si="37"/>
        <v>0</v>
      </c>
      <c r="J119" s="269">
        <f t="shared" si="28"/>
        <v>0</v>
      </c>
      <c r="K119" s="269">
        <f t="shared" si="38"/>
        <v>0</v>
      </c>
      <c r="L119" s="269">
        <f t="shared" si="29"/>
        <v>0</v>
      </c>
      <c r="M119" s="270">
        <f t="shared" si="30"/>
        <v>0</v>
      </c>
      <c r="N119" s="97"/>
      <c r="O119" s="271"/>
      <c r="P119" s="271"/>
      <c r="Q119" s="271"/>
      <c r="R119" s="271"/>
      <c r="S119" s="271"/>
      <c r="T119" s="271"/>
    </row>
    <row r="120" spans="1:20" s="230" customFormat="1" ht="15">
      <c r="A120" s="267">
        <f t="shared" si="31"/>
        <v>47269</v>
      </c>
      <c r="B120" s="269">
        <f t="shared" si="40"/>
        <v>40383.398437499993</v>
      </c>
      <c r="C120" s="269">
        <f t="shared" si="40"/>
        <v>40383.398437499993</v>
      </c>
      <c r="D120" s="269"/>
      <c r="E120" s="269"/>
      <c r="F120" s="269">
        <f t="shared" si="39"/>
        <v>-40383.398437499993</v>
      </c>
      <c r="G120" s="269">
        <f t="shared" si="39"/>
        <v>-40383.398437499993</v>
      </c>
      <c r="H120" s="269">
        <f t="shared" si="37"/>
        <v>0</v>
      </c>
      <c r="I120" s="269">
        <f t="shared" si="37"/>
        <v>0</v>
      </c>
      <c r="J120" s="269">
        <f t="shared" si="28"/>
        <v>0</v>
      </c>
      <c r="K120" s="269">
        <f t="shared" si="38"/>
        <v>0</v>
      </c>
      <c r="L120" s="269">
        <f t="shared" si="29"/>
        <v>0</v>
      </c>
      <c r="M120" s="270">
        <f t="shared" si="30"/>
        <v>0</v>
      </c>
      <c r="N120" s="97"/>
      <c r="O120" s="271"/>
      <c r="P120" s="271"/>
      <c r="Q120" s="271"/>
      <c r="R120" s="271"/>
      <c r="S120" s="271"/>
      <c r="T120" s="271"/>
    </row>
    <row r="121" spans="1:20" s="230" customFormat="1" ht="15">
      <c r="A121" s="267">
        <f t="shared" si="31"/>
        <v>47299</v>
      </c>
      <c r="B121" s="269">
        <f t="shared" si="40"/>
        <v>40383.398437499993</v>
      </c>
      <c r="C121" s="269">
        <f t="shared" si="40"/>
        <v>40383.398437499993</v>
      </c>
      <c r="D121" s="269"/>
      <c r="E121" s="269"/>
      <c r="F121" s="269">
        <f t="shared" si="39"/>
        <v>-40383.398437499993</v>
      </c>
      <c r="G121" s="269">
        <f t="shared" si="39"/>
        <v>-40383.398437499993</v>
      </c>
      <c r="H121" s="269">
        <f t="shared" si="37"/>
        <v>0</v>
      </c>
      <c r="I121" s="269">
        <f t="shared" si="37"/>
        <v>0</v>
      </c>
      <c r="J121" s="269">
        <f t="shared" si="28"/>
        <v>0</v>
      </c>
      <c r="K121" s="269">
        <f t="shared" si="38"/>
        <v>0</v>
      </c>
      <c r="L121" s="269">
        <f t="shared" si="29"/>
        <v>0</v>
      </c>
      <c r="M121" s="270">
        <f t="shared" si="30"/>
        <v>0</v>
      </c>
      <c r="N121" s="97"/>
      <c r="O121" s="271"/>
      <c r="P121" s="271"/>
      <c r="Q121" s="271"/>
      <c r="R121" s="271"/>
      <c r="S121" s="271"/>
      <c r="T121" s="271"/>
    </row>
    <row r="122" spans="1:20" s="230" customFormat="1" ht="15">
      <c r="A122" s="267">
        <f t="shared" si="31"/>
        <v>47330</v>
      </c>
      <c r="B122" s="269">
        <f t="shared" si="40"/>
        <v>40383.398437499993</v>
      </c>
      <c r="C122" s="269">
        <f t="shared" si="40"/>
        <v>40383.398437499993</v>
      </c>
      <c r="D122" s="269"/>
      <c r="E122" s="269"/>
      <c r="F122" s="269">
        <f t="shared" si="39"/>
        <v>-40383.398437499993</v>
      </c>
      <c r="G122" s="269">
        <f t="shared" si="39"/>
        <v>-40383.398437499993</v>
      </c>
      <c r="H122" s="269">
        <f t="shared" si="37"/>
        <v>0</v>
      </c>
      <c r="I122" s="269">
        <f t="shared" si="37"/>
        <v>0</v>
      </c>
      <c r="J122" s="269">
        <f t="shared" si="28"/>
        <v>0</v>
      </c>
      <c r="K122" s="269">
        <f t="shared" si="38"/>
        <v>0</v>
      </c>
      <c r="L122" s="269">
        <f t="shared" si="29"/>
        <v>0</v>
      </c>
      <c r="M122" s="270">
        <f t="shared" si="30"/>
        <v>0</v>
      </c>
      <c r="N122" s="97"/>
      <c r="O122" s="271"/>
      <c r="P122" s="271"/>
      <c r="Q122" s="271"/>
      <c r="R122" s="271"/>
      <c r="S122" s="271"/>
      <c r="T122" s="271"/>
    </row>
    <row r="123" spans="1:20" s="230" customFormat="1" ht="15">
      <c r="A123" s="267">
        <f t="shared" si="31"/>
        <v>47361</v>
      </c>
      <c r="B123" s="269">
        <f t="shared" si="40"/>
        <v>40383.398437499993</v>
      </c>
      <c r="C123" s="269">
        <f t="shared" si="40"/>
        <v>40383.398437499993</v>
      </c>
      <c r="D123" s="269"/>
      <c r="E123" s="269"/>
      <c r="F123" s="269">
        <f t="shared" si="39"/>
        <v>-40383.398437499993</v>
      </c>
      <c r="G123" s="269">
        <f t="shared" si="39"/>
        <v>-40383.398437499993</v>
      </c>
      <c r="H123" s="269">
        <f t="shared" si="37"/>
        <v>0</v>
      </c>
      <c r="I123" s="269">
        <f t="shared" si="37"/>
        <v>0</v>
      </c>
      <c r="J123" s="269">
        <f t="shared" si="28"/>
        <v>0</v>
      </c>
      <c r="K123" s="269">
        <f t="shared" si="38"/>
        <v>0</v>
      </c>
      <c r="L123" s="269">
        <f t="shared" si="29"/>
        <v>0</v>
      </c>
      <c r="M123" s="270">
        <f t="shared" si="30"/>
        <v>0</v>
      </c>
      <c r="N123" s="97"/>
      <c r="O123" s="271"/>
      <c r="P123" s="271"/>
      <c r="Q123" s="271"/>
      <c r="R123" s="271"/>
      <c r="S123" s="271"/>
      <c r="T123" s="271"/>
    </row>
    <row r="124" spans="1:20" s="230" customFormat="1" ht="15">
      <c r="A124" s="267">
        <f t="shared" si="31"/>
        <v>47391</v>
      </c>
      <c r="B124" s="269">
        <f t="shared" si="40"/>
        <v>40383.398437499993</v>
      </c>
      <c r="C124" s="269">
        <f t="shared" si="40"/>
        <v>40383.398437499993</v>
      </c>
      <c r="D124" s="269"/>
      <c r="E124" s="269"/>
      <c r="F124" s="269">
        <f t="shared" si="39"/>
        <v>-40383.398437499993</v>
      </c>
      <c r="G124" s="269">
        <f t="shared" si="39"/>
        <v>-40383.398437499993</v>
      </c>
      <c r="H124" s="269">
        <f t="shared" si="37"/>
        <v>0</v>
      </c>
      <c r="I124" s="269">
        <f t="shared" si="37"/>
        <v>0</v>
      </c>
      <c r="J124" s="269">
        <f t="shared" si="28"/>
        <v>0</v>
      </c>
      <c r="K124" s="269">
        <f t="shared" si="38"/>
        <v>0</v>
      </c>
      <c r="L124" s="269">
        <f t="shared" si="29"/>
        <v>0</v>
      </c>
      <c r="M124" s="270">
        <f t="shared" si="30"/>
        <v>0</v>
      </c>
      <c r="N124" s="97"/>
      <c r="O124" s="271"/>
      <c r="P124" s="271"/>
      <c r="Q124" s="271"/>
      <c r="R124" s="271"/>
      <c r="S124" s="271"/>
      <c r="T124" s="271"/>
    </row>
    <row r="125" spans="1:20" s="230" customFormat="1" ht="15">
      <c r="A125" s="267">
        <f t="shared" si="31"/>
        <v>47422</v>
      </c>
      <c r="B125" s="269">
        <f t="shared" si="40"/>
        <v>40383.398437499993</v>
      </c>
      <c r="C125" s="269">
        <f t="shared" si="40"/>
        <v>40383.398437499993</v>
      </c>
      <c r="D125" s="269"/>
      <c r="E125" s="269"/>
      <c r="F125" s="269">
        <f t="shared" si="39"/>
        <v>-40383.398437499993</v>
      </c>
      <c r="G125" s="269">
        <f t="shared" si="39"/>
        <v>-40383.398437499993</v>
      </c>
      <c r="H125" s="269">
        <f t="shared" si="37"/>
        <v>0</v>
      </c>
      <c r="I125" s="269">
        <f t="shared" si="37"/>
        <v>0</v>
      </c>
      <c r="J125" s="269">
        <f t="shared" si="28"/>
        <v>0</v>
      </c>
      <c r="K125" s="269">
        <f t="shared" si="38"/>
        <v>0</v>
      </c>
      <c r="L125" s="269">
        <f t="shared" si="29"/>
        <v>0</v>
      </c>
      <c r="M125" s="270">
        <f t="shared" si="30"/>
        <v>0</v>
      </c>
      <c r="N125" s="97"/>
      <c r="O125" s="271"/>
      <c r="P125" s="271"/>
      <c r="Q125" s="271"/>
      <c r="R125" s="271"/>
      <c r="S125" s="271"/>
      <c r="T125" s="271"/>
    </row>
    <row r="126" spans="1:20" s="230" customFormat="1" ht="15">
      <c r="A126" s="267">
        <f t="shared" si="31"/>
        <v>47452</v>
      </c>
      <c r="B126" s="269">
        <f t="shared" si="40"/>
        <v>40383.398437499993</v>
      </c>
      <c r="C126" s="269">
        <f t="shared" si="40"/>
        <v>40383.398437499993</v>
      </c>
      <c r="D126" s="269"/>
      <c r="E126" s="269"/>
      <c r="F126" s="269">
        <f t="shared" si="39"/>
        <v>-40383.398437499993</v>
      </c>
      <c r="G126" s="269">
        <f t="shared" si="39"/>
        <v>-40383.398437499993</v>
      </c>
      <c r="H126" s="269">
        <f t="shared" si="37"/>
        <v>0</v>
      </c>
      <c r="I126" s="269">
        <f t="shared" si="37"/>
        <v>0</v>
      </c>
      <c r="J126" s="269">
        <f t="shared" si="28"/>
        <v>0</v>
      </c>
      <c r="K126" s="269">
        <f t="shared" si="38"/>
        <v>0</v>
      </c>
      <c r="L126" s="269">
        <f t="shared" si="29"/>
        <v>0</v>
      </c>
      <c r="M126" s="270">
        <f t="shared" si="30"/>
        <v>0</v>
      </c>
      <c r="N126" s="97"/>
      <c r="O126" s="271"/>
      <c r="P126" s="271"/>
      <c r="Q126" s="271"/>
      <c r="R126" s="271"/>
      <c r="S126" s="271"/>
      <c r="T126" s="271"/>
    </row>
    <row r="127" spans="1:20" s="230" customFormat="1" ht="15">
      <c r="A127" s="267">
        <f t="shared" si="31"/>
        <v>47483</v>
      </c>
      <c r="B127" s="269">
        <f t="shared" si="40"/>
        <v>40383.398437499993</v>
      </c>
      <c r="C127" s="269">
        <f t="shared" si="40"/>
        <v>40383.398437499993</v>
      </c>
      <c r="D127" s="269"/>
      <c r="E127" s="269"/>
      <c r="F127" s="269">
        <f t="shared" si="39"/>
        <v>-40383.398437499993</v>
      </c>
      <c r="G127" s="269">
        <f t="shared" si="39"/>
        <v>-40383.398437499993</v>
      </c>
      <c r="H127" s="269">
        <f t="shared" si="37"/>
        <v>0</v>
      </c>
      <c r="I127" s="269">
        <f t="shared" si="37"/>
        <v>0</v>
      </c>
      <c r="J127" s="269">
        <f t="shared" si="28"/>
        <v>0</v>
      </c>
      <c r="K127" s="269">
        <f t="shared" si="38"/>
        <v>0</v>
      </c>
      <c r="L127" s="269">
        <f t="shared" si="29"/>
        <v>0</v>
      </c>
      <c r="M127" s="270">
        <f t="shared" si="30"/>
        <v>0</v>
      </c>
      <c r="N127" s="97"/>
      <c r="O127" s="271"/>
      <c r="P127" s="271"/>
      <c r="Q127" s="271"/>
      <c r="R127" s="271"/>
      <c r="S127" s="271"/>
      <c r="T127" s="271"/>
    </row>
    <row r="128" spans="1:20" s="230" customFormat="1" ht="15">
      <c r="A128" s="267">
        <f t="shared" si="31"/>
        <v>47514</v>
      </c>
      <c r="B128" s="269">
        <f t="shared" si="40"/>
        <v>40383.398437499993</v>
      </c>
      <c r="C128" s="269">
        <f t="shared" si="40"/>
        <v>40383.398437499993</v>
      </c>
      <c r="D128" s="269"/>
      <c r="E128" s="269"/>
      <c r="F128" s="269">
        <f t="shared" si="39"/>
        <v>-40383.398437499993</v>
      </c>
      <c r="G128" s="269">
        <f t="shared" si="39"/>
        <v>-40383.398437499993</v>
      </c>
      <c r="H128" s="269">
        <f t="shared" ref="H128:I166" si="41">B128+F128</f>
        <v>0</v>
      </c>
      <c r="I128" s="269">
        <f t="shared" si="41"/>
        <v>0</v>
      </c>
      <c r="J128" s="269">
        <f t="shared" si="28"/>
        <v>0</v>
      </c>
      <c r="K128" s="269">
        <f t="shared" si="38"/>
        <v>0</v>
      </c>
      <c r="L128" s="269">
        <f t="shared" si="29"/>
        <v>0</v>
      </c>
      <c r="M128" s="270">
        <f t="shared" si="30"/>
        <v>0</v>
      </c>
      <c r="N128" s="97"/>
      <c r="O128" s="271"/>
      <c r="P128" s="271"/>
      <c r="Q128" s="271"/>
      <c r="R128" s="271"/>
      <c r="S128" s="271"/>
      <c r="T128" s="271"/>
    </row>
    <row r="129" spans="1:20" s="230" customFormat="1" ht="15">
      <c r="A129" s="267">
        <f t="shared" si="31"/>
        <v>47542</v>
      </c>
      <c r="B129" s="269">
        <f t="shared" si="40"/>
        <v>40383.398437499993</v>
      </c>
      <c r="C129" s="269">
        <f t="shared" si="40"/>
        <v>40383.398437499993</v>
      </c>
      <c r="D129" s="269"/>
      <c r="E129" s="269"/>
      <c r="F129" s="269">
        <f t="shared" si="39"/>
        <v>-40383.398437499993</v>
      </c>
      <c r="G129" s="269">
        <f t="shared" si="39"/>
        <v>-40383.398437499993</v>
      </c>
      <c r="H129" s="269">
        <f t="shared" si="41"/>
        <v>0</v>
      </c>
      <c r="I129" s="269">
        <f t="shared" si="41"/>
        <v>0</v>
      </c>
      <c r="J129" s="269">
        <f t="shared" si="28"/>
        <v>0</v>
      </c>
      <c r="K129" s="269">
        <f t="shared" si="38"/>
        <v>0</v>
      </c>
      <c r="L129" s="269">
        <f t="shared" si="29"/>
        <v>0</v>
      </c>
      <c r="M129" s="270">
        <f t="shared" si="30"/>
        <v>0</v>
      </c>
      <c r="N129" s="97"/>
      <c r="O129" s="271"/>
      <c r="P129" s="271"/>
      <c r="Q129" s="271"/>
      <c r="R129" s="271"/>
      <c r="S129" s="271"/>
      <c r="T129" s="271"/>
    </row>
    <row r="130" spans="1:20" s="230" customFormat="1" ht="15">
      <c r="A130" s="267">
        <f t="shared" si="31"/>
        <v>47573</v>
      </c>
      <c r="B130" s="269">
        <f t="shared" si="40"/>
        <v>40383.398437499993</v>
      </c>
      <c r="C130" s="269">
        <f t="shared" si="40"/>
        <v>40383.398437499993</v>
      </c>
      <c r="D130" s="269"/>
      <c r="E130" s="269"/>
      <c r="F130" s="269">
        <f t="shared" si="39"/>
        <v>-40383.398437499993</v>
      </c>
      <c r="G130" s="269">
        <f t="shared" si="39"/>
        <v>-40383.398437499993</v>
      </c>
      <c r="H130" s="269">
        <f t="shared" si="41"/>
        <v>0</v>
      </c>
      <c r="I130" s="269">
        <f t="shared" si="41"/>
        <v>0</v>
      </c>
      <c r="J130" s="269">
        <f t="shared" si="28"/>
        <v>0</v>
      </c>
      <c r="K130" s="269">
        <f t="shared" si="38"/>
        <v>0</v>
      </c>
      <c r="L130" s="269">
        <f t="shared" si="29"/>
        <v>0</v>
      </c>
      <c r="M130" s="270">
        <f t="shared" si="30"/>
        <v>0</v>
      </c>
      <c r="N130" s="97"/>
      <c r="O130" s="271"/>
      <c r="P130" s="271"/>
      <c r="Q130" s="271"/>
      <c r="R130" s="271"/>
      <c r="S130" s="271"/>
      <c r="T130" s="271"/>
    </row>
    <row r="131" spans="1:20" s="230" customFormat="1" ht="15">
      <c r="A131" s="267">
        <f t="shared" si="31"/>
        <v>47603</v>
      </c>
      <c r="B131" s="269">
        <f t="shared" si="40"/>
        <v>40383.398437499993</v>
      </c>
      <c r="C131" s="269">
        <f t="shared" si="40"/>
        <v>40383.398437499993</v>
      </c>
      <c r="D131" s="269"/>
      <c r="E131" s="269"/>
      <c r="F131" s="269">
        <f t="shared" si="39"/>
        <v>-40383.398437499993</v>
      </c>
      <c r="G131" s="269">
        <f t="shared" si="39"/>
        <v>-40383.398437499993</v>
      </c>
      <c r="H131" s="269">
        <f t="shared" si="41"/>
        <v>0</v>
      </c>
      <c r="I131" s="269">
        <f t="shared" si="41"/>
        <v>0</v>
      </c>
      <c r="J131" s="269">
        <f t="shared" si="28"/>
        <v>0</v>
      </c>
      <c r="K131" s="269">
        <f t="shared" si="38"/>
        <v>0</v>
      </c>
      <c r="L131" s="269">
        <f t="shared" si="29"/>
        <v>0</v>
      </c>
      <c r="M131" s="270">
        <f t="shared" si="30"/>
        <v>0</v>
      </c>
      <c r="N131" s="97"/>
      <c r="O131" s="271"/>
      <c r="P131" s="271"/>
      <c r="Q131" s="271"/>
      <c r="R131" s="271"/>
      <c r="S131" s="271"/>
      <c r="T131" s="271"/>
    </row>
    <row r="132" spans="1:20" s="230" customFormat="1" ht="15">
      <c r="A132" s="267">
        <f t="shared" si="31"/>
        <v>47634</v>
      </c>
      <c r="B132" s="269">
        <f t="shared" si="40"/>
        <v>40383.398437499993</v>
      </c>
      <c r="C132" s="269">
        <f t="shared" si="40"/>
        <v>40383.398437499993</v>
      </c>
      <c r="D132" s="269"/>
      <c r="E132" s="269"/>
      <c r="F132" s="269">
        <f t="shared" si="39"/>
        <v>-40383.398437499993</v>
      </c>
      <c r="G132" s="269">
        <f t="shared" si="39"/>
        <v>-40383.398437499993</v>
      </c>
      <c r="H132" s="269">
        <f t="shared" si="41"/>
        <v>0</v>
      </c>
      <c r="I132" s="269">
        <f t="shared" si="41"/>
        <v>0</v>
      </c>
      <c r="J132" s="269">
        <f t="shared" si="28"/>
        <v>0</v>
      </c>
      <c r="K132" s="269">
        <f t="shared" si="38"/>
        <v>0</v>
      </c>
      <c r="L132" s="269">
        <f t="shared" si="29"/>
        <v>0</v>
      </c>
      <c r="M132" s="270">
        <f t="shared" si="30"/>
        <v>0</v>
      </c>
      <c r="N132" s="97"/>
      <c r="O132" s="271"/>
      <c r="P132" s="271"/>
      <c r="Q132" s="271"/>
      <c r="R132" s="271"/>
      <c r="S132" s="271"/>
      <c r="T132" s="271"/>
    </row>
    <row r="133" spans="1:20" s="230" customFormat="1" ht="15">
      <c r="A133" s="267">
        <f t="shared" si="31"/>
        <v>47664</v>
      </c>
      <c r="B133" s="269">
        <f t="shared" si="40"/>
        <v>40383.398437499993</v>
      </c>
      <c r="C133" s="269">
        <f t="shared" si="40"/>
        <v>40383.398437499993</v>
      </c>
      <c r="D133" s="269"/>
      <c r="E133" s="269"/>
      <c r="F133" s="269">
        <f t="shared" ref="F133:G148" si="42">F132-D133</f>
        <v>-40383.398437499993</v>
      </c>
      <c r="G133" s="269">
        <f t="shared" si="42"/>
        <v>-40383.398437499993</v>
      </c>
      <c r="H133" s="269">
        <f t="shared" si="41"/>
        <v>0</v>
      </c>
      <c r="I133" s="269">
        <f t="shared" si="41"/>
        <v>0</v>
      </c>
      <c r="J133" s="269">
        <f t="shared" si="28"/>
        <v>0</v>
      </c>
      <c r="K133" s="269">
        <f t="shared" si="38"/>
        <v>0</v>
      </c>
      <c r="L133" s="269">
        <f t="shared" si="29"/>
        <v>0</v>
      </c>
      <c r="M133" s="270">
        <f t="shared" si="30"/>
        <v>0</v>
      </c>
      <c r="N133" s="97"/>
      <c r="O133" s="271"/>
      <c r="P133" s="271"/>
      <c r="Q133" s="271"/>
      <c r="R133" s="271"/>
      <c r="S133" s="271"/>
      <c r="T133" s="271"/>
    </row>
    <row r="134" spans="1:20" s="230" customFormat="1" ht="15">
      <c r="A134" s="267">
        <f t="shared" si="31"/>
        <v>47695</v>
      </c>
      <c r="B134" s="269">
        <f t="shared" si="40"/>
        <v>40383.398437499993</v>
      </c>
      <c r="C134" s="269">
        <f t="shared" si="40"/>
        <v>40383.398437499993</v>
      </c>
      <c r="D134" s="269"/>
      <c r="E134" s="269"/>
      <c r="F134" s="269">
        <f t="shared" si="42"/>
        <v>-40383.398437499993</v>
      </c>
      <c r="G134" s="269">
        <f t="shared" si="42"/>
        <v>-40383.398437499993</v>
      </c>
      <c r="H134" s="269">
        <f t="shared" si="41"/>
        <v>0</v>
      </c>
      <c r="I134" s="269">
        <f t="shared" si="41"/>
        <v>0</v>
      </c>
      <c r="J134" s="269">
        <f t="shared" si="28"/>
        <v>0</v>
      </c>
      <c r="K134" s="269">
        <f t="shared" si="38"/>
        <v>0</v>
      </c>
      <c r="L134" s="269">
        <f t="shared" si="29"/>
        <v>0</v>
      </c>
      <c r="M134" s="270">
        <f t="shared" si="30"/>
        <v>0</v>
      </c>
      <c r="N134" s="97"/>
      <c r="O134" s="271"/>
      <c r="P134" s="271"/>
      <c r="Q134" s="271"/>
      <c r="R134" s="271"/>
      <c r="S134" s="271"/>
      <c r="T134" s="271"/>
    </row>
    <row r="135" spans="1:20" s="230" customFormat="1" ht="15">
      <c r="A135" s="267">
        <f t="shared" si="31"/>
        <v>47726</v>
      </c>
      <c r="B135" s="269">
        <f t="shared" ref="B135:C166" si="43">B134</f>
        <v>40383.398437499993</v>
      </c>
      <c r="C135" s="269">
        <f t="shared" si="43"/>
        <v>40383.398437499993</v>
      </c>
      <c r="D135" s="269"/>
      <c r="E135" s="269"/>
      <c r="F135" s="269">
        <f t="shared" si="42"/>
        <v>-40383.398437499993</v>
      </c>
      <c r="G135" s="269">
        <f t="shared" si="42"/>
        <v>-40383.398437499993</v>
      </c>
      <c r="H135" s="269">
        <f t="shared" si="41"/>
        <v>0</v>
      </c>
      <c r="I135" s="269">
        <f t="shared" si="41"/>
        <v>0</v>
      </c>
      <c r="J135" s="269">
        <f t="shared" si="28"/>
        <v>0</v>
      </c>
      <c r="K135" s="269">
        <f t="shared" si="38"/>
        <v>0</v>
      </c>
      <c r="L135" s="269">
        <f t="shared" si="29"/>
        <v>0</v>
      </c>
      <c r="M135" s="270">
        <f t="shared" si="30"/>
        <v>0</v>
      </c>
      <c r="N135" s="97"/>
      <c r="O135" s="271"/>
      <c r="P135" s="271"/>
      <c r="Q135" s="271"/>
      <c r="R135" s="271"/>
      <c r="S135" s="271"/>
      <c r="T135" s="271"/>
    </row>
    <row r="136" spans="1:20" s="230" customFormat="1" ht="15">
      <c r="A136" s="267">
        <f t="shared" si="31"/>
        <v>47756</v>
      </c>
      <c r="B136" s="269">
        <f t="shared" si="43"/>
        <v>40383.398437499993</v>
      </c>
      <c r="C136" s="269">
        <f t="shared" si="43"/>
        <v>40383.398437499993</v>
      </c>
      <c r="D136" s="269"/>
      <c r="E136" s="269"/>
      <c r="F136" s="269">
        <f t="shared" si="42"/>
        <v>-40383.398437499993</v>
      </c>
      <c r="G136" s="269">
        <f t="shared" si="42"/>
        <v>-40383.398437499993</v>
      </c>
      <c r="H136" s="269">
        <f t="shared" si="41"/>
        <v>0</v>
      </c>
      <c r="I136" s="269">
        <f t="shared" si="41"/>
        <v>0</v>
      </c>
      <c r="J136" s="269">
        <f t="shared" si="28"/>
        <v>0</v>
      </c>
      <c r="K136" s="269">
        <f t="shared" si="38"/>
        <v>0</v>
      </c>
      <c r="L136" s="269">
        <f t="shared" si="29"/>
        <v>0</v>
      </c>
      <c r="M136" s="270">
        <f t="shared" si="30"/>
        <v>0</v>
      </c>
      <c r="N136" s="97"/>
      <c r="O136" s="271"/>
      <c r="P136" s="271"/>
      <c r="Q136" s="271"/>
      <c r="R136" s="271"/>
      <c r="S136" s="271"/>
      <c r="T136" s="271"/>
    </row>
    <row r="137" spans="1:20" s="230" customFormat="1" ht="15">
      <c r="A137" s="267">
        <f t="shared" si="31"/>
        <v>47787</v>
      </c>
      <c r="B137" s="269">
        <f t="shared" si="43"/>
        <v>40383.398437499993</v>
      </c>
      <c r="C137" s="269">
        <f t="shared" si="43"/>
        <v>40383.398437499993</v>
      </c>
      <c r="D137" s="269"/>
      <c r="E137" s="269"/>
      <c r="F137" s="269">
        <f t="shared" si="42"/>
        <v>-40383.398437499993</v>
      </c>
      <c r="G137" s="269">
        <f t="shared" si="42"/>
        <v>-40383.398437499993</v>
      </c>
      <c r="H137" s="269">
        <f t="shared" si="41"/>
        <v>0</v>
      </c>
      <c r="I137" s="269">
        <f t="shared" si="41"/>
        <v>0</v>
      </c>
      <c r="J137" s="269">
        <f t="shared" si="28"/>
        <v>0</v>
      </c>
      <c r="K137" s="269">
        <f t="shared" si="38"/>
        <v>0</v>
      </c>
      <c r="L137" s="269">
        <f t="shared" si="29"/>
        <v>0</v>
      </c>
      <c r="M137" s="270">
        <f t="shared" si="30"/>
        <v>0</v>
      </c>
      <c r="N137" s="97"/>
      <c r="O137" s="271"/>
      <c r="P137" s="271"/>
      <c r="Q137" s="271"/>
      <c r="R137" s="271"/>
      <c r="S137" s="271"/>
      <c r="T137" s="271"/>
    </row>
    <row r="138" spans="1:20" s="230" customFormat="1" ht="15">
      <c r="A138" s="267">
        <f t="shared" si="31"/>
        <v>47817</v>
      </c>
      <c r="B138" s="269">
        <f t="shared" si="43"/>
        <v>40383.398437499993</v>
      </c>
      <c r="C138" s="269">
        <f t="shared" si="43"/>
        <v>40383.398437499993</v>
      </c>
      <c r="D138" s="269"/>
      <c r="E138" s="269"/>
      <c r="F138" s="269">
        <f t="shared" si="42"/>
        <v>-40383.398437499993</v>
      </c>
      <c r="G138" s="269">
        <f t="shared" si="42"/>
        <v>-40383.398437499993</v>
      </c>
      <c r="H138" s="269">
        <f t="shared" si="41"/>
        <v>0</v>
      </c>
      <c r="I138" s="269">
        <f t="shared" si="41"/>
        <v>0</v>
      </c>
      <c r="J138" s="269">
        <f t="shared" si="28"/>
        <v>0</v>
      </c>
      <c r="K138" s="269">
        <f t="shared" si="38"/>
        <v>0</v>
      </c>
      <c r="L138" s="269">
        <f t="shared" si="29"/>
        <v>0</v>
      </c>
      <c r="M138" s="270">
        <f t="shared" si="30"/>
        <v>0</v>
      </c>
      <c r="N138" s="97"/>
      <c r="O138" s="271"/>
      <c r="P138" s="271"/>
      <c r="Q138" s="271"/>
      <c r="R138" s="271"/>
      <c r="S138" s="271"/>
      <c r="T138" s="271"/>
    </row>
    <row r="139" spans="1:20" s="230" customFormat="1" ht="15">
      <c r="A139" s="267">
        <f t="shared" si="31"/>
        <v>47848</v>
      </c>
      <c r="B139" s="269">
        <f t="shared" si="43"/>
        <v>40383.398437499993</v>
      </c>
      <c r="C139" s="269">
        <f t="shared" si="43"/>
        <v>40383.398437499993</v>
      </c>
      <c r="D139" s="269"/>
      <c r="E139" s="269"/>
      <c r="F139" s="269">
        <f t="shared" si="42"/>
        <v>-40383.398437499993</v>
      </c>
      <c r="G139" s="269">
        <f t="shared" si="42"/>
        <v>-40383.398437499993</v>
      </c>
      <c r="H139" s="269">
        <f t="shared" si="41"/>
        <v>0</v>
      </c>
      <c r="I139" s="269">
        <f t="shared" si="41"/>
        <v>0</v>
      </c>
      <c r="J139" s="269">
        <f t="shared" si="28"/>
        <v>0</v>
      </c>
      <c r="K139" s="269">
        <f t="shared" si="38"/>
        <v>0</v>
      </c>
      <c r="L139" s="269">
        <f t="shared" si="29"/>
        <v>0</v>
      </c>
      <c r="M139" s="270">
        <f t="shared" si="30"/>
        <v>0</v>
      </c>
      <c r="N139" s="97"/>
      <c r="O139" s="271"/>
      <c r="P139" s="271"/>
      <c r="Q139" s="271"/>
      <c r="R139" s="271"/>
      <c r="S139" s="271"/>
      <c r="T139" s="271"/>
    </row>
    <row r="140" spans="1:20" s="230" customFormat="1" ht="15">
      <c r="A140" s="267">
        <f t="shared" si="31"/>
        <v>47879</v>
      </c>
      <c r="B140" s="269">
        <f t="shared" si="43"/>
        <v>40383.398437499993</v>
      </c>
      <c r="C140" s="269">
        <f t="shared" si="43"/>
        <v>40383.398437499993</v>
      </c>
      <c r="D140" s="269"/>
      <c r="E140" s="269"/>
      <c r="F140" s="269">
        <f t="shared" si="42"/>
        <v>-40383.398437499993</v>
      </c>
      <c r="G140" s="269">
        <f t="shared" si="42"/>
        <v>-40383.398437499993</v>
      </c>
      <c r="H140" s="269">
        <f t="shared" si="41"/>
        <v>0</v>
      </c>
      <c r="I140" s="269">
        <f t="shared" si="41"/>
        <v>0</v>
      </c>
      <c r="J140" s="269">
        <f t="shared" si="28"/>
        <v>0</v>
      </c>
      <c r="K140" s="269">
        <f t="shared" si="38"/>
        <v>0</v>
      </c>
      <c r="L140" s="269">
        <f t="shared" si="29"/>
        <v>0</v>
      </c>
      <c r="M140" s="270">
        <f t="shared" si="30"/>
        <v>0</v>
      </c>
      <c r="N140" s="97"/>
      <c r="O140" s="271"/>
      <c r="P140" s="271"/>
      <c r="Q140" s="271"/>
      <c r="R140" s="271"/>
      <c r="S140" s="271"/>
      <c r="T140" s="271"/>
    </row>
    <row r="141" spans="1:20" s="230" customFormat="1" ht="15">
      <c r="A141" s="267">
        <f t="shared" si="31"/>
        <v>47907</v>
      </c>
      <c r="B141" s="269">
        <f t="shared" si="43"/>
        <v>40383.398437499993</v>
      </c>
      <c r="C141" s="269">
        <f t="shared" si="43"/>
        <v>40383.398437499993</v>
      </c>
      <c r="D141" s="269"/>
      <c r="E141" s="269"/>
      <c r="F141" s="269">
        <f t="shared" si="42"/>
        <v>-40383.398437499993</v>
      </c>
      <c r="G141" s="269">
        <f t="shared" si="42"/>
        <v>-40383.398437499993</v>
      </c>
      <c r="H141" s="269">
        <f t="shared" si="41"/>
        <v>0</v>
      </c>
      <c r="I141" s="269">
        <f t="shared" si="41"/>
        <v>0</v>
      </c>
      <c r="J141" s="269">
        <f t="shared" si="28"/>
        <v>0</v>
      </c>
      <c r="K141" s="269">
        <f t="shared" si="38"/>
        <v>0</v>
      </c>
      <c r="L141" s="269">
        <f t="shared" si="29"/>
        <v>0</v>
      </c>
      <c r="M141" s="270">
        <f t="shared" si="30"/>
        <v>0</v>
      </c>
      <c r="N141" s="97"/>
      <c r="O141" s="271"/>
      <c r="P141" s="271"/>
      <c r="Q141" s="271"/>
      <c r="R141" s="271"/>
      <c r="S141" s="271"/>
      <c r="T141" s="271"/>
    </row>
    <row r="142" spans="1:20" s="230" customFormat="1" ht="15">
      <c r="A142" s="267">
        <f t="shared" si="31"/>
        <v>47938</v>
      </c>
      <c r="B142" s="269">
        <f t="shared" si="43"/>
        <v>40383.398437499993</v>
      </c>
      <c r="C142" s="269">
        <f t="shared" si="43"/>
        <v>40383.398437499993</v>
      </c>
      <c r="D142" s="269"/>
      <c r="E142" s="269"/>
      <c r="F142" s="269">
        <f t="shared" si="42"/>
        <v>-40383.398437499993</v>
      </c>
      <c r="G142" s="269">
        <f t="shared" si="42"/>
        <v>-40383.398437499993</v>
      </c>
      <c r="H142" s="269">
        <f t="shared" si="41"/>
        <v>0</v>
      </c>
      <c r="I142" s="269">
        <f t="shared" si="41"/>
        <v>0</v>
      </c>
      <c r="J142" s="269">
        <f t="shared" si="28"/>
        <v>0</v>
      </c>
      <c r="K142" s="269">
        <f t="shared" si="38"/>
        <v>0</v>
      </c>
      <c r="L142" s="269">
        <f t="shared" si="29"/>
        <v>0</v>
      </c>
      <c r="M142" s="270">
        <f t="shared" si="30"/>
        <v>0</v>
      </c>
      <c r="N142" s="97"/>
      <c r="O142" s="271"/>
      <c r="P142" s="271"/>
      <c r="Q142" s="271"/>
      <c r="R142" s="271"/>
      <c r="S142" s="271"/>
      <c r="T142" s="271"/>
    </row>
    <row r="143" spans="1:20" s="230" customFormat="1" ht="15">
      <c r="A143" s="267">
        <f t="shared" si="31"/>
        <v>47968</v>
      </c>
      <c r="B143" s="269">
        <f t="shared" si="43"/>
        <v>40383.398437499993</v>
      </c>
      <c r="C143" s="269">
        <f t="shared" si="43"/>
        <v>40383.398437499993</v>
      </c>
      <c r="D143" s="269"/>
      <c r="E143" s="269"/>
      <c r="F143" s="269">
        <f t="shared" si="42"/>
        <v>-40383.398437499993</v>
      </c>
      <c r="G143" s="269">
        <f t="shared" si="42"/>
        <v>-40383.398437499993</v>
      </c>
      <c r="H143" s="269">
        <f t="shared" si="41"/>
        <v>0</v>
      </c>
      <c r="I143" s="269">
        <f t="shared" si="41"/>
        <v>0</v>
      </c>
      <c r="J143" s="269">
        <f t="shared" si="28"/>
        <v>0</v>
      </c>
      <c r="K143" s="269">
        <f t="shared" si="38"/>
        <v>0</v>
      </c>
      <c r="L143" s="269">
        <f t="shared" si="29"/>
        <v>0</v>
      </c>
      <c r="M143" s="270">
        <f t="shared" si="30"/>
        <v>0</v>
      </c>
      <c r="N143" s="97"/>
      <c r="O143" s="271"/>
      <c r="P143" s="271"/>
      <c r="Q143" s="271"/>
      <c r="R143" s="271"/>
      <c r="S143" s="271"/>
      <c r="T143" s="271"/>
    </row>
    <row r="144" spans="1:20" s="230" customFormat="1" ht="15">
      <c r="A144" s="267">
        <f t="shared" si="31"/>
        <v>47999</v>
      </c>
      <c r="B144" s="269">
        <f t="shared" si="43"/>
        <v>40383.398437499993</v>
      </c>
      <c r="C144" s="269">
        <f t="shared" si="43"/>
        <v>40383.398437499993</v>
      </c>
      <c r="D144" s="269"/>
      <c r="E144" s="269"/>
      <c r="F144" s="269">
        <f t="shared" si="42"/>
        <v>-40383.398437499993</v>
      </c>
      <c r="G144" s="269">
        <f t="shared" si="42"/>
        <v>-40383.398437499993</v>
      </c>
      <c r="H144" s="269">
        <f t="shared" si="41"/>
        <v>0</v>
      </c>
      <c r="I144" s="269">
        <f t="shared" si="41"/>
        <v>0</v>
      </c>
      <c r="J144" s="269">
        <f t="shared" si="28"/>
        <v>0</v>
      </c>
      <c r="K144" s="269">
        <f t="shared" si="38"/>
        <v>0</v>
      </c>
      <c r="L144" s="269">
        <f t="shared" si="29"/>
        <v>0</v>
      </c>
      <c r="M144" s="270">
        <f t="shared" si="30"/>
        <v>0</v>
      </c>
      <c r="N144" s="97"/>
      <c r="O144" s="271"/>
      <c r="P144" s="271"/>
      <c r="Q144" s="271"/>
      <c r="R144" s="271"/>
      <c r="S144" s="271"/>
      <c r="T144" s="271"/>
    </row>
    <row r="145" spans="1:20" s="230" customFormat="1" ht="15">
      <c r="A145" s="267">
        <f t="shared" si="31"/>
        <v>48029</v>
      </c>
      <c r="B145" s="269">
        <f t="shared" si="43"/>
        <v>40383.398437499993</v>
      </c>
      <c r="C145" s="269">
        <f t="shared" si="43"/>
        <v>40383.398437499993</v>
      </c>
      <c r="D145" s="269"/>
      <c r="E145" s="269"/>
      <c r="F145" s="269">
        <f t="shared" si="42"/>
        <v>-40383.398437499993</v>
      </c>
      <c r="G145" s="269">
        <f t="shared" si="42"/>
        <v>-40383.398437499993</v>
      </c>
      <c r="H145" s="269">
        <f t="shared" si="41"/>
        <v>0</v>
      </c>
      <c r="I145" s="269">
        <f t="shared" si="41"/>
        <v>0</v>
      </c>
      <c r="J145" s="269">
        <f t="shared" si="28"/>
        <v>0</v>
      </c>
      <c r="K145" s="269">
        <f t="shared" si="38"/>
        <v>0</v>
      </c>
      <c r="L145" s="269">
        <f t="shared" si="29"/>
        <v>0</v>
      </c>
      <c r="M145" s="270">
        <f t="shared" si="30"/>
        <v>0</v>
      </c>
      <c r="N145" s="97"/>
      <c r="O145" s="271"/>
      <c r="P145" s="271"/>
      <c r="Q145" s="271"/>
      <c r="R145" s="271"/>
      <c r="S145" s="271"/>
      <c r="T145" s="271"/>
    </row>
    <row r="146" spans="1:20" s="230" customFormat="1" ht="15">
      <c r="A146" s="267">
        <f t="shared" si="31"/>
        <v>48060</v>
      </c>
      <c r="B146" s="269">
        <f t="shared" si="43"/>
        <v>40383.398437499993</v>
      </c>
      <c r="C146" s="269">
        <f t="shared" si="43"/>
        <v>40383.398437499993</v>
      </c>
      <c r="D146" s="269"/>
      <c r="E146" s="269"/>
      <c r="F146" s="269">
        <f t="shared" si="42"/>
        <v>-40383.398437499993</v>
      </c>
      <c r="G146" s="269">
        <f t="shared" si="42"/>
        <v>-40383.398437499993</v>
      </c>
      <c r="H146" s="269">
        <f t="shared" si="41"/>
        <v>0</v>
      </c>
      <c r="I146" s="269">
        <f t="shared" si="41"/>
        <v>0</v>
      </c>
      <c r="J146" s="269">
        <f t="shared" si="28"/>
        <v>0</v>
      </c>
      <c r="K146" s="269">
        <f t="shared" si="38"/>
        <v>0</v>
      </c>
      <c r="L146" s="269">
        <f t="shared" si="29"/>
        <v>0</v>
      </c>
      <c r="M146" s="270">
        <f t="shared" si="30"/>
        <v>0</v>
      </c>
      <c r="N146" s="97"/>
      <c r="O146" s="271"/>
      <c r="P146" s="271"/>
      <c r="Q146" s="271"/>
      <c r="R146" s="271"/>
      <c r="S146" s="271"/>
      <c r="T146" s="271"/>
    </row>
    <row r="147" spans="1:20" s="230" customFormat="1" ht="15">
      <c r="A147" s="267">
        <f t="shared" si="31"/>
        <v>48091</v>
      </c>
      <c r="B147" s="269">
        <f t="shared" si="43"/>
        <v>40383.398437499993</v>
      </c>
      <c r="C147" s="269">
        <f t="shared" si="43"/>
        <v>40383.398437499993</v>
      </c>
      <c r="D147" s="269"/>
      <c r="E147" s="269"/>
      <c r="F147" s="269">
        <f t="shared" si="42"/>
        <v>-40383.398437499993</v>
      </c>
      <c r="G147" s="269">
        <f t="shared" si="42"/>
        <v>-40383.398437499993</v>
      </c>
      <c r="H147" s="269">
        <f t="shared" si="41"/>
        <v>0</v>
      </c>
      <c r="I147" s="269">
        <f t="shared" si="41"/>
        <v>0</v>
      </c>
      <c r="J147" s="269">
        <f t="shared" si="28"/>
        <v>0</v>
      </c>
      <c r="K147" s="269">
        <f t="shared" si="38"/>
        <v>0</v>
      </c>
      <c r="L147" s="269">
        <f t="shared" si="29"/>
        <v>0</v>
      </c>
      <c r="M147" s="270">
        <f t="shared" si="30"/>
        <v>0</v>
      </c>
      <c r="N147" s="97"/>
      <c r="O147" s="271"/>
      <c r="P147" s="271"/>
      <c r="Q147" s="271"/>
      <c r="R147" s="271"/>
      <c r="S147" s="271"/>
      <c r="T147" s="271"/>
    </row>
    <row r="148" spans="1:20" s="230" customFormat="1" ht="15">
      <c r="A148" s="267">
        <f t="shared" si="31"/>
        <v>48121</v>
      </c>
      <c r="B148" s="269">
        <f t="shared" si="43"/>
        <v>40383.398437499993</v>
      </c>
      <c r="C148" s="269">
        <f t="shared" si="43"/>
        <v>40383.398437499993</v>
      </c>
      <c r="D148" s="269"/>
      <c r="E148" s="269"/>
      <c r="F148" s="269">
        <f t="shared" si="42"/>
        <v>-40383.398437499993</v>
      </c>
      <c r="G148" s="269">
        <f t="shared" si="42"/>
        <v>-40383.398437499993</v>
      </c>
      <c r="H148" s="269">
        <f t="shared" si="41"/>
        <v>0</v>
      </c>
      <c r="I148" s="269">
        <f t="shared" si="41"/>
        <v>0</v>
      </c>
      <c r="J148" s="269">
        <f t="shared" si="28"/>
        <v>0</v>
      </c>
      <c r="K148" s="269">
        <f t="shared" ref="K148:K166" si="44">-J148*$K$15</f>
        <v>0</v>
      </c>
      <c r="L148" s="269">
        <f t="shared" si="29"/>
        <v>0</v>
      </c>
      <c r="M148" s="270">
        <f t="shared" si="30"/>
        <v>0</v>
      </c>
      <c r="N148" s="97"/>
      <c r="O148" s="271"/>
      <c r="P148" s="271"/>
      <c r="Q148" s="271"/>
      <c r="R148" s="271"/>
      <c r="S148" s="271"/>
      <c r="T148" s="271"/>
    </row>
    <row r="149" spans="1:20" s="230" customFormat="1" ht="15">
      <c r="A149" s="267">
        <f t="shared" si="31"/>
        <v>48152</v>
      </c>
      <c r="B149" s="269">
        <f t="shared" si="43"/>
        <v>40383.398437499993</v>
      </c>
      <c r="C149" s="269">
        <f t="shared" si="43"/>
        <v>40383.398437499993</v>
      </c>
      <c r="D149" s="269"/>
      <c r="E149" s="269"/>
      <c r="F149" s="269">
        <f t="shared" ref="F149:G164" si="45">F148-D149</f>
        <v>-40383.398437499993</v>
      </c>
      <c r="G149" s="269">
        <f t="shared" si="45"/>
        <v>-40383.398437499993</v>
      </c>
      <c r="H149" s="269">
        <f t="shared" si="41"/>
        <v>0</v>
      </c>
      <c r="I149" s="269">
        <f t="shared" si="41"/>
        <v>0</v>
      </c>
      <c r="J149" s="269">
        <f t="shared" ref="J149:J166" si="46">I149-H149</f>
        <v>0</v>
      </c>
      <c r="K149" s="269">
        <f t="shared" si="44"/>
        <v>0</v>
      </c>
      <c r="L149" s="269">
        <f t="shared" ref="L149:L166" si="47">-K149+K148</f>
        <v>0</v>
      </c>
      <c r="M149" s="270">
        <f t="shared" ref="M149:M166" si="48">I149+K149</f>
        <v>0</v>
      </c>
      <c r="N149" s="97"/>
      <c r="O149" s="271"/>
      <c r="P149" s="271"/>
      <c r="Q149" s="271"/>
      <c r="R149" s="271"/>
      <c r="S149" s="271"/>
      <c r="T149" s="271"/>
    </row>
    <row r="150" spans="1:20" s="230" customFormat="1" ht="15">
      <c r="A150" s="267">
        <f t="shared" ref="A150:A166" si="49">EOMONTH(A149,1)</f>
        <v>48182</v>
      </c>
      <c r="B150" s="269">
        <f t="shared" si="43"/>
        <v>40383.398437499993</v>
      </c>
      <c r="C150" s="269">
        <f t="shared" si="43"/>
        <v>40383.398437499993</v>
      </c>
      <c r="D150" s="269"/>
      <c r="E150" s="269"/>
      <c r="F150" s="269">
        <f t="shared" si="45"/>
        <v>-40383.398437499993</v>
      </c>
      <c r="G150" s="269">
        <f t="shared" si="45"/>
        <v>-40383.398437499993</v>
      </c>
      <c r="H150" s="269">
        <f t="shared" si="41"/>
        <v>0</v>
      </c>
      <c r="I150" s="269">
        <f t="shared" si="41"/>
        <v>0</v>
      </c>
      <c r="J150" s="269">
        <f t="shared" si="46"/>
        <v>0</v>
      </c>
      <c r="K150" s="269">
        <f t="shared" si="44"/>
        <v>0</v>
      </c>
      <c r="L150" s="269">
        <f t="shared" si="47"/>
        <v>0</v>
      </c>
      <c r="M150" s="270">
        <f t="shared" si="48"/>
        <v>0</v>
      </c>
      <c r="N150" s="97"/>
      <c r="O150" s="271"/>
      <c r="P150" s="271"/>
      <c r="Q150" s="271"/>
      <c r="R150" s="271"/>
      <c r="S150" s="271"/>
      <c r="T150" s="271"/>
    </row>
    <row r="151" spans="1:20" s="230" customFormat="1" ht="15">
      <c r="A151" s="267">
        <f t="shared" si="49"/>
        <v>48213</v>
      </c>
      <c r="B151" s="269">
        <f t="shared" si="43"/>
        <v>40383.398437499993</v>
      </c>
      <c r="C151" s="269">
        <f t="shared" si="43"/>
        <v>40383.398437499993</v>
      </c>
      <c r="D151" s="269"/>
      <c r="E151" s="269"/>
      <c r="F151" s="269">
        <f t="shared" si="45"/>
        <v>-40383.398437499993</v>
      </c>
      <c r="G151" s="269">
        <f t="shared" si="45"/>
        <v>-40383.398437499993</v>
      </c>
      <c r="H151" s="269">
        <f t="shared" si="41"/>
        <v>0</v>
      </c>
      <c r="I151" s="269">
        <f t="shared" si="41"/>
        <v>0</v>
      </c>
      <c r="J151" s="269">
        <f t="shared" si="46"/>
        <v>0</v>
      </c>
      <c r="K151" s="269">
        <f t="shared" si="44"/>
        <v>0</v>
      </c>
      <c r="L151" s="269">
        <f t="shared" si="47"/>
        <v>0</v>
      </c>
      <c r="M151" s="270">
        <f t="shared" si="48"/>
        <v>0</v>
      </c>
      <c r="N151" s="97"/>
      <c r="O151" s="271"/>
      <c r="P151" s="271"/>
      <c r="Q151" s="271"/>
      <c r="R151" s="271"/>
      <c r="S151" s="271"/>
      <c r="T151" s="271"/>
    </row>
    <row r="152" spans="1:20" s="230" customFormat="1" ht="15">
      <c r="A152" s="267">
        <f t="shared" si="49"/>
        <v>48244</v>
      </c>
      <c r="B152" s="269">
        <f t="shared" si="43"/>
        <v>40383.398437499993</v>
      </c>
      <c r="C152" s="269">
        <f t="shared" si="43"/>
        <v>40383.398437499993</v>
      </c>
      <c r="D152" s="269"/>
      <c r="E152" s="269"/>
      <c r="F152" s="269">
        <f t="shared" si="45"/>
        <v>-40383.398437499993</v>
      </c>
      <c r="G152" s="269">
        <f t="shared" si="45"/>
        <v>-40383.398437499993</v>
      </c>
      <c r="H152" s="269">
        <f t="shared" si="41"/>
        <v>0</v>
      </c>
      <c r="I152" s="269">
        <f t="shared" si="41"/>
        <v>0</v>
      </c>
      <c r="J152" s="269">
        <f t="shared" si="46"/>
        <v>0</v>
      </c>
      <c r="K152" s="269">
        <f t="shared" si="44"/>
        <v>0</v>
      </c>
      <c r="L152" s="269">
        <f t="shared" si="47"/>
        <v>0</v>
      </c>
      <c r="M152" s="270">
        <f t="shared" si="48"/>
        <v>0</v>
      </c>
      <c r="N152" s="97"/>
      <c r="O152" s="271"/>
      <c r="P152" s="271"/>
      <c r="Q152" s="271"/>
      <c r="R152" s="271"/>
      <c r="S152" s="271"/>
      <c r="T152" s="271"/>
    </row>
    <row r="153" spans="1:20" s="230" customFormat="1" ht="15">
      <c r="A153" s="267">
        <f t="shared" si="49"/>
        <v>48273</v>
      </c>
      <c r="B153" s="269">
        <f t="shared" si="43"/>
        <v>40383.398437499993</v>
      </c>
      <c r="C153" s="269">
        <f t="shared" si="43"/>
        <v>40383.398437499993</v>
      </c>
      <c r="D153" s="269"/>
      <c r="E153" s="269"/>
      <c r="F153" s="269">
        <f t="shared" si="45"/>
        <v>-40383.398437499993</v>
      </c>
      <c r="G153" s="269">
        <f t="shared" si="45"/>
        <v>-40383.398437499993</v>
      </c>
      <c r="H153" s="269">
        <f t="shared" si="41"/>
        <v>0</v>
      </c>
      <c r="I153" s="269">
        <f t="shared" si="41"/>
        <v>0</v>
      </c>
      <c r="J153" s="269">
        <f t="shared" si="46"/>
        <v>0</v>
      </c>
      <c r="K153" s="269">
        <f t="shared" si="44"/>
        <v>0</v>
      </c>
      <c r="L153" s="269">
        <f t="shared" si="47"/>
        <v>0</v>
      </c>
      <c r="M153" s="270">
        <f t="shared" si="48"/>
        <v>0</v>
      </c>
      <c r="N153" s="97"/>
      <c r="O153" s="271"/>
      <c r="P153" s="271"/>
      <c r="Q153" s="271"/>
      <c r="R153" s="271"/>
      <c r="S153" s="271"/>
      <c r="T153" s="271"/>
    </row>
    <row r="154" spans="1:20" s="230" customFormat="1" ht="15">
      <c r="A154" s="267">
        <f t="shared" si="49"/>
        <v>48304</v>
      </c>
      <c r="B154" s="269">
        <f t="shared" si="43"/>
        <v>40383.398437499993</v>
      </c>
      <c r="C154" s="269">
        <f t="shared" si="43"/>
        <v>40383.398437499993</v>
      </c>
      <c r="D154" s="269"/>
      <c r="E154" s="269"/>
      <c r="F154" s="269">
        <f t="shared" si="45"/>
        <v>-40383.398437499993</v>
      </c>
      <c r="G154" s="269">
        <f t="shared" si="45"/>
        <v>-40383.398437499993</v>
      </c>
      <c r="H154" s="269">
        <f t="shared" si="41"/>
        <v>0</v>
      </c>
      <c r="I154" s="269">
        <f t="shared" si="41"/>
        <v>0</v>
      </c>
      <c r="J154" s="269">
        <f t="shared" si="46"/>
        <v>0</v>
      </c>
      <c r="K154" s="269">
        <f t="shared" si="44"/>
        <v>0</v>
      </c>
      <c r="L154" s="269">
        <f t="shared" si="47"/>
        <v>0</v>
      </c>
      <c r="M154" s="270">
        <f t="shared" si="48"/>
        <v>0</v>
      </c>
      <c r="N154" s="97"/>
      <c r="O154" s="271"/>
      <c r="P154" s="271"/>
      <c r="Q154" s="271"/>
      <c r="R154" s="271"/>
      <c r="S154" s="271"/>
      <c r="T154" s="271"/>
    </row>
    <row r="155" spans="1:20" s="230" customFormat="1" ht="15">
      <c r="A155" s="267">
        <f t="shared" si="49"/>
        <v>48334</v>
      </c>
      <c r="B155" s="269">
        <f t="shared" si="43"/>
        <v>40383.398437499993</v>
      </c>
      <c r="C155" s="269">
        <f t="shared" si="43"/>
        <v>40383.398437499993</v>
      </c>
      <c r="D155" s="269"/>
      <c r="E155" s="269"/>
      <c r="F155" s="269">
        <f t="shared" si="45"/>
        <v>-40383.398437499993</v>
      </c>
      <c r="G155" s="269">
        <f t="shared" si="45"/>
        <v>-40383.398437499993</v>
      </c>
      <c r="H155" s="269">
        <f t="shared" si="41"/>
        <v>0</v>
      </c>
      <c r="I155" s="269">
        <f t="shared" si="41"/>
        <v>0</v>
      </c>
      <c r="J155" s="269">
        <f t="shared" si="46"/>
        <v>0</v>
      </c>
      <c r="K155" s="269">
        <f t="shared" si="44"/>
        <v>0</v>
      </c>
      <c r="L155" s="269">
        <f t="shared" si="47"/>
        <v>0</v>
      </c>
      <c r="M155" s="270">
        <f t="shared" si="48"/>
        <v>0</v>
      </c>
      <c r="N155" s="97"/>
      <c r="O155" s="271"/>
      <c r="P155" s="271"/>
      <c r="Q155" s="271"/>
      <c r="R155" s="271"/>
      <c r="S155" s="271"/>
      <c r="T155" s="271"/>
    </row>
    <row r="156" spans="1:20" s="230" customFormat="1" ht="15">
      <c r="A156" s="267">
        <f t="shared" si="49"/>
        <v>48365</v>
      </c>
      <c r="B156" s="269">
        <f t="shared" si="43"/>
        <v>40383.398437499993</v>
      </c>
      <c r="C156" s="269">
        <f t="shared" si="43"/>
        <v>40383.398437499993</v>
      </c>
      <c r="D156" s="269"/>
      <c r="E156" s="269"/>
      <c r="F156" s="269">
        <f t="shared" si="45"/>
        <v>-40383.398437499993</v>
      </c>
      <c r="G156" s="269">
        <f t="shared" si="45"/>
        <v>-40383.398437499993</v>
      </c>
      <c r="H156" s="269">
        <f t="shared" si="41"/>
        <v>0</v>
      </c>
      <c r="I156" s="269">
        <f t="shared" si="41"/>
        <v>0</v>
      </c>
      <c r="J156" s="269">
        <f t="shared" si="46"/>
        <v>0</v>
      </c>
      <c r="K156" s="269">
        <f t="shared" si="44"/>
        <v>0</v>
      </c>
      <c r="L156" s="269">
        <f t="shared" si="47"/>
        <v>0</v>
      </c>
      <c r="M156" s="270">
        <f t="shared" si="48"/>
        <v>0</v>
      </c>
      <c r="N156" s="97"/>
      <c r="O156" s="271"/>
      <c r="P156" s="271"/>
      <c r="Q156" s="271"/>
      <c r="R156" s="271"/>
      <c r="S156" s="271"/>
      <c r="T156" s="271"/>
    </row>
    <row r="157" spans="1:20" s="230" customFormat="1" ht="15">
      <c r="A157" s="267">
        <f t="shared" si="49"/>
        <v>48395</v>
      </c>
      <c r="B157" s="269">
        <f t="shared" si="43"/>
        <v>40383.398437499993</v>
      </c>
      <c r="C157" s="269">
        <f t="shared" si="43"/>
        <v>40383.398437499993</v>
      </c>
      <c r="D157" s="269"/>
      <c r="E157" s="269"/>
      <c r="F157" s="269">
        <f t="shared" si="45"/>
        <v>-40383.398437499993</v>
      </c>
      <c r="G157" s="269">
        <f t="shared" si="45"/>
        <v>-40383.398437499993</v>
      </c>
      <c r="H157" s="269">
        <f t="shared" si="41"/>
        <v>0</v>
      </c>
      <c r="I157" s="269">
        <f t="shared" si="41"/>
        <v>0</v>
      </c>
      <c r="J157" s="269">
        <f t="shared" si="46"/>
        <v>0</v>
      </c>
      <c r="K157" s="269">
        <f t="shared" si="44"/>
        <v>0</v>
      </c>
      <c r="L157" s="269">
        <f t="shared" si="47"/>
        <v>0</v>
      </c>
      <c r="M157" s="270">
        <f t="shared" si="48"/>
        <v>0</v>
      </c>
      <c r="N157" s="97"/>
      <c r="O157" s="271"/>
      <c r="P157" s="271"/>
      <c r="Q157" s="271"/>
      <c r="R157" s="271"/>
      <c r="S157" s="271"/>
      <c r="T157" s="271"/>
    </row>
    <row r="158" spans="1:20" s="230" customFormat="1" ht="15">
      <c r="A158" s="267">
        <f t="shared" si="49"/>
        <v>48426</v>
      </c>
      <c r="B158" s="269">
        <f t="shared" si="43"/>
        <v>40383.398437499993</v>
      </c>
      <c r="C158" s="269">
        <f t="shared" si="43"/>
        <v>40383.398437499993</v>
      </c>
      <c r="D158" s="269"/>
      <c r="E158" s="269"/>
      <c r="F158" s="269">
        <f t="shared" si="45"/>
        <v>-40383.398437499993</v>
      </c>
      <c r="G158" s="269">
        <f t="shared" si="45"/>
        <v>-40383.398437499993</v>
      </c>
      <c r="H158" s="269">
        <f t="shared" si="41"/>
        <v>0</v>
      </c>
      <c r="I158" s="269">
        <f t="shared" si="41"/>
        <v>0</v>
      </c>
      <c r="J158" s="269">
        <f t="shared" si="46"/>
        <v>0</v>
      </c>
      <c r="K158" s="269">
        <f t="shared" si="44"/>
        <v>0</v>
      </c>
      <c r="L158" s="269">
        <f t="shared" si="47"/>
        <v>0</v>
      </c>
      <c r="M158" s="270">
        <f t="shared" si="48"/>
        <v>0</v>
      </c>
      <c r="N158" s="97"/>
      <c r="O158" s="271"/>
      <c r="P158" s="271"/>
      <c r="Q158" s="271"/>
      <c r="R158" s="271"/>
      <c r="S158" s="271"/>
      <c r="T158" s="271"/>
    </row>
    <row r="159" spans="1:20" s="230" customFormat="1" ht="15">
      <c r="A159" s="267">
        <f t="shared" si="49"/>
        <v>48457</v>
      </c>
      <c r="B159" s="269">
        <f t="shared" si="43"/>
        <v>40383.398437499993</v>
      </c>
      <c r="C159" s="269">
        <f t="shared" si="43"/>
        <v>40383.398437499993</v>
      </c>
      <c r="D159" s="269"/>
      <c r="E159" s="269"/>
      <c r="F159" s="269">
        <f t="shared" si="45"/>
        <v>-40383.398437499993</v>
      </c>
      <c r="G159" s="269">
        <f t="shared" si="45"/>
        <v>-40383.398437499993</v>
      </c>
      <c r="H159" s="269">
        <f t="shared" si="41"/>
        <v>0</v>
      </c>
      <c r="I159" s="269">
        <f t="shared" si="41"/>
        <v>0</v>
      </c>
      <c r="J159" s="269">
        <f t="shared" si="46"/>
        <v>0</v>
      </c>
      <c r="K159" s="269">
        <f t="shared" si="44"/>
        <v>0</v>
      </c>
      <c r="L159" s="269">
        <f t="shared" si="47"/>
        <v>0</v>
      </c>
      <c r="M159" s="270">
        <f t="shared" si="48"/>
        <v>0</v>
      </c>
      <c r="N159" s="97"/>
      <c r="O159" s="271"/>
      <c r="P159" s="271"/>
      <c r="Q159" s="271"/>
      <c r="R159" s="271"/>
      <c r="S159" s="271"/>
      <c r="T159" s="271"/>
    </row>
    <row r="160" spans="1:20" s="230" customFormat="1" ht="15">
      <c r="A160" s="267">
        <f t="shared" si="49"/>
        <v>48487</v>
      </c>
      <c r="B160" s="269">
        <f t="shared" si="43"/>
        <v>40383.398437499993</v>
      </c>
      <c r="C160" s="269">
        <f t="shared" si="43"/>
        <v>40383.398437499993</v>
      </c>
      <c r="D160" s="269"/>
      <c r="E160" s="269"/>
      <c r="F160" s="269">
        <f t="shared" si="45"/>
        <v>-40383.398437499993</v>
      </c>
      <c r="G160" s="269">
        <f t="shared" si="45"/>
        <v>-40383.398437499993</v>
      </c>
      <c r="H160" s="269">
        <f t="shared" si="41"/>
        <v>0</v>
      </c>
      <c r="I160" s="269">
        <f t="shared" si="41"/>
        <v>0</v>
      </c>
      <c r="J160" s="269">
        <f t="shared" si="46"/>
        <v>0</v>
      </c>
      <c r="K160" s="269">
        <f t="shared" si="44"/>
        <v>0</v>
      </c>
      <c r="L160" s="269">
        <f t="shared" si="47"/>
        <v>0</v>
      </c>
      <c r="M160" s="270">
        <f t="shared" si="48"/>
        <v>0</v>
      </c>
      <c r="N160" s="97"/>
      <c r="O160" s="271"/>
      <c r="P160" s="271"/>
      <c r="Q160" s="271"/>
      <c r="R160" s="271"/>
      <c r="S160" s="271"/>
      <c r="T160" s="271"/>
    </row>
    <row r="161" spans="1:20" s="230" customFormat="1" ht="15">
      <c r="A161" s="267">
        <f t="shared" si="49"/>
        <v>48518</v>
      </c>
      <c r="B161" s="269">
        <f t="shared" si="43"/>
        <v>40383.398437499993</v>
      </c>
      <c r="C161" s="269">
        <f t="shared" si="43"/>
        <v>40383.398437499993</v>
      </c>
      <c r="D161" s="269"/>
      <c r="E161" s="269"/>
      <c r="F161" s="269">
        <f t="shared" si="45"/>
        <v>-40383.398437499993</v>
      </c>
      <c r="G161" s="269">
        <f t="shared" si="45"/>
        <v>-40383.398437499993</v>
      </c>
      <c r="H161" s="269">
        <f t="shared" si="41"/>
        <v>0</v>
      </c>
      <c r="I161" s="269">
        <f t="shared" si="41"/>
        <v>0</v>
      </c>
      <c r="J161" s="269">
        <f t="shared" si="46"/>
        <v>0</v>
      </c>
      <c r="K161" s="269">
        <f t="shared" si="44"/>
        <v>0</v>
      </c>
      <c r="L161" s="269">
        <f t="shared" si="47"/>
        <v>0</v>
      </c>
      <c r="M161" s="270">
        <f t="shared" si="48"/>
        <v>0</v>
      </c>
      <c r="N161" s="97"/>
      <c r="O161" s="271"/>
      <c r="P161" s="271"/>
      <c r="Q161" s="271"/>
      <c r="R161" s="271"/>
      <c r="S161" s="271"/>
      <c r="T161" s="271"/>
    </row>
    <row r="162" spans="1:20" s="230" customFormat="1" ht="15">
      <c r="A162" s="267">
        <f t="shared" si="49"/>
        <v>48548</v>
      </c>
      <c r="B162" s="269">
        <f t="shared" si="43"/>
        <v>40383.398437499993</v>
      </c>
      <c r="C162" s="269">
        <f t="shared" si="43"/>
        <v>40383.398437499993</v>
      </c>
      <c r="D162" s="269"/>
      <c r="E162" s="269"/>
      <c r="F162" s="269">
        <f t="shared" si="45"/>
        <v>-40383.398437499993</v>
      </c>
      <c r="G162" s="269">
        <f t="shared" si="45"/>
        <v>-40383.398437499993</v>
      </c>
      <c r="H162" s="269">
        <f t="shared" si="41"/>
        <v>0</v>
      </c>
      <c r="I162" s="269">
        <f t="shared" si="41"/>
        <v>0</v>
      </c>
      <c r="J162" s="269">
        <f t="shared" si="46"/>
        <v>0</v>
      </c>
      <c r="K162" s="269">
        <f t="shared" si="44"/>
        <v>0</v>
      </c>
      <c r="L162" s="269">
        <f t="shared" si="47"/>
        <v>0</v>
      </c>
      <c r="M162" s="270">
        <f t="shared" si="48"/>
        <v>0</v>
      </c>
      <c r="N162" s="97"/>
      <c r="O162" s="271"/>
      <c r="P162" s="271"/>
      <c r="Q162" s="271"/>
      <c r="R162" s="271"/>
      <c r="S162" s="271"/>
      <c r="T162" s="271"/>
    </row>
    <row r="163" spans="1:20" s="230" customFormat="1" ht="15">
      <c r="A163" s="267">
        <f t="shared" si="49"/>
        <v>48579</v>
      </c>
      <c r="B163" s="269">
        <f t="shared" si="43"/>
        <v>40383.398437499993</v>
      </c>
      <c r="C163" s="269">
        <f t="shared" si="43"/>
        <v>40383.398437499993</v>
      </c>
      <c r="D163" s="269"/>
      <c r="E163" s="269"/>
      <c r="F163" s="269">
        <f t="shared" si="45"/>
        <v>-40383.398437499993</v>
      </c>
      <c r="G163" s="269">
        <f t="shared" si="45"/>
        <v>-40383.398437499993</v>
      </c>
      <c r="H163" s="269">
        <f t="shared" si="41"/>
        <v>0</v>
      </c>
      <c r="I163" s="269">
        <f t="shared" si="41"/>
        <v>0</v>
      </c>
      <c r="J163" s="269">
        <f t="shared" si="46"/>
        <v>0</v>
      </c>
      <c r="K163" s="269">
        <f t="shared" si="44"/>
        <v>0</v>
      </c>
      <c r="L163" s="269">
        <f t="shared" si="47"/>
        <v>0</v>
      </c>
      <c r="M163" s="270">
        <f t="shared" si="48"/>
        <v>0</v>
      </c>
      <c r="N163" s="97"/>
      <c r="O163" s="271"/>
      <c r="P163" s="271"/>
      <c r="Q163" s="271"/>
      <c r="R163" s="271"/>
      <c r="S163" s="271"/>
      <c r="T163" s="271"/>
    </row>
    <row r="164" spans="1:20" s="230" customFormat="1" ht="15">
      <c r="A164" s="267">
        <f t="shared" si="49"/>
        <v>48610</v>
      </c>
      <c r="B164" s="269">
        <f t="shared" si="43"/>
        <v>40383.398437499993</v>
      </c>
      <c r="C164" s="269">
        <f t="shared" si="43"/>
        <v>40383.398437499993</v>
      </c>
      <c r="D164" s="269"/>
      <c r="E164" s="269"/>
      <c r="F164" s="269">
        <f t="shared" si="45"/>
        <v>-40383.398437499993</v>
      </c>
      <c r="G164" s="269">
        <f t="shared" si="45"/>
        <v>-40383.398437499993</v>
      </c>
      <c r="H164" s="269">
        <f t="shared" si="41"/>
        <v>0</v>
      </c>
      <c r="I164" s="269">
        <f t="shared" si="41"/>
        <v>0</v>
      </c>
      <c r="J164" s="269">
        <f t="shared" si="46"/>
        <v>0</v>
      </c>
      <c r="K164" s="269">
        <f t="shared" si="44"/>
        <v>0</v>
      </c>
      <c r="L164" s="269">
        <f t="shared" si="47"/>
        <v>0</v>
      </c>
      <c r="M164" s="270">
        <f t="shared" si="48"/>
        <v>0</v>
      </c>
      <c r="N164" s="97"/>
      <c r="O164" s="271"/>
      <c r="P164" s="271"/>
      <c r="Q164" s="271"/>
      <c r="R164" s="271"/>
      <c r="S164" s="271"/>
      <c r="T164" s="271"/>
    </row>
    <row r="165" spans="1:20" s="230" customFormat="1" ht="15">
      <c r="A165" s="267">
        <f t="shared" si="49"/>
        <v>48638</v>
      </c>
      <c r="B165" s="269">
        <f t="shared" si="43"/>
        <v>40383.398437499993</v>
      </c>
      <c r="C165" s="269">
        <f t="shared" si="43"/>
        <v>40383.398437499993</v>
      </c>
      <c r="D165" s="269"/>
      <c r="E165" s="269"/>
      <c r="F165" s="269">
        <f t="shared" ref="F165:G166" si="50">F164-D165</f>
        <v>-40383.398437499993</v>
      </c>
      <c r="G165" s="269">
        <f t="shared" si="50"/>
        <v>-40383.398437499993</v>
      </c>
      <c r="H165" s="269">
        <f t="shared" si="41"/>
        <v>0</v>
      </c>
      <c r="I165" s="269">
        <f t="shared" si="41"/>
        <v>0</v>
      </c>
      <c r="J165" s="269">
        <f t="shared" si="46"/>
        <v>0</v>
      </c>
      <c r="K165" s="269">
        <f t="shared" si="44"/>
        <v>0</v>
      </c>
      <c r="L165" s="269">
        <f t="shared" si="47"/>
        <v>0</v>
      </c>
      <c r="M165" s="270">
        <f t="shared" si="48"/>
        <v>0</v>
      </c>
      <c r="N165" s="97"/>
      <c r="O165" s="271"/>
      <c r="P165" s="271"/>
      <c r="Q165" s="271"/>
      <c r="R165" s="271"/>
      <c r="S165" s="271"/>
      <c r="T165" s="271"/>
    </row>
    <row r="166" spans="1:20" s="230" customFormat="1" ht="15">
      <c r="A166" s="267">
        <f t="shared" si="49"/>
        <v>48669</v>
      </c>
      <c r="B166" s="269">
        <f t="shared" si="43"/>
        <v>40383.398437499993</v>
      </c>
      <c r="C166" s="269">
        <f t="shared" si="43"/>
        <v>40383.398437499993</v>
      </c>
      <c r="D166" s="269"/>
      <c r="E166" s="269"/>
      <c r="F166" s="269">
        <f t="shared" si="50"/>
        <v>-40383.398437499993</v>
      </c>
      <c r="G166" s="269">
        <f t="shared" si="50"/>
        <v>-40383.398437499993</v>
      </c>
      <c r="H166" s="269">
        <f t="shared" si="41"/>
        <v>0</v>
      </c>
      <c r="I166" s="269">
        <f t="shared" si="41"/>
        <v>0</v>
      </c>
      <c r="J166" s="269">
        <f t="shared" si="46"/>
        <v>0</v>
      </c>
      <c r="K166" s="269">
        <f t="shared" si="44"/>
        <v>0</v>
      </c>
      <c r="L166" s="269">
        <f t="shared" si="47"/>
        <v>0</v>
      </c>
      <c r="M166" s="270">
        <f t="shared" si="48"/>
        <v>0</v>
      </c>
      <c r="N166" s="97"/>
      <c r="O166" s="271"/>
      <c r="P166" s="271"/>
      <c r="Q166" s="271"/>
      <c r="R166" s="271"/>
      <c r="S166" s="271"/>
      <c r="T166" s="271"/>
    </row>
    <row r="167" spans="1:20" ht="6" customHeight="1" thickBot="1">
      <c r="A167" s="276"/>
      <c r="B167" s="277"/>
      <c r="C167" s="277"/>
      <c r="D167" s="277"/>
      <c r="E167" s="277"/>
      <c r="F167" s="277"/>
      <c r="G167" s="277"/>
      <c r="H167" s="277"/>
      <c r="I167" s="277"/>
      <c r="J167" s="277"/>
      <c r="K167" s="277"/>
      <c r="L167" s="277"/>
      <c r="M167" s="278"/>
      <c r="N167" s="97"/>
      <c r="O167" s="279"/>
      <c r="P167" s="279"/>
      <c r="Q167" s="279"/>
      <c r="R167" s="279"/>
      <c r="S167" s="279"/>
      <c r="T167" s="279"/>
    </row>
    <row r="168" spans="1:20" s="230" customFormat="1" ht="15">
      <c r="A168" s="280"/>
      <c r="B168" s="281"/>
      <c r="C168" s="281"/>
      <c r="D168" s="282"/>
      <c r="E168" s="282"/>
      <c r="F168" s="283"/>
      <c r="G168" s="281"/>
      <c r="H168" s="281"/>
      <c r="I168" s="281"/>
      <c r="J168" s="281"/>
      <c r="K168" s="281"/>
      <c r="L168" s="281"/>
      <c r="M168" s="97"/>
      <c r="N168" s="97"/>
      <c r="O168" s="97"/>
    </row>
    <row r="169" spans="1:20" ht="15">
      <c r="A169" s="97"/>
      <c r="B169" s="97"/>
      <c r="C169" s="97"/>
      <c r="D169" s="227"/>
      <c r="E169" s="97"/>
      <c r="F169" s="97"/>
      <c r="G169" s="227"/>
      <c r="H169" s="97"/>
      <c r="I169" s="97"/>
      <c r="J169" s="97"/>
      <c r="K169" s="97"/>
      <c r="L169" s="97"/>
      <c r="M169" s="97"/>
      <c r="N169" s="97"/>
      <c r="O169" s="97"/>
    </row>
    <row r="170" spans="1:20" ht="15">
      <c r="A170" s="97"/>
      <c r="B170" s="97"/>
      <c r="C170" s="97"/>
      <c r="D170" s="227"/>
      <c r="E170" s="97"/>
      <c r="F170" s="97"/>
      <c r="G170" s="97"/>
      <c r="H170" s="97"/>
      <c r="I170" s="97"/>
      <c r="J170" s="97"/>
      <c r="K170" s="97"/>
      <c r="L170" s="97"/>
      <c r="M170" s="97"/>
      <c r="N170" s="97"/>
      <c r="O170" s="97"/>
      <c r="P170" s="97"/>
      <c r="Q170" s="97"/>
    </row>
    <row r="171" spans="1:20" ht="15">
      <c r="A171" s="284"/>
      <c r="B171" s="97"/>
      <c r="C171" s="97"/>
      <c r="D171" s="97"/>
      <c r="E171" s="97"/>
      <c r="F171" s="97"/>
      <c r="G171" s="97"/>
      <c r="H171" s="97"/>
      <c r="I171" s="97"/>
      <c r="J171" s="97"/>
      <c r="K171" s="97"/>
      <c r="L171" s="97"/>
      <c r="M171" s="97"/>
      <c r="N171" s="97"/>
      <c r="O171" s="97"/>
      <c r="P171" s="97"/>
      <c r="Q171" s="97"/>
    </row>
    <row r="172" spans="1:20" ht="15">
      <c r="A172" s="97"/>
      <c r="B172" s="97"/>
      <c r="C172" s="97"/>
      <c r="D172" s="97"/>
      <c r="E172" s="97"/>
      <c r="F172" s="97"/>
      <c r="G172" s="97"/>
      <c r="H172" s="97"/>
      <c r="I172" s="97"/>
      <c r="J172" s="97"/>
      <c r="K172" s="97"/>
      <c r="L172" s="97"/>
      <c r="M172" s="97"/>
      <c r="N172" s="97"/>
    </row>
    <row r="173" spans="1:20" ht="15">
      <c r="A173" s="97"/>
      <c r="B173" s="97"/>
      <c r="C173" s="97"/>
      <c r="D173" s="97"/>
      <c r="E173" s="97"/>
      <c r="F173" s="97"/>
      <c r="G173" s="97"/>
      <c r="H173" s="97"/>
      <c r="I173" s="97"/>
      <c r="J173" s="97"/>
      <c r="K173" s="97"/>
      <c r="L173" s="97"/>
      <c r="M173" s="97"/>
      <c r="N173" s="97"/>
      <c r="O173"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161"/>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2022</v>
      </c>
      <c r="C4" s="222">
        <f>+B4+1</f>
        <v>2023</v>
      </c>
      <c r="D4" s="222">
        <f t="shared" ref="D4:E4" si="0">+C4+1</f>
        <v>2024</v>
      </c>
      <c r="E4" s="222">
        <f t="shared" si="0"/>
        <v>2025</v>
      </c>
      <c r="F4" s="222">
        <f>+E4+1</f>
        <v>2026</v>
      </c>
      <c r="G4" s="222">
        <f t="shared" ref="G4:P4" si="1">+F4+1</f>
        <v>2027</v>
      </c>
      <c r="H4" s="222">
        <f t="shared" si="1"/>
        <v>2028</v>
      </c>
      <c r="I4" s="222">
        <f t="shared" si="1"/>
        <v>2029</v>
      </c>
      <c r="J4" s="222">
        <f t="shared" si="1"/>
        <v>2030</v>
      </c>
      <c r="K4" s="222">
        <f t="shared" si="1"/>
        <v>2031</v>
      </c>
      <c r="L4" s="222">
        <f t="shared" si="1"/>
        <v>2032</v>
      </c>
      <c r="M4" s="222">
        <f t="shared" si="1"/>
        <v>2033</v>
      </c>
      <c r="N4" s="222">
        <f t="shared" si="1"/>
        <v>2034</v>
      </c>
      <c r="O4" s="222">
        <f t="shared" si="1"/>
        <v>2035</v>
      </c>
      <c r="P4" s="222">
        <f t="shared" si="1"/>
        <v>2036</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2037</v>
      </c>
      <c r="C7" s="222">
        <f>+B7+1</f>
        <v>2038</v>
      </c>
      <c r="D7" s="222">
        <f>+C7+1</f>
        <v>2039</v>
      </c>
      <c r="E7" s="222">
        <f>+D7+1</f>
        <v>2040</v>
      </c>
      <c r="F7" s="222">
        <f>+E7+1</f>
        <v>2041</v>
      </c>
      <c r="G7" s="222">
        <f>+F7+1</f>
        <v>2042</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row>
    <row r="12" spans="1:23">
      <c r="A12" s="238"/>
      <c r="B12" s="239"/>
      <c r="C12" s="240"/>
      <c r="D12" s="241" t="s">
        <v>331</v>
      </c>
      <c r="E12" s="242">
        <f>1/5</f>
        <v>0.2</v>
      </c>
      <c r="F12" s="243"/>
      <c r="G12" s="244"/>
      <c r="H12" s="243"/>
      <c r="I12" s="244"/>
      <c r="J12" s="245"/>
      <c r="K12" s="245"/>
      <c r="L12" s="245"/>
    </row>
    <row r="13" spans="1:23">
      <c r="A13" s="238"/>
      <c r="B13" s="246"/>
      <c r="C13" s="247"/>
      <c r="D13" s="246"/>
      <c r="E13" s="248"/>
      <c r="F13" s="246"/>
      <c r="G13" s="247"/>
      <c r="H13" s="249"/>
      <c r="I13" s="250" t="s">
        <v>332</v>
      </c>
      <c r="J13" s="251"/>
      <c r="K13" s="251"/>
      <c r="L13" s="251"/>
    </row>
    <row r="14" spans="1:23">
      <c r="A14" s="252"/>
      <c r="B14" s="253" t="s">
        <v>334</v>
      </c>
      <c r="C14" s="254" t="s">
        <v>335</v>
      </c>
      <c r="D14" s="253" t="s">
        <v>336</v>
      </c>
      <c r="E14" s="254" t="s">
        <v>337</v>
      </c>
      <c r="F14" s="249" t="s">
        <v>334</v>
      </c>
      <c r="G14" s="250" t="s">
        <v>335</v>
      </c>
      <c r="H14" s="249" t="s">
        <v>334</v>
      </c>
      <c r="I14" s="250" t="s">
        <v>338</v>
      </c>
      <c r="J14" s="245" t="s">
        <v>339</v>
      </c>
      <c r="K14" s="255"/>
      <c r="L14" s="251" t="s">
        <v>317</v>
      </c>
    </row>
    <row r="15" spans="1:23">
      <c r="A15" s="252"/>
      <c r="B15" s="253"/>
      <c r="C15" s="254"/>
      <c r="D15" s="253"/>
      <c r="E15" s="254"/>
      <c r="F15" s="249"/>
      <c r="G15" s="250"/>
      <c r="H15" s="249"/>
      <c r="I15" s="250"/>
      <c r="J15" s="245"/>
      <c r="K15" s="255">
        <v>0.21</v>
      </c>
      <c r="L15" s="251"/>
    </row>
    <row r="16" spans="1:23">
      <c r="A16" s="252"/>
      <c r="B16" s="253"/>
      <c r="C16" s="254"/>
      <c r="D16" s="253" t="s">
        <v>341</v>
      </c>
      <c r="E16" s="250" t="s">
        <v>342</v>
      </c>
      <c r="F16" s="249" t="s">
        <v>343</v>
      </c>
      <c r="G16" s="250" t="s">
        <v>344</v>
      </c>
      <c r="H16" s="249"/>
      <c r="I16" s="250"/>
      <c r="J16" s="245"/>
      <c r="K16" s="255" t="s">
        <v>345</v>
      </c>
      <c r="L16" s="251"/>
    </row>
    <row r="17" spans="1:20">
      <c r="A17" s="256"/>
      <c r="B17" s="257" t="s">
        <v>347</v>
      </c>
      <c r="C17" s="258" t="s">
        <v>348</v>
      </c>
      <c r="D17" s="257"/>
      <c r="E17" s="258" t="s">
        <v>349</v>
      </c>
      <c r="F17" s="259" t="s">
        <v>350</v>
      </c>
      <c r="G17" s="260" t="s">
        <v>351</v>
      </c>
      <c r="H17" s="259" t="s">
        <v>352</v>
      </c>
      <c r="I17" s="260" t="s">
        <v>353</v>
      </c>
      <c r="J17" s="261" t="s">
        <v>354</v>
      </c>
      <c r="K17" s="262" t="s">
        <v>355</v>
      </c>
      <c r="L17" s="263" t="s">
        <v>357</v>
      </c>
    </row>
    <row r="18" spans="1:20" ht="7.5" customHeight="1">
      <c r="A18" s="264"/>
      <c r="B18" s="265"/>
      <c r="C18" s="265"/>
      <c r="D18" s="265"/>
      <c r="E18" s="265"/>
      <c r="F18" s="265"/>
      <c r="G18" s="265"/>
      <c r="H18" s="265"/>
      <c r="I18" s="265"/>
      <c r="J18" s="265"/>
      <c r="K18" s="265"/>
      <c r="L18" s="266"/>
    </row>
    <row r="19" spans="1:20" s="230" customFormat="1">
      <c r="A19" s="267"/>
      <c r="B19" s="268"/>
      <c r="C19" s="269"/>
      <c r="D19" s="269"/>
      <c r="E19" s="269"/>
      <c r="F19" s="269"/>
      <c r="G19" s="269"/>
      <c r="H19" s="269"/>
      <c r="I19" s="269"/>
      <c r="J19" s="269"/>
      <c r="K19" s="269"/>
      <c r="L19" s="270"/>
      <c r="M19" s="268"/>
      <c r="N19" s="271"/>
      <c r="O19" s="271"/>
      <c r="P19" s="271"/>
      <c r="Q19" s="271"/>
      <c r="R19" s="271"/>
      <c r="S19" s="271"/>
      <c r="T19" s="271"/>
    </row>
    <row r="20" spans="1:20" s="230" customFormat="1">
      <c r="A20" s="267">
        <v>44592</v>
      </c>
      <c r="B20" s="269">
        <f>C20</f>
        <v>5749.0254720052071</v>
      </c>
      <c r="C20" s="269">
        <f>'EV Capex Summary'!$I$57/12</f>
        <v>5749.0254720052071</v>
      </c>
      <c r="D20" s="269">
        <f>B27*$B$5/8</f>
        <v>821.53573994954411</v>
      </c>
      <c r="E20" s="269">
        <f>C20*E$12/12</f>
        <v>95.817091200086793</v>
      </c>
      <c r="F20" s="269">
        <f>-D20</f>
        <v>-821.53573994954411</v>
      </c>
      <c r="G20" s="269">
        <f>-E20</f>
        <v>-95.817091200086793</v>
      </c>
      <c r="H20" s="269">
        <f t="shared" ref="H20:I38" si="2">B20+F20</f>
        <v>4927.4897320556629</v>
      </c>
      <c r="I20" s="269">
        <f t="shared" si="2"/>
        <v>5653.2083808051202</v>
      </c>
      <c r="J20" s="269">
        <f>I20-H20</f>
        <v>725.71864874945732</v>
      </c>
      <c r="K20" s="269">
        <f t="shared" ref="K20:K51" si="3">-J20*$K$15</f>
        <v>-152.40091623738604</v>
      </c>
      <c r="L20" s="270">
        <f>H20+J20</f>
        <v>5653.2083808051202</v>
      </c>
      <c r="M20" s="268"/>
      <c r="N20" s="271"/>
      <c r="O20" s="271"/>
      <c r="P20" s="271"/>
      <c r="Q20" s="271"/>
      <c r="R20" s="271"/>
      <c r="S20" s="271"/>
      <c r="T20" s="271"/>
    </row>
    <row r="21" spans="1:20" s="230" customFormat="1">
      <c r="A21" s="267">
        <f>EOMONTH(A20,1)</f>
        <v>44620</v>
      </c>
      <c r="B21" s="269">
        <f t="shared" ref="B21:B31" si="4">C21</f>
        <v>11498.050944010414</v>
      </c>
      <c r="C21" s="269">
        <f>'EV Capex Summary'!$I$57/12+C20</f>
        <v>11498.050944010414</v>
      </c>
      <c r="D21" s="269">
        <f t="shared" ref="D21:D27" si="5">B28*$B$5/8</f>
        <v>924.22770744323702</v>
      </c>
      <c r="E21" s="269">
        <f>C21*E$12/12</f>
        <v>191.63418240017359</v>
      </c>
      <c r="F21" s="269">
        <f t="shared" ref="F21:G36" si="6">F20-D21</f>
        <v>-1745.763447392781</v>
      </c>
      <c r="G21" s="269">
        <f t="shared" si="6"/>
        <v>-287.45127360026038</v>
      </c>
      <c r="H21" s="269">
        <f t="shared" si="2"/>
        <v>9752.2874966176332</v>
      </c>
      <c r="I21" s="269">
        <f t="shared" si="2"/>
        <v>11210.599670410154</v>
      </c>
      <c r="J21" s="269">
        <f t="shared" ref="J21:J84" si="7">I21-H21</f>
        <v>1458.3121737925212</v>
      </c>
      <c r="K21" s="269">
        <f t="shared" si="3"/>
        <v>-306.24555649642946</v>
      </c>
      <c r="L21" s="270">
        <f t="shared" ref="L21:L23" si="8">H21+J21</f>
        <v>11210.599670410154</v>
      </c>
      <c r="M21" s="268"/>
      <c r="N21" s="271"/>
      <c r="O21" s="271"/>
      <c r="P21" s="271"/>
      <c r="Q21" s="271"/>
      <c r="R21" s="271"/>
      <c r="S21" s="271"/>
      <c r="T21" s="271"/>
    </row>
    <row r="22" spans="1:20" s="230" customFormat="1">
      <c r="A22" s="267">
        <f t="shared" ref="A22:A85" si="9">EOMONTH(A21,1)</f>
        <v>44651</v>
      </c>
      <c r="B22" s="269">
        <f t="shared" si="4"/>
        <v>17247.076416015621</v>
      </c>
      <c r="C22" s="269">
        <f>'EV Capex Summary'!$I$57/12+C21</f>
        <v>17247.076416015621</v>
      </c>
      <c r="D22" s="269">
        <f t="shared" si="5"/>
        <v>1026.9196749369301</v>
      </c>
      <c r="E22" s="269">
        <f t="shared" ref="E22:E74" si="10">C22*E$12/12</f>
        <v>287.45127360026038</v>
      </c>
      <c r="F22" s="269">
        <f t="shared" si="6"/>
        <v>-2772.6831223297113</v>
      </c>
      <c r="G22" s="269">
        <f t="shared" si="6"/>
        <v>-574.90254720052076</v>
      </c>
      <c r="H22" s="269">
        <f t="shared" si="2"/>
        <v>14474.393293685909</v>
      </c>
      <c r="I22" s="269">
        <f t="shared" si="2"/>
        <v>16672.173868815102</v>
      </c>
      <c r="J22" s="269">
        <f t="shared" si="7"/>
        <v>2197.7805751291926</v>
      </c>
      <c r="K22" s="269">
        <f t="shared" si="3"/>
        <v>-461.53392077713045</v>
      </c>
      <c r="L22" s="270">
        <f t="shared" si="8"/>
        <v>16672.173868815102</v>
      </c>
      <c r="M22" s="268"/>
      <c r="N22" s="271"/>
      <c r="O22" s="271"/>
      <c r="P22" s="271"/>
      <c r="Q22" s="271"/>
      <c r="R22" s="271"/>
      <c r="S22" s="271"/>
      <c r="T22" s="271"/>
    </row>
    <row r="23" spans="1:20" s="230" customFormat="1">
      <c r="A23" s="267">
        <f t="shared" si="9"/>
        <v>44681</v>
      </c>
      <c r="B23" s="269">
        <f t="shared" si="4"/>
        <v>22996.101888020828</v>
      </c>
      <c r="C23" s="269">
        <f>'EV Capex Summary'!$I$57/12+C22</f>
        <v>22996.101888020828</v>
      </c>
      <c r="D23" s="269">
        <f t="shared" si="5"/>
        <v>1129.6116424306229</v>
      </c>
      <c r="E23" s="269">
        <f t="shared" si="10"/>
        <v>383.26836480034717</v>
      </c>
      <c r="F23" s="269">
        <f t="shared" si="6"/>
        <v>-3902.2947647603341</v>
      </c>
      <c r="G23" s="269">
        <f t="shared" si="6"/>
        <v>-958.17091200086793</v>
      </c>
      <c r="H23" s="269">
        <f t="shared" si="2"/>
        <v>19093.807123260493</v>
      </c>
      <c r="I23" s="269">
        <f t="shared" si="2"/>
        <v>22037.930976019961</v>
      </c>
      <c r="J23" s="269">
        <f t="shared" si="7"/>
        <v>2944.1238527594687</v>
      </c>
      <c r="K23" s="269">
        <f t="shared" si="3"/>
        <v>-618.26600907948841</v>
      </c>
      <c r="L23" s="270">
        <f t="shared" si="8"/>
        <v>22037.930976019961</v>
      </c>
      <c r="M23" s="268"/>
      <c r="N23" s="272"/>
      <c r="O23" s="273"/>
      <c r="P23" s="271"/>
      <c r="Q23" s="271"/>
      <c r="R23" s="271"/>
      <c r="S23" s="271"/>
      <c r="T23" s="271"/>
    </row>
    <row r="24" spans="1:20" s="230" customFormat="1">
      <c r="A24" s="267">
        <f t="shared" si="9"/>
        <v>44712</v>
      </c>
      <c r="B24" s="269">
        <f t="shared" si="4"/>
        <v>28745.127360026036</v>
      </c>
      <c r="C24" s="269">
        <f>'EV Capex Summary'!$I$57/12+C23</f>
        <v>28745.127360026036</v>
      </c>
      <c r="D24" s="269">
        <f t="shared" si="5"/>
        <v>1232.3036099243159</v>
      </c>
      <c r="E24" s="269">
        <f t="shared" si="10"/>
        <v>479.08545600043391</v>
      </c>
      <c r="F24" s="269">
        <f t="shared" si="6"/>
        <v>-5134.5983746846505</v>
      </c>
      <c r="G24" s="269">
        <f t="shared" si="6"/>
        <v>-1437.2563680013018</v>
      </c>
      <c r="H24" s="269">
        <f t="shared" si="2"/>
        <v>23610.528985341385</v>
      </c>
      <c r="I24" s="269">
        <f t="shared" si="2"/>
        <v>27307.870992024735</v>
      </c>
      <c r="J24" s="269">
        <f t="shared" si="7"/>
        <v>3697.3420066833496</v>
      </c>
      <c r="K24" s="269">
        <f t="shared" si="3"/>
        <v>-776.44182140350335</v>
      </c>
      <c r="L24" s="270">
        <f t="shared" ref="L24:L87" si="11">-K24+K23</f>
        <v>158.17581232401494</v>
      </c>
      <c r="M24" s="268"/>
      <c r="N24" s="271"/>
      <c r="O24" s="271"/>
      <c r="P24" s="271"/>
      <c r="Q24" s="271"/>
      <c r="R24" s="271"/>
      <c r="S24" s="271"/>
      <c r="T24" s="271"/>
    </row>
    <row r="25" spans="1:20" s="230" customFormat="1">
      <c r="A25" s="267">
        <f t="shared" si="9"/>
        <v>44742</v>
      </c>
      <c r="B25" s="269">
        <f t="shared" si="4"/>
        <v>34494.152832031243</v>
      </c>
      <c r="C25" s="269">
        <f>'EV Capex Summary'!$I$57/12+C24</f>
        <v>34494.152832031243</v>
      </c>
      <c r="D25" s="269">
        <f t="shared" si="5"/>
        <v>1232.3036099243159</v>
      </c>
      <c r="E25" s="269">
        <f t="shared" si="10"/>
        <v>574.90254720052076</v>
      </c>
      <c r="F25" s="269">
        <f t="shared" si="6"/>
        <v>-6366.9019846089668</v>
      </c>
      <c r="G25" s="269">
        <f t="shared" si="6"/>
        <v>-2012.1589152018225</v>
      </c>
      <c r="H25" s="269">
        <f t="shared" si="2"/>
        <v>28127.250847422278</v>
      </c>
      <c r="I25" s="269">
        <f t="shared" si="2"/>
        <v>32481.993916829419</v>
      </c>
      <c r="J25" s="269">
        <f t="shared" si="7"/>
        <v>4354.7430694071409</v>
      </c>
      <c r="K25" s="269">
        <f t="shared" si="3"/>
        <v>-914.49604457549958</v>
      </c>
      <c r="L25" s="270">
        <f t="shared" si="11"/>
        <v>138.05422317199623</v>
      </c>
      <c r="M25" s="271"/>
      <c r="N25" s="271"/>
      <c r="O25" s="271"/>
      <c r="P25" s="271"/>
      <c r="Q25" s="271"/>
      <c r="R25" s="271"/>
      <c r="S25" s="271"/>
      <c r="T25" s="271"/>
    </row>
    <row r="26" spans="1:20" s="230" customFormat="1">
      <c r="A26" s="267">
        <f t="shared" si="9"/>
        <v>44773</v>
      </c>
      <c r="B26" s="269">
        <f t="shared" si="4"/>
        <v>40243.178304036453</v>
      </c>
      <c r="C26" s="269">
        <f>'EV Capex Summary'!$I$57/12+C25</f>
        <v>40243.178304036453</v>
      </c>
      <c r="D26" s="269">
        <f t="shared" si="5"/>
        <v>1232.3036099243159</v>
      </c>
      <c r="E26" s="269">
        <f t="shared" si="10"/>
        <v>670.71963840060755</v>
      </c>
      <c r="F26" s="269">
        <f t="shared" si="6"/>
        <v>-7599.2055945332831</v>
      </c>
      <c r="G26" s="269">
        <f t="shared" si="6"/>
        <v>-2682.8785536024302</v>
      </c>
      <c r="H26" s="269">
        <f t="shared" si="2"/>
        <v>32643.97270950317</v>
      </c>
      <c r="I26" s="269">
        <f t="shared" si="2"/>
        <v>37560.299750434024</v>
      </c>
      <c r="J26" s="269">
        <f t="shared" si="7"/>
        <v>4916.3270409308534</v>
      </c>
      <c r="K26" s="269">
        <f t="shared" si="3"/>
        <v>-1032.4286785954791</v>
      </c>
      <c r="L26" s="270">
        <f>-K26+K25</f>
        <v>117.93263401997956</v>
      </c>
      <c r="M26" s="271"/>
      <c r="N26" s="271"/>
      <c r="O26" s="271"/>
      <c r="P26" s="271"/>
      <c r="Q26" s="271"/>
      <c r="R26" s="271"/>
      <c r="S26" s="271"/>
      <c r="T26" s="271"/>
    </row>
    <row r="27" spans="1:20" s="230" customFormat="1">
      <c r="A27" s="267">
        <f t="shared" si="9"/>
        <v>44804</v>
      </c>
      <c r="B27" s="269">
        <f t="shared" si="4"/>
        <v>45992.203776041657</v>
      </c>
      <c r="C27" s="269">
        <f>'EV Capex Summary'!$I$57/12+C26</f>
        <v>45992.203776041657</v>
      </c>
      <c r="D27" s="269">
        <f t="shared" si="5"/>
        <v>1232.3036099243159</v>
      </c>
      <c r="E27" s="269">
        <f t="shared" si="10"/>
        <v>766.53672960069434</v>
      </c>
      <c r="F27" s="269">
        <f t="shared" si="6"/>
        <v>-8831.5092044575995</v>
      </c>
      <c r="G27" s="269">
        <f t="shared" si="6"/>
        <v>-3449.4152832031245</v>
      </c>
      <c r="H27" s="269">
        <f t="shared" si="2"/>
        <v>37160.694571584056</v>
      </c>
      <c r="I27" s="269">
        <f t="shared" si="2"/>
        <v>42542.788492838532</v>
      </c>
      <c r="J27" s="269">
        <f t="shared" si="7"/>
        <v>5382.0939212544763</v>
      </c>
      <c r="K27" s="269">
        <f t="shared" si="3"/>
        <v>-1130.23972346344</v>
      </c>
      <c r="L27" s="270">
        <f>-K27+K26</f>
        <v>97.811044867960845</v>
      </c>
      <c r="M27" s="271"/>
      <c r="N27" s="271"/>
      <c r="O27" s="271"/>
      <c r="P27" s="271"/>
      <c r="Q27" s="271"/>
      <c r="R27" s="271"/>
      <c r="S27" s="271"/>
      <c r="T27" s="271"/>
    </row>
    <row r="28" spans="1:20" s="230" customFormat="1">
      <c r="A28" s="267">
        <f t="shared" si="9"/>
        <v>44834</v>
      </c>
      <c r="B28" s="269">
        <f t="shared" si="4"/>
        <v>51741.22924804686</v>
      </c>
      <c r="C28" s="269">
        <f>'EV Capex Summary'!$I$57/12+C27</f>
        <v>51741.22924804686</v>
      </c>
      <c r="D28" s="269">
        <f t="shared" ref="D28:D39" si="12">B28*$C$5/12</f>
        <v>1055.9522535705564</v>
      </c>
      <c r="E28" s="269">
        <f t="shared" si="10"/>
        <v>862.35382080078114</v>
      </c>
      <c r="F28" s="269">
        <f t="shared" si="6"/>
        <v>-9887.4614580281559</v>
      </c>
      <c r="G28" s="269">
        <f t="shared" si="6"/>
        <v>-4311.7691040039053</v>
      </c>
      <c r="H28" s="269">
        <f t="shared" si="2"/>
        <v>41853.767790018705</v>
      </c>
      <c r="I28" s="269">
        <f t="shared" si="2"/>
        <v>47429.460144042954</v>
      </c>
      <c r="J28" s="269">
        <f t="shared" si="7"/>
        <v>5575.6923540242497</v>
      </c>
      <c r="K28" s="269">
        <f t="shared" si="3"/>
        <v>-1170.8953943450924</v>
      </c>
      <c r="L28" s="270">
        <f>-K28+K27</f>
        <v>40.655670881652441</v>
      </c>
      <c r="M28" s="271"/>
      <c r="N28" s="271"/>
      <c r="O28" s="271"/>
      <c r="P28" s="271"/>
      <c r="Q28" s="271"/>
      <c r="R28" s="271"/>
      <c r="S28" s="271"/>
      <c r="T28" s="271"/>
    </row>
    <row r="29" spans="1:20" s="230" customFormat="1">
      <c r="A29" s="267">
        <f t="shared" si="9"/>
        <v>44865</v>
      </c>
      <c r="B29" s="269">
        <f t="shared" si="4"/>
        <v>57490.254720052064</v>
      </c>
      <c r="C29" s="269">
        <f>'EV Capex Summary'!$I$57/12+C28</f>
        <v>57490.254720052064</v>
      </c>
      <c r="D29" s="269">
        <f t="shared" si="12"/>
        <v>1173.2802817450627</v>
      </c>
      <c r="E29" s="269">
        <f t="shared" si="10"/>
        <v>958.17091200086782</v>
      </c>
      <c r="F29" s="269">
        <f t="shared" si="6"/>
        <v>-11060.741739773219</v>
      </c>
      <c r="G29" s="269">
        <f t="shared" si="6"/>
        <v>-5269.9400160047735</v>
      </c>
      <c r="H29" s="269">
        <f t="shared" si="2"/>
        <v>46429.512980278843</v>
      </c>
      <c r="I29" s="269">
        <f t="shared" si="2"/>
        <v>52220.31470404729</v>
      </c>
      <c r="J29" s="269">
        <f t="shared" si="7"/>
        <v>5790.8017237684471</v>
      </c>
      <c r="K29" s="269">
        <f t="shared" si="3"/>
        <v>-1216.0683619913739</v>
      </c>
      <c r="L29" s="270">
        <f t="shared" si="11"/>
        <v>45.17296764628145</v>
      </c>
      <c r="M29" s="271"/>
      <c r="N29" s="271"/>
      <c r="O29" s="271"/>
      <c r="P29" s="271"/>
      <c r="Q29" s="271"/>
      <c r="R29" s="271"/>
      <c r="S29" s="271"/>
      <c r="T29" s="271"/>
    </row>
    <row r="30" spans="1:20" s="230" customFormat="1">
      <c r="A30" s="267">
        <f t="shared" si="9"/>
        <v>44895</v>
      </c>
      <c r="B30" s="269">
        <f t="shared" si="4"/>
        <v>63239.280192057267</v>
      </c>
      <c r="C30" s="269">
        <f>'EV Capex Summary'!$I$57/12+C29</f>
        <v>63239.280192057267</v>
      </c>
      <c r="D30" s="269">
        <f t="shared" si="12"/>
        <v>1290.6083099195687</v>
      </c>
      <c r="E30" s="269">
        <f t="shared" si="10"/>
        <v>1053.9880032009544</v>
      </c>
      <c r="F30" s="269">
        <f t="shared" si="6"/>
        <v>-12351.350049692788</v>
      </c>
      <c r="G30" s="269">
        <f t="shared" si="6"/>
        <v>-6323.9280192057277</v>
      </c>
      <c r="H30" s="269">
        <f t="shared" si="2"/>
        <v>50887.930142364479</v>
      </c>
      <c r="I30" s="269">
        <f t="shared" si="2"/>
        <v>56915.352172851541</v>
      </c>
      <c r="J30" s="269">
        <f t="shared" si="7"/>
        <v>6027.4220304870614</v>
      </c>
      <c r="K30" s="269">
        <f t="shared" si="3"/>
        <v>-1265.7586264022827</v>
      </c>
      <c r="L30" s="270">
        <f t="shared" si="11"/>
        <v>49.690264410908867</v>
      </c>
      <c r="M30" s="271"/>
      <c r="N30" s="271"/>
      <c r="O30" s="271"/>
      <c r="P30" s="271"/>
      <c r="Q30" s="271"/>
      <c r="R30" s="271"/>
      <c r="S30" s="271"/>
      <c r="T30" s="271"/>
    </row>
    <row r="31" spans="1:20" s="230" customFormat="1">
      <c r="A31" s="267">
        <f t="shared" si="9"/>
        <v>44926</v>
      </c>
      <c r="B31" s="269">
        <f t="shared" si="4"/>
        <v>68988.305664062471</v>
      </c>
      <c r="C31" s="269">
        <f>'EV Capex Summary'!$I$57/12+C30</f>
        <v>68988.305664062471</v>
      </c>
      <c r="D31" s="269">
        <f t="shared" si="12"/>
        <v>1407.9363380940749</v>
      </c>
      <c r="E31" s="269">
        <f t="shared" si="10"/>
        <v>1149.8050944010413</v>
      </c>
      <c r="F31" s="269">
        <f t="shared" si="6"/>
        <v>-13759.286387786862</v>
      </c>
      <c r="G31" s="269">
        <f t="shared" si="6"/>
        <v>-7473.7331136067687</v>
      </c>
      <c r="H31" s="269">
        <f t="shared" si="2"/>
        <v>55229.019276275605</v>
      </c>
      <c r="I31" s="269">
        <f t="shared" si="2"/>
        <v>61514.572550455705</v>
      </c>
      <c r="J31" s="269">
        <f t="shared" si="7"/>
        <v>6285.5532741800998</v>
      </c>
      <c r="K31" s="269">
        <f t="shared" si="3"/>
        <v>-1319.9661875778208</v>
      </c>
      <c r="L31" s="270">
        <f t="shared" si="11"/>
        <v>54.207561175538103</v>
      </c>
      <c r="M31" s="271"/>
      <c r="N31" s="271"/>
      <c r="O31" s="271"/>
      <c r="P31" s="271"/>
      <c r="Q31" s="271"/>
      <c r="R31" s="271"/>
      <c r="S31" s="271"/>
      <c r="T31" s="271"/>
    </row>
    <row r="32" spans="1:20" s="230" customFormat="1">
      <c r="A32" s="267">
        <f t="shared" si="9"/>
        <v>44957</v>
      </c>
      <c r="B32" s="269">
        <f>B31</f>
        <v>68988.305664062471</v>
      </c>
      <c r="C32" s="269">
        <f t="shared" ref="C32:C95" si="13">C31</f>
        <v>68988.305664062471</v>
      </c>
      <c r="D32" s="269">
        <f t="shared" si="12"/>
        <v>1407.9363380940749</v>
      </c>
      <c r="E32" s="269">
        <f t="shared" si="10"/>
        <v>1149.8050944010413</v>
      </c>
      <c r="F32" s="269">
        <f t="shared" si="6"/>
        <v>-15167.222725880936</v>
      </c>
      <c r="G32" s="269">
        <f t="shared" si="6"/>
        <v>-8623.5382080078107</v>
      </c>
      <c r="H32" s="269">
        <f t="shared" si="2"/>
        <v>53821.082938181535</v>
      </c>
      <c r="I32" s="269">
        <f t="shared" si="2"/>
        <v>60364.767456054658</v>
      </c>
      <c r="J32" s="269">
        <f t="shared" si="7"/>
        <v>6543.6845178731237</v>
      </c>
      <c r="K32" s="269">
        <f t="shared" si="3"/>
        <v>-1374.173748753356</v>
      </c>
      <c r="L32" s="270">
        <f t="shared" si="11"/>
        <v>54.207561175535147</v>
      </c>
      <c r="M32" s="271"/>
      <c r="N32" s="271"/>
      <c r="O32" s="271"/>
      <c r="P32" s="271"/>
      <c r="Q32" s="271"/>
      <c r="R32" s="271"/>
      <c r="S32" s="271"/>
      <c r="T32" s="271"/>
    </row>
    <row r="33" spans="1:20" s="230" customFormat="1">
      <c r="A33" s="267">
        <f t="shared" si="9"/>
        <v>44985</v>
      </c>
      <c r="B33" s="269">
        <f t="shared" ref="B33:C96" si="14">B32</f>
        <v>68988.305664062471</v>
      </c>
      <c r="C33" s="269">
        <f t="shared" si="13"/>
        <v>68988.305664062471</v>
      </c>
      <c r="D33" s="269">
        <f t="shared" si="12"/>
        <v>1407.9363380940749</v>
      </c>
      <c r="E33" s="269">
        <f t="shared" si="10"/>
        <v>1149.8050944010413</v>
      </c>
      <c r="F33" s="269">
        <f t="shared" si="6"/>
        <v>-16575.15906397501</v>
      </c>
      <c r="G33" s="269">
        <f t="shared" si="6"/>
        <v>-9773.3433024088517</v>
      </c>
      <c r="H33" s="269">
        <f t="shared" si="2"/>
        <v>52413.146600087464</v>
      </c>
      <c r="I33" s="269">
        <f t="shared" si="2"/>
        <v>59214.962361653619</v>
      </c>
      <c r="J33" s="269">
        <f t="shared" si="7"/>
        <v>6801.8157615661548</v>
      </c>
      <c r="K33" s="269">
        <f t="shared" si="3"/>
        <v>-1428.3813099288925</v>
      </c>
      <c r="L33" s="270">
        <f t="shared" si="11"/>
        <v>54.207561175536512</v>
      </c>
      <c r="M33" s="271"/>
      <c r="N33" s="274"/>
      <c r="O33" s="271"/>
      <c r="P33" s="271"/>
      <c r="Q33" s="271"/>
      <c r="R33" s="271"/>
      <c r="S33" s="271"/>
      <c r="T33" s="271"/>
    </row>
    <row r="34" spans="1:20" s="230" customFormat="1">
      <c r="A34" s="267">
        <f t="shared" si="9"/>
        <v>45016</v>
      </c>
      <c r="B34" s="269">
        <f t="shared" si="14"/>
        <v>68988.305664062471</v>
      </c>
      <c r="C34" s="269">
        <f t="shared" si="13"/>
        <v>68988.305664062471</v>
      </c>
      <c r="D34" s="269">
        <f t="shared" si="12"/>
        <v>1407.9363380940749</v>
      </c>
      <c r="E34" s="269">
        <f t="shared" si="10"/>
        <v>1149.8050944010413</v>
      </c>
      <c r="F34" s="269">
        <f t="shared" si="6"/>
        <v>-17983.095402069084</v>
      </c>
      <c r="G34" s="269">
        <f t="shared" si="6"/>
        <v>-10923.148396809893</v>
      </c>
      <c r="H34" s="269">
        <f t="shared" si="2"/>
        <v>51005.210261993387</v>
      </c>
      <c r="I34" s="269">
        <f t="shared" si="2"/>
        <v>58065.15726725258</v>
      </c>
      <c r="J34" s="269">
        <f t="shared" si="7"/>
        <v>7059.9470052591932</v>
      </c>
      <c r="K34" s="269">
        <f t="shared" si="3"/>
        <v>-1482.5888711044306</v>
      </c>
      <c r="L34" s="270">
        <f t="shared" si="11"/>
        <v>54.207561175538103</v>
      </c>
      <c r="M34" s="271"/>
      <c r="N34" s="274"/>
      <c r="O34" s="271"/>
      <c r="P34" s="271"/>
      <c r="Q34" s="271"/>
      <c r="R34" s="271"/>
      <c r="S34" s="271"/>
      <c r="T34" s="271"/>
    </row>
    <row r="35" spans="1:20" s="230" customFormat="1">
      <c r="A35" s="267">
        <f t="shared" si="9"/>
        <v>45046</v>
      </c>
      <c r="B35" s="269">
        <f t="shared" si="14"/>
        <v>68988.305664062471</v>
      </c>
      <c r="C35" s="269">
        <f t="shared" si="13"/>
        <v>68988.305664062471</v>
      </c>
      <c r="D35" s="269">
        <f t="shared" si="12"/>
        <v>1407.9363380940749</v>
      </c>
      <c r="E35" s="269">
        <f t="shared" si="10"/>
        <v>1149.8050944010413</v>
      </c>
      <c r="F35" s="269">
        <f t="shared" si="6"/>
        <v>-19391.031740163158</v>
      </c>
      <c r="G35" s="269">
        <f t="shared" si="6"/>
        <v>-12072.953491210934</v>
      </c>
      <c r="H35" s="269">
        <f t="shared" si="2"/>
        <v>49597.273923899309</v>
      </c>
      <c r="I35" s="269">
        <f t="shared" si="2"/>
        <v>56915.352172851533</v>
      </c>
      <c r="J35" s="269">
        <f t="shared" si="7"/>
        <v>7318.0782489522244</v>
      </c>
      <c r="K35" s="269">
        <f t="shared" si="3"/>
        <v>-1536.7964322799671</v>
      </c>
      <c r="L35" s="270">
        <f t="shared" si="11"/>
        <v>54.207561175536512</v>
      </c>
      <c r="M35" s="271"/>
      <c r="N35" s="274"/>
      <c r="O35" s="271"/>
      <c r="P35" s="271"/>
      <c r="Q35" s="271"/>
      <c r="R35" s="271"/>
      <c r="S35" s="271"/>
      <c r="T35" s="271"/>
    </row>
    <row r="36" spans="1:20" s="230" customFormat="1">
      <c r="A36" s="267">
        <f t="shared" si="9"/>
        <v>45077</v>
      </c>
      <c r="B36" s="269">
        <f t="shared" si="14"/>
        <v>68988.305664062471</v>
      </c>
      <c r="C36" s="269">
        <f t="shared" si="13"/>
        <v>68988.305664062471</v>
      </c>
      <c r="D36" s="269">
        <f t="shared" si="12"/>
        <v>1407.9363380940749</v>
      </c>
      <c r="E36" s="269">
        <f t="shared" si="10"/>
        <v>1149.8050944010413</v>
      </c>
      <c r="F36" s="269">
        <f t="shared" si="6"/>
        <v>-20798.968078257232</v>
      </c>
      <c r="G36" s="269">
        <f t="shared" si="6"/>
        <v>-13222.758585611975</v>
      </c>
      <c r="H36" s="269">
        <f t="shared" si="2"/>
        <v>48189.337585805239</v>
      </c>
      <c r="I36" s="269">
        <f t="shared" si="2"/>
        <v>55765.547078450494</v>
      </c>
      <c r="J36" s="269">
        <f t="shared" si="7"/>
        <v>7576.2094926452555</v>
      </c>
      <c r="K36" s="269">
        <f t="shared" si="3"/>
        <v>-1591.0039934555036</v>
      </c>
      <c r="L36" s="270">
        <f t="shared" si="11"/>
        <v>54.207561175536512</v>
      </c>
      <c r="M36" s="271"/>
      <c r="N36" s="271"/>
      <c r="O36" s="275"/>
      <c r="P36" s="271"/>
      <c r="Q36" s="271"/>
      <c r="R36" s="271"/>
      <c r="S36" s="271"/>
      <c r="T36" s="271"/>
    </row>
    <row r="37" spans="1:20" s="230" customFormat="1">
      <c r="A37" s="267">
        <f t="shared" si="9"/>
        <v>45107</v>
      </c>
      <c r="B37" s="269">
        <f t="shared" si="14"/>
        <v>68988.305664062471</v>
      </c>
      <c r="C37" s="269">
        <f t="shared" si="13"/>
        <v>68988.305664062471</v>
      </c>
      <c r="D37" s="269">
        <f t="shared" si="12"/>
        <v>1407.9363380940749</v>
      </c>
      <c r="E37" s="269">
        <f t="shared" si="10"/>
        <v>1149.8050944010413</v>
      </c>
      <c r="F37" s="269">
        <f t="shared" ref="F37:G52" si="15">F36-D37</f>
        <v>-22206.904416351306</v>
      </c>
      <c r="G37" s="269">
        <f t="shared" si="15"/>
        <v>-14372.563680013016</v>
      </c>
      <c r="H37" s="269">
        <f t="shared" si="2"/>
        <v>46781.401247711168</v>
      </c>
      <c r="I37" s="269">
        <f t="shared" si="2"/>
        <v>54615.741984049455</v>
      </c>
      <c r="J37" s="269">
        <f t="shared" si="7"/>
        <v>7834.3407363382867</v>
      </c>
      <c r="K37" s="269">
        <f t="shared" si="3"/>
        <v>-1645.2115546310401</v>
      </c>
      <c r="L37" s="270">
        <f t="shared" si="11"/>
        <v>54.207561175536512</v>
      </c>
      <c r="M37" s="271"/>
      <c r="N37" s="271"/>
      <c r="O37" s="275"/>
      <c r="P37" s="271"/>
      <c r="Q37" s="271"/>
      <c r="R37" s="271"/>
      <c r="S37" s="271"/>
      <c r="T37" s="271"/>
    </row>
    <row r="38" spans="1:20" s="230" customFormat="1">
      <c r="A38" s="267">
        <f t="shared" si="9"/>
        <v>45138</v>
      </c>
      <c r="B38" s="269">
        <f t="shared" si="14"/>
        <v>68988.305664062471</v>
      </c>
      <c r="C38" s="269">
        <f t="shared" si="13"/>
        <v>68988.305664062471</v>
      </c>
      <c r="D38" s="269">
        <f t="shared" si="12"/>
        <v>1407.9363380940749</v>
      </c>
      <c r="E38" s="269">
        <f t="shared" si="10"/>
        <v>1149.8050944010413</v>
      </c>
      <c r="F38" s="269">
        <f t="shared" si="15"/>
        <v>-23614.84075444538</v>
      </c>
      <c r="G38" s="269">
        <f t="shared" si="15"/>
        <v>-15522.368774414057</v>
      </c>
      <c r="H38" s="269">
        <f t="shared" si="2"/>
        <v>45373.464909617091</v>
      </c>
      <c r="I38" s="269">
        <f t="shared" si="2"/>
        <v>53465.936889648416</v>
      </c>
      <c r="J38" s="269">
        <f t="shared" si="7"/>
        <v>8092.4719800313251</v>
      </c>
      <c r="K38" s="269">
        <f t="shared" si="3"/>
        <v>-1699.4191158065782</v>
      </c>
      <c r="L38" s="270">
        <f t="shared" si="11"/>
        <v>54.207561175538103</v>
      </c>
      <c r="M38" s="271"/>
      <c r="N38" s="271"/>
      <c r="O38" s="275"/>
      <c r="P38" s="271"/>
      <c r="Q38" s="271"/>
      <c r="R38" s="271"/>
      <c r="S38" s="271"/>
      <c r="T38" s="271"/>
    </row>
    <row r="39" spans="1:20" s="230" customFormat="1">
      <c r="A39" s="267">
        <f t="shared" si="9"/>
        <v>45169</v>
      </c>
      <c r="B39" s="269">
        <f t="shared" si="14"/>
        <v>68988.305664062471</v>
      </c>
      <c r="C39" s="269">
        <f t="shared" si="13"/>
        <v>68988.305664062471</v>
      </c>
      <c r="D39" s="269">
        <f t="shared" si="12"/>
        <v>1407.9363380940749</v>
      </c>
      <c r="E39" s="269">
        <f t="shared" si="10"/>
        <v>1149.8050944010413</v>
      </c>
      <c r="F39" s="269">
        <f t="shared" si="15"/>
        <v>-25022.777092539454</v>
      </c>
      <c r="G39" s="269">
        <f t="shared" si="15"/>
        <v>-16672.173868815098</v>
      </c>
      <c r="H39" s="269">
        <f t="shared" ref="H39:I74" si="16">B39+F39</f>
        <v>43965.528571523013</v>
      </c>
      <c r="I39" s="269">
        <f t="shared" si="16"/>
        <v>52316.131795247376</v>
      </c>
      <c r="J39" s="269">
        <f t="shared" si="7"/>
        <v>8350.6032237243635</v>
      </c>
      <c r="K39" s="269">
        <f t="shared" si="3"/>
        <v>-1753.6266769821164</v>
      </c>
      <c r="L39" s="270">
        <f t="shared" si="11"/>
        <v>54.207561175538103</v>
      </c>
      <c r="M39" s="271"/>
      <c r="N39" s="271"/>
      <c r="O39" s="275"/>
      <c r="P39" s="271"/>
      <c r="Q39" s="271"/>
      <c r="R39" s="271"/>
      <c r="S39" s="271"/>
      <c r="T39" s="271"/>
    </row>
    <row r="40" spans="1:20" s="230" customFormat="1">
      <c r="A40" s="267">
        <f t="shared" si="9"/>
        <v>45199</v>
      </c>
      <c r="B40" s="269">
        <f t="shared" si="14"/>
        <v>68988.305664062471</v>
      </c>
      <c r="C40" s="269">
        <f t="shared" si="13"/>
        <v>68988.305664062471</v>
      </c>
      <c r="D40" s="269">
        <f>B40*$D$5/12</f>
        <v>1005.5045550537105</v>
      </c>
      <c r="E40" s="269">
        <f t="shared" si="10"/>
        <v>1149.8050944010413</v>
      </c>
      <c r="F40" s="269">
        <f t="shared" si="15"/>
        <v>-26028.281647593165</v>
      </c>
      <c r="G40" s="269">
        <f t="shared" si="15"/>
        <v>-17821.978963216141</v>
      </c>
      <c r="H40" s="269">
        <f t="shared" si="16"/>
        <v>42960.02401646931</v>
      </c>
      <c r="I40" s="269">
        <f t="shared" si="16"/>
        <v>51166.32670084633</v>
      </c>
      <c r="J40" s="269">
        <f t="shared" si="7"/>
        <v>8206.3026843770203</v>
      </c>
      <c r="K40" s="269">
        <f t="shared" si="3"/>
        <v>-1723.3235637191742</v>
      </c>
      <c r="L40" s="270">
        <f t="shared" si="11"/>
        <v>-30.303113262942134</v>
      </c>
      <c r="M40" s="271"/>
      <c r="N40" s="271"/>
      <c r="O40" s="275"/>
      <c r="P40" s="271"/>
      <c r="Q40" s="271"/>
      <c r="R40" s="271"/>
      <c r="S40" s="271"/>
      <c r="T40" s="271"/>
    </row>
    <row r="41" spans="1:20" s="230" customFormat="1">
      <c r="A41" s="267">
        <f t="shared" si="9"/>
        <v>45230</v>
      </c>
      <c r="B41" s="269">
        <f t="shared" si="14"/>
        <v>68988.305664062471</v>
      </c>
      <c r="C41" s="269">
        <f t="shared" si="13"/>
        <v>68988.305664062471</v>
      </c>
      <c r="D41" s="269">
        <f t="shared" ref="D41:D51" si="17">B41*$D$5/12</f>
        <v>1005.5045550537105</v>
      </c>
      <c r="E41" s="269">
        <f t="shared" si="10"/>
        <v>1149.8050944010413</v>
      </c>
      <c r="F41" s="269">
        <f t="shared" si="15"/>
        <v>-27033.786202646876</v>
      </c>
      <c r="G41" s="269">
        <f t="shared" si="15"/>
        <v>-18971.784057617184</v>
      </c>
      <c r="H41" s="269">
        <f t="shared" si="16"/>
        <v>41954.519461415592</v>
      </c>
      <c r="I41" s="269">
        <f t="shared" si="16"/>
        <v>50016.521606445283</v>
      </c>
      <c r="J41" s="269">
        <f t="shared" si="7"/>
        <v>8062.0021450296917</v>
      </c>
      <c r="K41" s="269">
        <f t="shared" si="3"/>
        <v>-1693.0204504562353</v>
      </c>
      <c r="L41" s="270">
        <f t="shared" si="11"/>
        <v>-30.30311326293895</v>
      </c>
      <c r="M41" s="271"/>
      <c r="N41" s="271"/>
      <c r="O41" s="275"/>
      <c r="P41" s="271"/>
      <c r="Q41" s="271"/>
      <c r="R41" s="271"/>
      <c r="S41" s="271"/>
      <c r="T41" s="271"/>
    </row>
    <row r="42" spans="1:20" s="230" customFormat="1">
      <c r="A42" s="267">
        <f t="shared" si="9"/>
        <v>45260</v>
      </c>
      <c r="B42" s="269">
        <f t="shared" si="14"/>
        <v>68988.305664062471</v>
      </c>
      <c r="C42" s="269">
        <f t="shared" si="13"/>
        <v>68988.305664062471</v>
      </c>
      <c r="D42" s="269">
        <f t="shared" si="17"/>
        <v>1005.5045550537105</v>
      </c>
      <c r="E42" s="269">
        <f t="shared" si="10"/>
        <v>1149.8050944010413</v>
      </c>
      <c r="F42" s="269">
        <f t="shared" si="15"/>
        <v>-28039.290757700586</v>
      </c>
      <c r="G42" s="269">
        <f t="shared" si="15"/>
        <v>-20121.589152018227</v>
      </c>
      <c r="H42" s="269">
        <f t="shared" si="16"/>
        <v>40949.014906361888</v>
      </c>
      <c r="I42" s="269">
        <f t="shared" si="16"/>
        <v>48866.716512044244</v>
      </c>
      <c r="J42" s="269">
        <f t="shared" si="7"/>
        <v>7917.7016056823559</v>
      </c>
      <c r="K42" s="269">
        <f t="shared" si="3"/>
        <v>-1662.7173371932947</v>
      </c>
      <c r="L42" s="270">
        <f t="shared" si="11"/>
        <v>-30.303113262940542</v>
      </c>
      <c r="M42" s="271"/>
      <c r="N42" s="271"/>
      <c r="O42" s="275"/>
      <c r="P42" s="271"/>
      <c r="Q42" s="271"/>
      <c r="R42" s="271"/>
      <c r="S42" s="271"/>
      <c r="T42" s="271"/>
    </row>
    <row r="43" spans="1:20" s="230" customFormat="1">
      <c r="A43" s="267">
        <f t="shared" si="9"/>
        <v>45291</v>
      </c>
      <c r="B43" s="269">
        <f t="shared" si="14"/>
        <v>68988.305664062471</v>
      </c>
      <c r="C43" s="269">
        <f t="shared" si="13"/>
        <v>68988.305664062471</v>
      </c>
      <c r="D43" s="269">
        <f t="shared" si="17"/>
        <v>1005.5045550537105</v>
      </c>
      <c r="E43" s="269">
        <f t="shared" si="10"/>
        <v>1149.8050944010413</v>
      </c>
      <c r="F43" s="269">
        <f t="shared" si="15"/>
        <v>-29044.795312754297</v>
      </c>
      <c r="G43" s="269">
        <f t="shared" si="15"/>
        <v>-21271.39424641927</v>
      </c>
      <c r="H43" s="269">
        <f t="shared" si="16"/>
        <v>39943.51035130817</v>
      </c>
      <c r="I43" s="269">
        <f t="shared" si="16"/>
        <v>47716.911417643205</v>
      </c>
      <c r="J43" s="269">
        <f t="shared" si="7"/>
        <v>7773.4010663350346</v>
      </c>
      <c r="K43" s="269">
        <f t="shared" si="3"/>
        <v>-1632.4142239303571</v>
      </c>
      <c r="L43" s="270">
        <f t="shared" si="11"/>
        <v>-30.303113262937586</v>
      </c>
      <c r="M43" s="271"/>
      <c r="N43" s="271"/>
      <c r="O43" s="275"/>
      <c r="P43" s="271"/>
      <c r="Q43" s="271"/>
      <c r="R43" s="271"/>
      <c r="S43" s="271"/>
      <c r="T43" s="271"/>
    </row>
    <row r="44" spans="1:20" s="230" customFormat="1">
      <c r="A44" s="267">
        <f t="shared" si="9"/>
        <v>45322</v>
      </c>
      <c r="B44" s="269">
        <f t="shared" si="14"/>
        <v>68988.305664062471</v>
      </c>
      <c r="C44" s="269">
        <f t="shared" si="13"/>
        <v>68988.305664062471</v>
      </c>
      <c r="D44" s="269">
        <f t="shared" si="17"/>
        <v>1005.5045550537105</v>
      </c>
      <c r="E44" s="269">
        <f t="shared" si="10"/>
        <v>1149.8050944010413</v>
      </c>
      <c r="F44" s="269">
        <f t="shared" si="15"/>
        <v>-30050.299867808008</v>
      </c>
      <c r="G44" s="269">
        <f t="shared" si="15"/>
        <v>-22421.199340820313</v>
      </c>
      <c r="H44" s="269">
        <f t="shared" si="16"/>
        <v>38938.005796254467</v>
      </c>
      <c r="I44" s="269">
        <f t="shared" si="16"/>
        <v>46567.106323242158</v>
      </c>
      <c r="J44" s="269">
        <f t="shared" si="7"/>
        <v>7629.1005269876914</v>
      </c>
      <c r="K44" s="269">
        <f t="shared" si="3"/>
        <v>-1602.1111106674152</v>
      </c>
      <c r="L44" s="270">
        <f t="shared" si="11"/>
        <v>-30.303113262941906</v>
      </c>
      <c r="M44" s="271"/>
      <c r="N44" s="271"/>
      <c r="O44" s="275"/>
      <c r="P44" s="271"/>
      <c r="Q44" s="271"/>
      <c r="R44" s="271"/>
      <c r="S44" s="271"/>
      <c r="T44" s="271"/>
    </row>
    <row r="45" spans="1:20" s="230" customFormat="1">
      <c r="A45" s="267">
        <f t="shared" si="9"/>
        <v>45351</v>
      </c>
      <c r="B45" s="269">
        <f t="shared" si="14"/>
        <v>68988.305664062471</v>
      </c>
      <c r="C45" s="269">
        <f t="shared" si="13"/>
        <v>68988.305664062471</v>
      </c>
      <c r="D45" s="269">
        <f t="shared" si="17"/>
        <v>1005.5045550537105</v>
      </c>
      <c r="E45" s="269">
        <f t="shared" si="10"/>
        <v>1149.8050944010413</v>
      </c>
      <c r="F45" s="269">
        <f t="shared" si="15"/>
        <v>-31055.804422861718</v>
      </c>
      <c r="G45" s="269">
        <f t="shared" si="15"/>
        <v>-23571.004435221355</v>
      </c>
      <c r="H45" s="269">
        <f t="shared" si="16"/>
        <v>37932.501241200749</v>
      </c>
      <c r="I45" s="269">
        <f t="shared" si="16"/>
        <v>45417.301228841112</v>
      </c>
      <c r="J45" s="269">
        <f t="shared" si="7"/>
        <v>7484.7999876403628</v>
      </c>
      <c r="K45" s="269">
        <f t="shared" si="3"/>
        <v>-1571.8079974044761</v>
      </c>
      <c r="L45" s="270">
        <f t="shared" si="11"/>
        <v>-30.303113262939178</v>
      </c>
      <c r="M45" s="271"/>
      <c r="N45" s="271"/>
      <c r="O45" s="275"/>
      <c r="P45" s="271"/>
      <c r="Q45" s="271"/>
      <c r="R45" s="271"/>
      <c r="S45" s="271"/>
      <c r="T45" s="271"/>
    </row>
    <row r="46" spans="1:20" s="230" customFormat="1">
      <c r="A46" s="267">
        <f t="shared" si="9"/>
        <v>45382</v>
      </c>
      <c r="B46" s="269">
        <f t="shared" si="14"/>
        <v>68988.305664062471</v>
      </c>
      <c r="C46" s="269">
        <f t="shared" si="13"/>
        <v>68988.305664062471</v>
      </c>
      <c r="D46" s="269">
        <f t="shared" si="17"/>
        <v>1005.5045550537105</v>
      </c>
      <c r="E46" s="269">
        <f t="shared" si="10"/>
        <v>1149.8050944010413</v>
      </c>
      <c r="F46" s="269">
        <f t="shared" si="15"/>
        <v>-32061.308977915429</v>
      </c>
      <c r="G46" s="269">
        <f t="shared" si="15"/>
        <v>-24720.809529622398</v>
      </c>
      <c r="H46" s="269">
        <f t="shared" si="16"/>
        <v>36926.996686147046</v>
      </c>
      <c r="I46" s="269">
        <f t="shared" si="16"/>
        <v>44267.496134440073</v>
      </c>
      <c r="J46" s="269">
        <f t="shared" si="7"/>
        <v>7340.4994482930269</v>
      </c>
      <c r="K46" s="269">
        <f t="shared" si="3"/>
        <v>-1541.5048841415355</v>
      </c>
      <c r="L46" s="270">
        <f t="shared" si="11"/>
        <v>-30.303113262940542</v>
      </c>
      <c r="M46" s="271"/>
      <c r="N46" s="271"/>
      <c r="O46" s="275"/>
      <c r="P46" s="271"/>
      <c r="Q46" s="271"/>
      <c r="R46" s="271"/>
      <c r="S46" s="271"/>
      <c r="T46" s="271"/>
    </row>
    <row r="47" spans="1:20" s="230" customFormat="1">
      <c r="A47" s="267">
        <f t="shared" si="9"/>
        <v>45412</v>
      </c>
      <c r="B47" s="269">
        <f t="shared" si="14"/>
        <v>68988.305664062471</v>
      </c>
      <c r="C47" s="269">
        <f t="shared" si="13"/>
        <v>68988.305664062471</v>
      </c>
      <c r="D47" s="269">
        <f t="shared" si="17"/>
        <v>1005.5045550537105</v>
      </c>
      <c r="E47" s="269">
        <f t="shared" si="10"/>
        <v>1149.8050944010413</v>
      </c>
      <c r="F47" s="269">
        <f t="shared" si="15"/>
        <v>-33066.813532969136</v>
      </c>
      <c r="G47" s="269">
        <f t="shared" si="15"/>
        <v>-25870.614624023441</v>
      </c>
      <c r="H47" s="269">
        <f t="shared" si="16"/>
        <v>35921.492131093335</v>
      </c>
      <c r="I47" s="269">
        <f t="shared" si="16"/>
        <v>43117.691040039033</v>
      </c>
      <c r="J47" s="269">
        <f t="shared" si="7"/>
        <v>7196.1989089456983</v>
      </c>
      <c r="K47" s="269">
        <f t="shared" si="3"/>
        <v>-1511.2017708785966</v>
      </c>
      <c r="L47" s="270">
        <f t="shared" si="11"/>
        <v>-30.30311326293895</v>
      </c>
      <c r="M47" s="271"/>
      <c r="N47" s="271"/>
      <c r="O47" s="275"/>
      <c r="P47" s="271"/>
      <c r="Q47" s="271"/>
      <c r="R47" s="271"/>
      <c r="S47" s="271"/>
      <c r="T47" s="271"/>
    </row>
    <row r="48" spans="1:20" s="230" customFormat="1">
      <c r="A48" s="267">
        <f t="shared" si="9"/>
        <v>45443</v>
      </c>
      <c r="B48" s="269">
        <f t="shared" si="14"/>
        <v>68988.305664062471</v>
      </c>
      <c r="C48" s="269">
        <f t="shared" si="13"/>
        <v>68988.305664062471</v>
      </c>
      <c r="D48" s="269">
        <f t="shared" si="17"/>
        <v>1005.5045550537105</v>
      </c>
      <c r="E48" s="269">
        <f t="shared" si="10"/>
        <v>1149.8050944010413</v>
      </c>
      <c r="F48" s="269">
        <f t="shared" si="15"/>
        <v>-34072.318088022846</v>
      </c>
      <c r="G48" s="269">
        <f t="shared" si="15"/>
        <v>-27020.419718424484</v>
      </c>
      <c r="H48" s="269">
        <f t="shared" si="16"/>
        <v>34915.987576039624</v>
      </c>
      <c r="I48" s="269">
        <f t="shared" si="16"/>
        <v>41967.885945637987</v>
      </c>
      <c r="J48" s="269">
        <f t="shared" si="7"/>
        <v>7051.8983695983625</v>
      </c>
      <c r="K48" s="269">
        <f t="shared" si="3"/>
        <v>-1480.898657615656</v>
      </c>
      <c r="L48" s="270">
        <f t="shared" si="11"/>
        <v>-30.303113262940542</v>
      </c>
      <c r="M48" s="271"/>
      <c r="N48" s="271"/>
      <c r="O48" s="275"/>
      <c r="P48" s="271"/>
      <c r="Q48" s="271"/>
      <c r="R48" s="271"/>
      <c r="S48" s="271"/>
      <c r="T48" s="271"/>
    </row>
    <row r="49" spans="1:20" s="230" customFormat="1">
      <c r="A49" s="267">
        <f t="shared" si="9"/>
        <v>45473</v>
      </c>
      <c r="B49" s="269">
        <f t="shared" si="14"/>
        <v>68988.305664062471</v>
      </c>
      <c r="C49" s="269">
        <f t="shared" si="13"/>
        <v>68988.305664062471</v>
      </c>
      <c r="D49" s="269">
        <f t="shared" si="17"/>
        <v>1005.5045550537105</v>
      </c>
      <c r="E49" s="269">
        <f t="shared" si="10"/>
        <v>1149.8050944010413</v>
      </c>
      <c r="F49" s="269">
        <f t="shared" si="15"/>
        <v>-35077.822643076557</v>
      </c>
      <c r="G49" s="269">
        <f t="shared" si="15"/>
        <v>-28170.224812825527</v>
      </c>
      <c r="H49" s="269">
        <f t="shared" si="16"/>
        <v>33910.483020985914</v>
      </c>
      <c r="I49" s="269">
        <f t="shared" si="16"/>
        <v>40818.08085123694</v>
      </c>
      <c r="J49" s="269">
        <f t="shared" si="7"/>
        <v>6907.5978302510266</v>
      </c>
      <c r="K49" s="269">
        <f t="shared" si="3"/>
        <v>-1450.5955443527155</v>
      </c>
      <c r="L49" s="270">
        <f t="shared" si="11"/>
        <v>-30.303113262940542</v>
      </c>
      <c r="M49" s="271"/>
      <c r="N49" s="271"/>
      <c r="O49" s="275"/>
      <c r="P49" s="271"/>
      <c r="Q49" s="271"/>
      <c r="R49" s="271"/>
      <c r="S49" s="271"/>
      <c r="T49" s="271"/>
    </row>
    <row r="50" spans="1:20" s="230" customFormat="1">
      <c r="A50" s="267">
        <f t="shared" si="9"/>
        <v>45504</v>
      </c>
      <c r="B50" s="269">
        <f t="shared" si="14"/>
        <v>68988.305664062471</v>
      </c>
      <c r="C50" s="269">
        <f t="shared" si="13"/>
        <v>68988.305664062471</v>
      </c>
      <c r="D50" s="269">
        <f t="shared" si="17"/>
        <v>1005.5045550537105</v>
      </c>
      <c r="E50" s="269">
        <f t="shared" si="10"/>
        <v>1149.8050944010413</v>
      </c>
      <c r="F50" s="269">
        <f t="shared" si="15"/>
        <v>-36083.327198130268</v>
      </c>
      <c r="G50" s="269">
        <f t="shared" si="15"/>
        <v>-29320.02990722657</v>
      </c>
      <c r="H50" s="269">
        <f t="shared" si="16"/>
        <v>32904.978465932203</v>
      </c>
      <c r="I50" s="269">
        <f t="shared" si="16"/>
        <v>39668.275756835901</v>
      </c>
      <c r="J50" s="269">
        <f t="shared" si="7"/>
        <v>6763.297290903698</v>
      </c>
      <c r="K50" s="269">
        <f t="shared" si="3"/>
        <v>-1420.2924310897765</v>
      </c>
      <c r="L50" s="270">
        <f t="shared" si="11"/>
        <v>-30.30311326293895</v>
      </c>
      <c r="M50" s="271"/>
      <c r="N50" s="271"/>
      <c r="O50" s="275"/>
      <c r="P50" s="271"/>
      <c r="Q50" s="271"/>
      <c r="R50" s="271"/>
      <c r="S50" s="271"/>
      <c r="T50" s="271"/>
    </row>
    <row r="51" spans="1:20" s="230" customFormat="1">
      <c r="A51" s="267">
        <f t="shared" si="9"/>
        <v>45535</v>
      </c>
      <c r="B51" s="269">
        <f t="shared" si="14"/>
        <v>68988.305664062471</v>
      </c>
      <c r="C51" s="269">
        <f t="shared" si="13"/>
        <v>68988.305664062471</v>
      </c>
      <c r="D51" s="269">
        <f t="shared" si="17"/>
        <v>1005.5045550537105</v>
      </c>
      <c r="E51" s="269">
        <f t="shared" si="10"/>
        <v>1149.8050944010413</v>
      </c>
      <c r="F51" s="269">
        <f t="shared" si="15"/>
        <v>-37088.831753183978</v>
      </c>
      <c r="G51" s="269">
        <f t="shared" si="15"/>
        <v>-30469.835001627613</v>
      </c>
      <c r="H51" s="269">
        <f t="shared" si="16"/>
        <v>31899.473910878492</v>
      </c>
      <c r="I51" s="269">
        <f t="shared" si="16"/>
        <v>38518.470662434862</v>
      </c>
      <c r="J51" s="269">
        <f t="shared" si="7"/>
        <v>6618.9967515563694</v>
      </c>
      <c r="K51" s="269">
        <f t="shared" si="3"/>
        <v>-1389.9893178268376</v>
      </c>
      <c r="L51" s="270">
        <f t="shared" si="11"/>
        <v>-30.30311326293895</v>
      </c>
      <c r="M51" s="271"/>
      <c r="N51" s="271"/>
      <c r="O51" s="275"/>
      <c r="P51" s="271"/>
      <c r="Q51" s="271"/>
      <c r="R51" s="271"/>
      <c r="S51" s="271"/>
      <c r="T51" s="271"/>
    </row>
    <row r="52" spans="1:20" s="230" customFormat="1">
      <c r="A52" s="267">
        <f t="shared" si="9"/>
        <v>45565</v>
      </c>
      <c r="B52" s="269">
        <f t="shared" si="14"/>
        <v>68988.305664062471</v>
      </c>
      <c r="C52" s="269">
        <f t="shared" si="13"/>
        <v>68988.305664062471</v>
      </c>
      <c r="D52" s="269">
        <f>B52*$E$5/12</f>
        <v>718.05328145345027</v>
      </c>
      <c r="E52" s="269">
        <f t="shared" si="10"/>
        <v>1149.8050944010413</v>
      </c>
      <c r="F52" s="269">
        <f t="shared" si="15"/>
        <v>-37806.885034637431</v>
      </c>
      <c r="G52" s="269">
        <f t="shared" si="15"/>
        <v>-31619.640096028656</v>
      </c>
      <c r="H52" s="269">
        <f t="shared" si="16"/>
        <v>31181.42062942504</v>
      </c>
      <c r="I52" s="269">
        <f t="shared" si="16"/>
        <v>37368.665568033815</v>
      </c>
      <c r="J52" s="269">
        <f t="shared" si="7"/>
        <v>6187.2449386087756</v>
      </c>
      <c r="K52" s="269">
        <f t="shared" ref="K52:K83" si="18">-J52*$K$15</f>
        <v>-1299.3214371078427</v>
      </c>
      <c r="L52" s="270">
        <f t="shared" si="11"/>
        <v>-90.667880718994866</v>
      </c>
      <c r="M52" s="271"/>
      <c r="N52" s="271"/>
      <c r="O52" s="275"/>
      <c r="P52" s="271"/>
      <c r="Q52" s="271"/>
      <c r="R52" s="271"/>
      <c r="S52" s="271"/>
      <c r="T52" s="271"/>
    </row>
    <row r="53" spans="1:20" s="230" customFormat="1">
      <c r="A53" s="267">
        <f t="shared" si="9"/>
        <v>45596</v>
      </c>
      <c r="B53" s="269">
        <f t="shared" si="14"/>
        <v>68988.305664062471</v>
      </c>
      <c r="C53" s="269">
        <f t="shared" si="13"/>
        <v>68988.305664062471</v>
      </c>
      <c r="D53" s="269">
        <f t="shared" ref="D53:D63" si="19">B53*$E$5/12</f>
        <v>718.05328145345027</v>
      </c>
      <c r="E53" s="269">
        <f t="shared" si="10"/>
        <v>1149.8050944010413</v>
      </c>
      <c r="F53" s="269">
        <f t="shared" ref="F53:G68" si="20">F52-D53</f>
        <v>-38524.938316090884</v>
      </c>
      <c r="G53" s="269">
        <f t="shared" si="20"/>
        <v>-32769.445190429695</v>
      </c>
      <c r="H53" s="269">
        <f t="shared" si="16"/>
        <v>30463.367347971587</v>
      </c>
      <c r="I53" s="269">
        <f t="shared" si="16"/>
        <v>36218.860473632776</v>
      </c>
      <c r="J53" s="269">
        <f t="shared" si="7"/>
        <v>5755.493125661189</v>
      </c>
      <c r="K53" s="269">
        <f t="shared" si="18"/>
        <v>-1208.6535563888497</v>
      </c>
      <c r="L53" s="270">
        <f t="shared" si="11"/>
        <v>-90.667880718993047</v>
      </c>
      <c r="M53" s="271"/>
      <c r="N53" s="271"/>
      <c r="O53" s="275"/>
      <c r="P53" s="271"/>
      <c r="Q53" s="271"/>
      <c r="R53" s="271"/>
      <c r="S53" s="271"/>
      <c r="T53" s="271"/>
    </row>
    <row r="54" spans="1:20" s="230" customFormat="1">
      <c r="A54" s="267">
        <f t="shared" si="9"/>
        <v>45626</v>
      </c>
      <c r="B54" s="269">
        <f t="shared" si="14"/>
        <v>68988.305664062471</v>
      </c>
      <c r="C54" s="269">
        <f t="shared" si="13"/>
        <v>68988.305664062471</v>
      </c>
      <c r="D54" s="269">
        <f t="shared" si="19"/>
        <v>718.05328145345027</v>
      </c>
      <c r="E54" s="269">
        <f t="shared" si="10"/>
        <v>1149.8050944010413</v>
      </c>
      <c r="F54" s="269">
        <f t="shared" si="20"/>
        <v>-39242.991597544336</v>
      </c>
      <c r="G54" s="269">
        <f t="shared" si="20"/>
        <v>-33919.250284830734</v>
      </c>
      <c r="H54" s="269">
        <f t="shared" si="16"/>
        <v>29745.314066518134</v>
      </c>
      <c r="I54" s="269">
        <f t="shared" si="16"/>
        <v>35069.055379231737</v>
      </c>
      <c r="J54" s="269">
        <f t="shared" si="7"/>
        <v>5323.7413127136024</v>
      </c>
      <c r="K54" s="269">
        <f t="shared" si="18"/>
        <v>-1117.9856756698564</v>
      </c>
      <c r="L54" s="270">
        <f t="shared" si="11"/>
        <v>-90.667880718993274</v>
      </c>
      <c r="M54" s="271"/>
      <c r="N54" s="271"/>
      <c r="O54" s="275"/>
      <c r="P54" s="271"/>
      <c r="Q54" s="271"/>
      <c r="R54" s="271"/>
      <c r="S54" s="271"/>
      <c r="T54" s="271"/>
    </row>
    <row r="55" spans="1:20" s="230" customFormat="1">
      <c r="A55" s="267">
        <f t="shared" si="9"/>
        <v>45657</v>
      </c>
      <c r="B55" s="269">
        <f t="shared" si="14"/>
        <v>68988.305664062471</v>
      </c>
      <c r="C55" s="269">
        <f t="shared" si="13"/>
        <v>68988.305664062471</v>
      </c>
      <c r="D55" s="269">
        <f t="shared" si="19"/>
        <v>718.05328145345027</v>
      </c>
      <c r="E55" s="269">
        <f t="shared" si="10"/>
        <v>1149.8050944010413</v>
      </c>
      <c r="F55" s="269">
        <f t="shared" si="20"/>
        <v>-39961.044878997789</v>
      </c>
      <c r="G55" s="269">
        <f t="shared" si="20"/>
        <v>-35069.055379231773</v>
      </c>
      <c r="H55" s="269">
        <f t="shared" si="16"/>
        <v>29027.260785064682</v>
      </c>
      <c r="I55" s="269">
        <f t="shared" si="16"/>
        <v>33919.250284830698</v>
      </c>
      <c r="J55" s="269">
        <f t="shared" si="7"/>
        <v>4891.9894997660158</v>
      </c>
      <c r="K55" s="269">
        <f t="shared" si="18"/>
        <v>-1027.3177949508633</v>
      </c>
      <c r="L55" s="270">
        <f t="shared" si="11"/>
        <v>-90.667880718993047</v>
      </c>
      <c r="M55" s="271"/>
      <c r="N55" s="271"/>
      <c r="O55" s="275"/>
      <c r="P55" s="271"/>
      <c r="Q55" s="271"/>
      <c r="R55" s="271"/>
      <c r="S55" s="271"/>
      <c r="T55" s="271"/>
    </row>
    <row r="56" spans="1:20" s="230" customFormat="1">
      <c r="A56" s="267">
        <f t="shared" si="9"/>
        <v>45688</v>
      </c>
      <c r="B56" s="269">
        <f t="shared" si="14"/>
        <v>68988.305664062471</v>
      </c>
      <c r="C56" s="269">
        <f t="shared" si="13"/>
        <v>68988.305664062471</v>
      </c>
      <c r="D56" s="269">
        <f t="shared" si="19"/>
        <v>718.05328145345027</v>
      </c>
      <c r="E56" s="269">
        <f t="shared" si="10"/>
        <v>1149.8050944010413</v>
      </c>
      <c r="F56" s="269">
        <f t="shared" si="20"/>
        <v>-40679.098160451242</v>
      </c>
      <c r="G56" s="269">
        <f t="shared" si="20"/>
        <v>-36218.860473632813</v>
      </c>
      <c r="H56" s="269">
        <f t="shared" si="16"/>
        <v>28309.207503611229</v>
      </c>
      <c r="I56" s="269">
        <f t="shared" si="16"/>
        <v>32769.445190429658</v>
      </c>
      <c r="J56" s="269">
        <f t="shared" si="7"/>
        <v>4460.2376868184292</v>
      </c>
      <c r="K56" s="269">
        <f t="shared" si="18"/>
        <v>-936.64991423187007</v>
      </c>
      <c r="L56" s="270">
        <f t="shared" si="11"/>
        <v>-90.667880718993274</v>
      </c>
      <c r="M56" s="271"/>
      <c r="N56" s="271"/>
      <c r="O56" s="275"/>
      <c r="P56" s="271"/>
      <c r="Q56" s="271"/>
      <c r="R56" s="271"/>
      <c r="S56" s="271"/>
      <c r="T56" s="271"/>
    </row>
    <row r="57" spans="1:20" s="230" customFormat="1">
      <c r="A57" s="267">
        <f t="shared" si="9"/>
        <v>45716</v>
      </c>
      <c r="B57" s="269">
        <f t="shared" si="14"/>
        <v>68988.305664062471</v>
      </c>
      <c r="C57" s="269">
        <f t="shared" si="13"/>
        <v>68988.305664062471</v>
      </c>
      <c r="D57" s="269">
        <f t="shared" si="19"/>
        <v>718.05328145345027</v>
      </c>
      <c r="E57" s="269">
        <f t="shared" si="10"/>
        <v>1149.8050944010413</v>
      </c>
      <c r="F57" s="269">
        <f t="shared" si="20"/>
        <v>-41397.151441904694</v>
      </c>
      <c r="G57" s="269">
        <f t="shared" si="20"/>
        <v>-37368.665568033852</v>
      </c>
      <c r="H57" s="269">
        <f t="shared" si="16"/>
        <v>27591.154222157777</v>
      </c>
      <c r="I57" s="269">
        <f t="shared" si="16"/>
        <v>31619.640096028619</v>
      </c>
      <c r="J57" s="269">
        <f t="shared" si="7"/>
        <v>4028.4858738708426</v>
      </c>
      <c r="K57" s="269">
        <f t="shared" si="18"/>
        <v>-845.98203351287691</v>
      </c>
      <c r="L57" s="270">
        <f t="shared" si="11"/>
        <v>-90.66788071899316</v>
      </c>
      <c r="M57" s="271"/>
      <c r="N57" s="271"/>
      <c r="O57" s="275"/>
      <c r="P57" s="271"/>
      <c r="Q57" s="271"/>
      <c r="R57" s="271"/>
      <c r="S57" s="271"/>
      <c r="T57" s="271"/>
    </row>
    <row r="58" spans="1:20" s="230" customFormat="1">
      <c r="A58" s="267">
        <f t="shared" si="9"/>
        <v>45747</v>
      </c>
      <c r="B58" s="269">
        <f t="shared" si="14"/>
        <v>68988.305664062471</v>
      </c>
      <c r="C58" s="269">
        <f t="shared" si="13"/>
        <v>68988.305664062471</v>
      </c>
      <c r="D58" s="269">
        <f t="shared" si="19"/>
        <v>718.05328145345027</v>
      </c>
      <c r="E58" s="269">
        <f t="shared" si="10"/>
        <v>1149.8050944010413</v>
      </c>
      <c r="F58" s="269">
        <f t="shared" si="20"/>
        <v>-42115.204723358147</v>
      </c>
      <c r="G58" s="269">
        <f t="shared" si="20"/>
        <v>-38518.470662434891</v>
      </c>
      <c r="H58" s="269">
        <f t="shared" si="16"/>
        <v>26873.100940704324</v>
      </c>
      <c r="I58" s="269">
        <f t="shared" si="16"/>
        <v>30469.83500162758</v>
      </c>
      <c r="J58" s="269">
        <f t="shared" si="7"/>
        <v>3596.734060923256</v>
      </c>
      <c r="K58" s="269">
        <f t="shared" si="18"/>
        <v>-755.31415279388375</v>
      </c>
      <c r="L58" s="270">
        <f t="shared" si="11"/>
        <v>-90.66788071899316</v>
      </c>
      <c r="M58" s="271"/>
      <c r="N58" s="271"/>
      <c r="O58" s="275"/>
      <c r="P58" s="271"/>
      <c r="Q58" s="271"/>
      <c r="R58" s="271"/>
      <c r="S58" s="271"/>
      <c r="T58" s="271"/>
    </row>
    <row r="59" spans="1:20" s="230" customFormat="1">
      <c r="A59" s="267">
        <f t="shared" si="9"/>
        <v>45777</v>
      </c>
      <c r="B59" s="269">
        <f t="shared" si="14"/>
        <v>68988.305664062471</v>
      </c>
      <c r="C59" s="269">
        <f t="shared" si="13"/>
        <v>68988.305664062471</v>
      </c>
      <c r="D59" s="269">
        <f t="shared" si="19"/>
        <v>718.05328145345027</v>
      </c>
      <c r="E59" s="269">
        <f t="shared" si="10"/>
        <v>1149.8050944010413</v>
      </c>
      <c r="F59" s="269">
        <f t="shared" si="20"/>
        <v>-42833.2580048116</v>
      </c>
      <c r="G59" s="269">
        <f t="shared" si="20"/>
        <v>-39668.27575683593</v>
      </c>
      <c r="H59" s="269">
        <f t="shared" si="16"/>
        <v>26155.047659250871</v>
      </c>
      <c r="I59" s="269">
        <f t="shared" si="16"/>
        <v>29320.029907226541</v>
      </c>
      <c r="J59" s="269">
        <f t="shared" si="7"/>
        <v>3164.9822479756695</v>
      </c>
      <c r="K59" s="269">
        <f t="shared" si="18"/>
        <v>-664.64627207489059</v>
      </c>
      <c r="L59" s="270">
        <f t="shared" si="11"/>
        <v>-90.66788071899316</v>
      </c>
      <c r="M59" s="271"/>
      <c r="N59" s="271"/>
      <c r="O59" s="271"/>
      <c r="P59" s="271"/>
      <c r="Q59" s="271"/>
      <c r="R59" s="271"/>
      <c r="S59" s="271"/>
      <c r="T59" s="271"/>
    </row>
    <row r="60" spans="1:20" s="230" customFormat="1">
      <c r="A60" s="267">
        <f t="shared" si="9"/>
        <v>45808</v>
      </c>
      <c r="B60" s="269">
        <f t="shared" si="14"/>
        <v>68988.305664062471</v>
      </c>
      <c r="C60" s="269">
        <f t="shared" si="13"/>
        <v>68988.305664062471</v>
      </c>
      <c r="D60" s="269">
        <f t="shared" si="19"/>
        <v>718.05328145345027</v>
      </c>
      <c r="E60" s="269">
        <f t="shared" si="10"/>
        <v>1149.8050944010413</v>
      </c>
      <c r="F60" s="269">
        <f t="shared" si="20"/>
        <v>-43551.311286265052</v>
      </c>
      <c r="G60" s="269">
        <f t="shared" si="20"/>
        <v>-40818.080851236969</v>
      </c>
      <c r="H60" s="269">
        <f t="shared" si="16"/>
        <v>25436.994377797419</v>
      </c>
      <c r="I60" s="269">
        <f t="shared" si="16"/>
        <v>28170.224812825501</v>
      </c>
      <c r="J60" s="269">
        <f t="shared" si="7"/>
        <v>2733.2304350280829</v>
      </c>
      <c r="K60" s="269">
        <f t="shared" si="18"/>
        <v>-573.97839135589743</v>
      </c>
      <c r="L60" s="270">
        <f t="shared" si="11"/>
        <v>-90.66788071899316</v>
      </c>
      <c r="M60" s="271"/>
      <c r="N60" s="271"/>
      <c r="O60" s="271"/>
      <c r="P60" s="271"/>
      <c r="Q60" s="271"/>
      <c r="R60" s="271"/>
      <c r="S60" s="271"/>
      <c r="T60" s="271"/>
    </row>
    <row r="61" spans="1:20" s="230" customFormat="1">
      <c r="A61" s="267">
        <f t="shared" si="9"/>
        <v>45838</v>
      </c>
      <c r="B61" s="269">
        <f t="shared" si="14"/>
        <v>68988.305664062471</v>
      </c>
      <c r="C61" s="269">
        <f t="shared" si="13"/>
        <v>68988.305664062471</v>
      </c>
      <c r="D61" s="269">
        <f t="shared" si="19"/>
        <v>718.05328145345027</v>
      </c>
      <c r="E61" s="269">
        <f t="shared" si="10"/>
        <v>1149.8050944010413</v>
      </c>
      <c r="F61" s="269">
        <f t="shared" si="20"/>
        <v>-44269.364567718505</v>
      </c>
      <c r="G61" s="269">
        <f t="shared" si="20"/>
        <v>-41967.885945638009</v>
      </c>
      <c r="H61" s="269">
        <f t="shared" si="16"/>
        <v>24718.941096343966</v>
      </c>
      <c r="I61" s="269">
        <f t="shared" si="16"/>
        <v>27020.419718424462</v>
      </c>
      <c r="J61" s="269">
        <f t="shared" si="7"/>
        <v>2301.4786220804963</v>
      </c>
      <c r="K61" s="269">
        <f t="shared" si="18"/>
        <v>-483.31051063690421</v>
      </c>
      <c r="L61" s="270">
        <f t="shared" si="11"/>
        <v>-90.667880718993217</v>
      </c>
      <c r="M61" s="271"/>
      <c r="N61" s="271"/>
      <c r="O61" s="271"/>
      <c r="P61" s="271"/>
      <c r="Q61" s="271"/>
      <c r="R61" s="271"/>
      <c r="S61" s="271"/>
      <c r="T61" s="271"/>
    </row>
    <row r="62" spans="1:20" s="230" customFormat="1" ht="15">
      <c r="A62" s="267">
        <f t="shared" si="9"/>
        <v>45869</v>
      </c>
      <c r="B62" s="269">
        <f t="shared" si="14"/>
        <v>68988.305664062471</v>
      </c>
      <c r="C62" s="269">
        <f t="shared" si="13"/>
        <v>68988.305664062471</v>
      </c>
      <c r="D62" s="269">
        <f t="shared" si="19"/>
        <v>718.05328145345027</v>
      </c>
      <c r="E62" s="269">
        <f t="shared" si="10"/>
        <v>1149.8050944010413</v>
      </c>
      <c r="F62" s="269">
        <f t="shared" si="20"/>
        <v>-44987.417849171958</v>
      </c>
      <c r="G62" s="269">
        <f t="shared" si="20"/>
        <v>-43117.691040039048</v>
      </c>
      <c r="H62" s="269">
        <f t="shared" si="16"/>
        <v>24000.887814890513</v>
      </c>
      <c r="I62" s="269">
        <f t="shared" si="16"/>
        <v>25870.614624023423</v>
      </c>
      <c r="J62" s="269">
        <f t="shared" si="7"/>
        <v>1869.7268091329097</v>
      </c>
      <c r="K62" s="269">
        <f t="shared" si="18"/>
        <v>-392.64262991791099</v>
      </c>
      <c r="L62" s="270">
        <f t="shared" si="11"/>
        <v>-90.667880718993217</v>
      </c>
      <c r="M62" s="97"/>
      <c r="N62" s="97"/>
      <c r="O62" s="271"/>
      <c r="P62" s="271"/>
      <c r="Q62" s="271"/>
      <c r="R62" s="271"/>
      <c r="S62" s="271"/>
      <c r="T62" s="271"/>
    </row>
    <row r="63" spans="1:20" s="230" customFormat="1" ht="15">
      <c r="A63" s="267">
        <f t="shared" si="9"/>
        <v>45900</v>
      </c>
      <c r="B63" s="269">
        <f t="shared" si="14"/>
        <v>68988.305664062471</v>
      </c>
      <c r="C63" s="269">
        <f t="shared" si="13"/>
        <v>68988.305664062471</v>
      </c>
      <c r="D63" s="269">
        <f t="shared" si="19"/>
        <v>718.05328145345027</v>
      </c>
      <c r="E63" s="269">
        <f t="shared" si="10"/>
        <v>1149.8050944010413</v>
      </c>
      <c r="F63" s="269">
        <f t="shared" si="20"/>
        <v>-45705.47113062541</v>
      </c>
      <c r="G63" s="269">
        <f t="shared" si="20"/>
        <v>-44267.496134440087</v>
      </c>
      <c r="H63" s="269">
        <f t="shared" si="16"/>
        <v>23282.834533437061</v>
      </c>
      <c r="I63" s="269">
        <f t="shared" si="16"/>
        <v>24720.809529622384</v>
      </c>
      <c r="J63" s="269">
        <f t="shared" si="7"/>
        <v>1437.9749961853231</v>
      </c>
      <c r="K63" s="269">
        <f t="shared" si="18"/>
        <v>-301.97474919891783</v>
      </c>
      <c r="L63" s="270">
        <f t="shared" si="11"/>
        <v>-90.66788071899316</v>
      </c>
      <c r="M63" s="21"/>
      <c r="N63" s="21"/>
      <c r="O63" s="271"/>
      <c r="P63" s="271"/>
      <c r="Q63" s="271"/>
      <c r="R63" s="271"/>
      <c r="S63" s="271"/>
      <c r="T63" s="271"/>
    </row>
    <row r="64" spans="1:20" s="230" customFormat="1" ht="15">
      <c r="A64" s="267">
        <f t="shared" si="9"/>
        <v>45930</v>
      </c>
      <c r="B64" s="269">
        <f t="shared" si="14"/>
        <v>68988.305664062471</v>
      </c>
      <c r="C64" s="269">
        <f t="shared" si="13"/>
        <v>68988.305664062471</v>
      </c>
      <c r="D64" s="269">
        <f t="shared" ref="D64:D75" si="21">B64*$F$5/12</f>
        <v>513.38797465006485</v>
      </c>
      <c r="E64" s="269">
        <f t="shared" si="10"/>
        <v>1149.8050944010413</v>
      </c>
      <c r="F64" s="269">
        <f t="shared" si="20"/>
        <v>-46218.859105275478</v>
      </c>
      <c r="G64" s="269">
        <f t="shared" si="20"/>
        <v>-45417.301228841126</v>
      </c>
      <c r="H64" s="269">
        <f t="shared" si="16"/>
        <v>22769.446558786993</v>
      </c>
      <c r="I64" s="269">
        <f t="shared" si="16"/>
        <v>23571.004435221344</v>
      </c>
      <c r="J64" s="269">
        <f t="shared" si="7"/>
        <v>801.55787643435178</v>
      </c>
      <c r="K64" s="269">
        <f t="shared" si="18"/>
        <v>-168.32715405121388</v>
      </c>
      <c r="L64" s="270">
        <f t="shared" si="11"/>
        <v>-133.64759514770395</v>
      </c>
      <c r="M64" s="21"/>
      <c r="N64" s="21"/>
      <c r="O64" s="271"/>
      <c r="P64" s="271"/>
      <c r="Q64" s="271"/>
      <c r="R64" s="271"/>
      <c r="S64" s="271"/>
      <c r="T64" s="271"/>
    </row>
    <row r="65" spans="1:20" s="230" customFormat="1" ht="15">
      <c r="A65" s="267">
        <f t="shared" si="9"/>
        <v>45961</v>
      </c>
      <c r="B65" s="269">
        <f t="shared" si="14"/>
        <v>68988.305664062471</v>
      </c>
      <c r="C65" s="269">
        <f t="shared" si="13"/>
        <v>68988.305664062471</v>
      </c>
      <c r="D65" s="269">
        <f t="shared" si="21"/>
        <v>513.38797465006485</v>
      </c>
      <c r="E65" s="269">
        <f t="shared" si="10"/>
        <v>1149.8050944010413</v>
      </c>
      <c r="F65" s="269">
        <f t="shared" si="20"/>
        <v>-46732.247079925546</v>
      </c>
      <c r="G65" s="269">
        <f t="shared" si="20"/>
        <v>-46567.106323242166</v>
      </c>
      <c r="H65" s="269">
        <f t="shared" si="16"/>
        <v>22256.058584136925</v>
      </c>
      <c r="I65" s="269">
        <f t="shared" si="16"/>
        <v>22421.199340820305</v>
      </c>
      <c r="J65" s="269">
        <f t="shared" si="7"/>
        <v>165.14075668338046</v>
      </c>
      <c r="K65" s="269">
        <f t="shared" si="18"/>
        <v>-34.679558903509893</v>
      </c>
      <c r="L65" s="270">
        <f t="shared" si="11"/>
        <v>-133.64759514770398</v>
      </c>
      <c r="M65" s="21"/>
      <c r="N65" s="21"/>
      <c r="O65" s="271"/>
      <c r="P65" s="271"/>
      <c r="Q65" s="271"/>
      <c r="R65" s="271"/>
      <c r="S65" s="271"/>
      <c r="T65" s="271"/>
    </row>
    <row r="66" spans="1:20" s="230" customFormat="1" ht="15">
      <c r="A66" s="267">
        <f t="shared" si="9"/>
        <v>45991</v>
      </c>
      <c r="B66" s="269">
        <f t="shared" si="14"/>
        <v>68988.305664062471</v>
      </c>
      <c r="C66" s="269">
        <f t="shared" si="13"/>
        <v>68988.305664062471</v>
      </c>
      <c r="D66" s="269">
        <f t="shared" si="21"/>
        <v>513.38797465006485</v>
      </c>
      <c r="E66" s="269">
        <f t="shared" si="10"/>
        <v>1149.8050944010413</v>
      </c>
      <c r="F66" s="269">
        <f t="shared" si="20"/>
        <v>-47245.635054575614</v>
      </c>
      <c r="G66" s="269">
        <f t="shared" si="20"/>
        <v>-47716.911417643205</v>
      </c>
      <c r="H66" s="269">
        <f t="shared" si="16"/>
        <v>21742.670609486857</v>
      </c>
      <c r="I66" s="269">
        <f t="shared" si="16"/>
        <v>21271.394246419266</v>
      </c>
      <c r="J66" s="269">
        <f t="shared" si="7"/>
        <v>-471.27636306759086</v>
      </c>
      <c r="K66" s="269">
        <f t="shared" si="18"/>
        <v>98.968036244194082</v>
      </c>
      <c r="L66" s="270">
        <f t="shared" si="11"/>
        <v>-133.64759514770398</v>
      </c>
      <c r="M66" s="21"/>
      <c r="N66" s="21"/>
      <c r="O66" s="271"/>
      <c r="P66" s="271"/>
      <c r="Q66" s="271"/>
      <c r="R66" s="271"/>
      <c r="S66" s="271"/>
      <c r="T66" s="271"/>
    </row>
    <row r="67" spans="1:20" s="230" customFormat="1" ht="15">
      <c r="A67" s="267">
        <f t="shared" si="9"/>
        <v>46022</v>
      </c>
      <c r="B67" s="269">
        <f t="shared" si="14"/>
        <v>68988.305664062471</v>
      </c>
      <c r="C67" s="269">
        <f t="shared" si="13"/>
        <v>68988.305664062471</v>
      </c>
      <c r="D67" s="269">
        <f t="shared" si="21"/>
        <v>513.38797465006485</v>
      </c>
      <c r="E67" s="269">
        <f t="shared" si="10"/>
        <v>1149.8050944010413</v>
      </c>
      <c r="F67" s="269">
        <f t="shared" si="20"/>
        <v>-47759.023029225682</v>
      </c>
      <c r="G67" s="269">
        <f t="shared" si="20"/>
        <v>-48866.716512044244</v>
      </c>
      <c r="H67" s="269">
        <f t="shared" si="16"/>
        <v>21229.282634836789</v>
      </c>
      <c r="I67" s="269">
        <f t="shared" si="16"/>
        <v>20121.589152018227</v>
      </c>
      <c r="J67" s="269">
        <f t="shared" si="7"/>
        <v>-1107.6934828185622</v>
      </c>
      <c r="K67" s="269">
        <f t="shared" si="18"/>
        <v>232.61563139189806</v>
      </c>
      <c r="L67" s="270">
        <f t="shared" si="11"/>
        <v>-133.64759514770398</v>
      </c>
      <c r="M67" s="21"/>
      <c r="N67" s="21"/>
      <c r="O67" s="271"/>
      <c r="P67" s="271"/>
      <c r="Q67" s="271"/>
      <c r="R67" s="271"/>
      <c r="S67" s="271"/>
      <c r="T67" s="271"/>
    </row>
    <row r="68" spans="1:20" s="230" customFormat="1" ht="15">
      <c r="A68" s="267">
        <f t="shared" si="9"/>
        <v>46053</v>
      </c>
      <c r="B68" s="269">
        <f t="shared" si="14"/>
        <v>68988.305664062471</v>
      </c>
      <c r="C68" s="269">
        <f t="shared" si="13"/>
        <v>68988.305664062471</v>
      </c>
      <c r="D68" s="269">
        <f t="shared" si="21"/>
        <v>513.38797465006485</v>
      </c>
      <c r="E68" s="269">
        <f t="shared" si="10"/>
        <v>1149.8050944010413</v>
      </c>
      <c r="F68" s="269">
        <f t="shared" si="20"/>
        <v>-48272.41100387575</v>
      </c>
      <c r="G68" s="269">
        <f t="shared" si="20"/>
        <v>-50016.521606445283</v>
      </c>
      <c r="H68" s="269">
        <f t="shared" si="16"/>
        <v>20715.894660186721</v>
      </c>
      <c r="I68" s="269">
        <f t="shared" si="16"/>
        <v>18971.784057617188</v>
      </c>
      <c r="J68" s="269">
        <f t="shared" si="7"/>
        <v>-1744.1106025695335</v>
      </c>
      <c r="K68" s="269">
        <f t="shared" si="18"/>
        <v>366.26322653960204</v>
      </c>
      <c r="L68" s="270">
        <f t="shared" si="11"/>
        <v>-133.64759514770398</v>
      </c>
      <c r="M68" s="21"/>
      <c r="N68" s="21"/>
      <c r="O68" s="271"/>
      <c r="P68" s="271"/>
      <c r="Q68" s="271"/>
      <c r="R68" s="271"/>
      <c r="S68" s="271"/>
      <c r="T68" s="271"/>
    </row>
    <row r="69" spans="1:20" s="230" customFormat="1" ht="15">
      <c r="A69" s="267">
        <f t="shared" si="9"/>
        <v>46081</v>
      </c>
      <c r="B69" s="269">
        <f t="shared" si="14"/>
        <v>68988.305664062471</v>
      </c>
      <c r="C69" s="269">
        <f t="shared" si="13"/>
        <v>68988.305664062471</v>
      </c>
      <c r="D69" s="269">
        <f t="shared" si="21"/>
        <v>513.38797465006485</v>
      </c>
      <c r="E69" s="269">
        <f t="shared" si="10"/>
        <v>1149.8050944010413</v>
      </c>
      <c r="F69" s="269">
        <f t="shared" ref="F69:G84" si="22">F68-D69</f>
        <v>-48785.798978525818</v>
      </c>
      <c r="G69" s="269">
        <f t="shared" si="22"/>
        <v>-51166.326700846323</v>
      </c>
      <c r="H69" s="269">
        <f t="shared" si="16"/>
        <v>20202.506685536653</v>
      </c>
      <c r="I69" s="269">
        <f t="shared" si="16"/>
        <v>17821.978963216148</v>
      </c>
      <c r="J69" s="269">
        <f t="shared" si="7"/>
        <v>-2380.5277223205048</v>
      </c>
      <c r="K69" s="269">
        <f t="shared" si="18"/>
        <v>499.910821687306</v>
      </c>
      <c r="L69" s="270">
        <f t="shared" si="11"/>
        <v>-133.64759514770395</v>
      </c>
      <c r="M69" s="21"/>
      <c r="N69" s="21"/>
      <c r="O69" s="271"/>
      <c r="P69" s="271"/>
      <c r="Q69" s="271"/>
      <c r="R69" s="271"/>
      <c r="S69" s="271"/>
      <c r="T69" s="271"/>
    </row>
    <row r="70" spans="1:20" s="230" customFormat="1" ht="15">
      <c r="A70" s="267">
        <f t="shared" si="9"/>
        <v>46112</v>
      </c>
      <c r="B70" s="269">
        <f t="shared" si="14"/>
        <v>68988.305664062471</v>
      </c>
      <c r="C70" s="269">
        <f t="shared" si="13"/>
        <v>68988.305664062471</v>
      </c>
      <c r="D70" s="269">
        <f t="shared" si="21"/>
        <v>513.38797465006485</v>
      </c>
      <c r="E70" s="269">
        <f t="shared" si="10"/>
        <v>1149.8050944010413</v>
      </c>
      <c r="F70" s="269">
        <f t="shared" si="22"/>
        <v>-49299.186953175886</v>
      </c>
      <c r="G70" s="269">
        <f t="shared" si="22"/>
        <v>-52316.131795247362</v>
      </c>
      <c r="H70" s="269">
        <f t="shared" si="16"/>
        <v>19689.118710886585</v>
      </c>
      <c r="I70" s="269">
        <f t="shared" si="16"/>
        <v>16672.173868815109</v>
      </c>
      <c r="J70" s="269">
        <f t="shared" si="7"/>
        <v>-3016.9448420714762</v>
      </c>
      <c r="K70" s="269">
        <f t="shared" si="18"/>
        <v>633.55841683501001</v>
      </c>
      <c r="L70" s="270">
        <f t="shared" si="11"/>
        <v>-133.64759514770401</v>
      </c>
      <c r="M70" s="21"/>
      <c r="N70" s="21"/>
      <c r="O70" s="271"/>
      <c r="P70" s="271"/>
      <c r="Q70" s="271"/>
      <c r="R70" s="271"/>
      <c r="S70" s="271"/>
      <c r="T70" s="271"/>
    </row>
    <row r="71" spans="1:20" s="230" customFormat="1" ht="15">
      <c r="A71" s="267">
        <f t="shared" si="9"/>
        <v>46142</v>
      </c>
      <c r="B71" s="269">
        <f t="shared" si="14"/>
        <v>68988.305664062471</v>
      </c>
      <c r="C71" s="269">
        <f t="shared" si="13"/>
        <v>68988.305664062471</v>
      </c>
      <c r="D71" s="269">
        <f t="shared" si="21"/>
        <v>513.38797465006485</v>
      </c>
      <c r="E71" s="269">
        <f t="shared" si="10"/>
        <v>1149.8050944010413</v>
      </c>
      <c r="F71" s="269">
        <f t="shared" si="22"/>
        <v>-49812.574927825954</v>
      </c>
      <c r="G71" s="269">
        <f t="shared" si="22"/>
        <v>-53465.936889648401</v>
      </c>
      <c r="H71" s="269">
        <f t="shared" si="16"/>
        <v>19175.730736236517</v>
      </c>
      <c r="I71" s="269">
        <f t="shared" si="16"/>
        <v>15522.36877441407</v>
      </c>
      <c r="J71" s="269">
        <f t="shared" si="7"/>
        <v>-3653.3619618224475</v>
      </c>
      <c r="K71" s="269">
        <f t="shared" si="18"/>
        <v>767.2060119827139</v>
      </c>
      <c r="L71" s="270">
        <f t="shared" si="11"/>
        <v>-133.6475951477039</v>
      </c>
      <c r="M71" s="21"/>
      <c r="N71" s="21"/>
      <c r="O71" s="271"/>
      <c r="P71" s="271"/>
      <c r="Q71" s="271"/>
      <c r="R71" s="271"/>
      <c r="S71" s="271"/>
      <c r="T71" s="271"/>
    </row>
    <row r="72" spans="1:20" s="230" customFormat="1" ht="15">
      <c r="A72" s="267">
        <f t="shared" si="9"/>
        <v>46173</v>
      </c>
      <c r="B72" s="269">
        <f t="shared" si="14"/>
        <v>68988.305664062471</v>
      </c>
      <c r="C72" s="269">
        <f t="shared" si="13"/>
        <v>68988.305664062471</v>
      </c>
      <c r="D72" s="269">
        <f t="shared" si="21"/>
        <v>513.38797465006485</v>
      </c>
      <c r="E72" s="269">
        <f t="shared" si="10"/>
        <v>1149.8050944010413</v>
      </c>
      <c r="F72" s="269">
        <f t="shared" si="22"/>
        <v>-50325.962902476022</v>
      </c>
      <c r="G72" s="269">
        <f t="shared" si="22"/>
        <v>-54615.74198404944</v>
      </c>
      <c r="H72" s="269">
        <f t="shared" si="16"/>
        <v>18662.342761586449</v>
      </c>
      <c r="I72" s="269">
        <f t="shared" si="16"/>
        <v>14372.563680013031</v>
      </c>
      <c r="J72" s="269">
        <f t="shared" si="7"/>
        <v>-4289.7790815734188</v>
      </c>
      <c r="K72" s="269">
        <f t="shared" si="18"/>
        <v>900.85360713041791</v>
      </c>
      <c r="L72" s="270">
        <f t="shared" si="11"/>
        <v>-133.64759514770401</v>
      </c>
      <c r="M72" s="21"/>
      <c r="N72" s="21"/>
      <c r="O72" s="271"/>
      <c r="P72" s="271"/>
      <c r="Q72" s="271"/>
      <c r="R72" s="271"/>
      <c r="S72" s="271"/>
      <c r="T72" s="271"/>
    </row>
    <row r="73" spans="1:20" s="230" customFormat="1" ht="15">
      <c r="A73" s="267">
        <f t="shared" si="9"/>
        <v>46203</v>
      </c>
      <c r="B73" s="269">
        <f t="shared" si="14"/>
        <v>68988.305664062471</v>
      </c>
      <c r="C73" s="269">
        <f t="shared" si="13"/>
        <v>68988.305664062471</v>
      </c>
      <c r="D73" s="269">
        <f t="shared" si="21"/>
        <v>513.38797465006485</v>
      </c>
      <c r="E73" s="269">
        <f t="shared" si="10"/>
        <v>1149.8050944010413</v>
      </c>
      <c r="F73" s="269">
        <f t="shared" si="22"/>
        <v>-50839.350877126089</v>
      </c>
      <c r="G73" s="269">
        <f t="shared" si="22"/>
        <v>-55765.54707845048</v>
      </c>
      <c r="H73" s="269">
        <f t="shared" si="16"/>
        <v>18148.954786936381</v>
      </c>
      <c r="I73" s="269">
        <f t="shared" si="16"/>
        <v>13222.758585611991</v>
      </c>
      <c r="J73" s="269">
        <f t="shared" si="7"/>
        <v>-4926.1962013243901</v>
      </c>
      <c r="K73" s="269">
        <f t="shared" si="18"/>
        <v>1034.5012022781218</v>
      </c>
      <c r="L73" s="270">
        <f t="shared" si="11"/>
        <v>-133.6475951477039</v>
      </c>
      <c r="M73" s="21"/>
      <c r="N73" s="21"/>
      <c r="O73" s="271"/>
      <c r="P73" s="271"/>
      <c r="Q73" s="271"/>
      <c r="R73" s="271"/>
      <c r="S73" s="271"/>
      <c r="T73" s="271"/>
    </row>
    <row r="74" spans="1:20" s="230" customFormat="1" ht="15">
      <c r="A74" s="267">
        <f t="shared" si="9"/>
        <v>46234</v>
      </c>
      <c r="B74" s="269">
        <f t="shared" si="14"/>
        <v>68988.305664062471</v>
      </c>
      <c r="C74" s="269">
        <f t="shared" si="13"/>
        <v>68988.305664062471</v>
      </c>
      <c r="D74" s="269">
        <f t="shared" si="21"/>
        <v>513.38797465006485</v>
      </c>
      <c r="E74" s="269">
        <f t="shared" si="10"/>
        <v>1149.8050944010413</v>
      </c>
      <c r="F74" s="269">
        <f t="shared" si="22"/>
        <v>-51352.738851776157</v>
      </c>
      <c r="G74" s="269">
        <f t="shared" si="22"/>
        <v>-56915.352172851519</v>
      </c>
      <c r="H74" s="269">
        <f t="shared" si="16"/>
        <v>17635.566812286314</v>
      </c>
      <c r="I74" s="269">
        <f t="shared" si="16"/>
        <v>12072.953491210952</v>
      </c>
      <c r="J74" s="269">
        <f t="shared" si="7"/>
        <v>-5562.6133210753615</v>
      </c>
      <c r="K74" s="269">
        <f t="shared" si="18"/>
        <v>1168.1487974258259</v>
      </c>
      <c r="L74" s="270">
        <f t="shared" si="11"/>
        <v>-133.64759514770412</v>
      </c>
      <c r="M74" s="21"/>
      <c r="N74" s="21"/>
      <c r="O74" s="271"/>
      <c r="P74" s="271"/>
      <c r="Q74" s="271"/>
      <c r="R74" s="271"/>
      <c r="S74" s="271"/>
      <c r="T74" s="271"/>
    </row>
    <row r="75" spans="1:20" s="230" customFormat="1" ht="15">
      <c r="A75" s="267">
        <f t="shared" si="9"/>
        <v>46265</v>
      </c>
      <c r="B75" s="269">
        <f t="shared" si="14"/>
        <v>68988.305664062471</v>
      </c>
      <c r="C75" s="269">
        <f t="shared" si="13"/>
        <v>68988.305664062471</v>
      </c>
      <c r="D75" s="269">
        <f t="shared" si="21"/>
        <v>513.38797465006485</v>
      </c>
      <c r="E75" s="269">
        <f>C75*E$12/12</f>
        <v>1149.8050944010413</v>
      </c>
      <c r="F75" s="269">
        <f t="shared" si="22"/>
        <v>-51866.126826426225</v>
      </c>
      <c r="G75" s="269">
        <f t="shared" si="22"/>
        <v>-58065.157267252558</v>
      </c>
      <c r="H75" s="269">
        <f t="shared" ref="H75:I90" si="23">B75+F75</f>
        <v>17122.178837636246</v>
      </c>
      <c r="I75" s="269">
        <f t="shared" si="23"/>
        <v>10923.148396809913</v>
      </c>
      <c r="J75" s="269">
        <f t="shared" si="7"/>
        <v>-6199.0304408263328</v>
      </c>
      <c r="K75" s="269">
        <f t="shared" si="18"/>
        <v>1301.7963925735298</v>
      </c>
      <c r="L75" s="270">
        <f t="shared" si="11"/>
        <v>-133.6475951477039</v>
      </c>
      <c r="M75" s="21"/>
      <c r="N75" s="21"/>
      <c r="O75" s="271"/>
      <c r="P75" s="271"/>
      <c r="Q75" s="271"/>
      <c r="R75" s="271"/>
      <c r="S75" s="271"/>
      <c r="T75" s="271"/>
    </row>
    <row r="76" spans="1:20" s="230" customFormat="1" ht="15">
      <c r="A76" s="267">
        <f t="shared" si="9"/>
        <v>46295</v>
      </c>
      <c r="B76" s="269">
        <f t="shared" si="14"/>
        <v>68988.305664062471</v>
      </c>
      <c r="C76" s="269">
        <f t="shared" si="13"/>
        <v>68988.305664062471</v>
      </c>
      <c r="D76" s="269">
        <f t="shared" ref="D76:D87" si="24">B76*$G$5/12</f>
        <v>512.81307210286434</v>
      </c>
      <c r="E76" s="269">
        <f>C76*E$12/12</f>
        <v>1149.8050944010413</v>
      </c>
      <c r="F76" s="269">
        <f t="shared" si="22"/>
        <v>-52378.93989852909</v>
      </c>
      <c r="G76" s="269">
        <f t="shared" si="22"/>
        <v>-59214.962361653597</v>
      </c>
      <c r="H76" s="269">
        <f t="shared" si="23"/>
        <v>16609.365765533381</v>
      </c>
      <c r="I76" s="269">
        <f t="shared" si="23"/>
        <v>9773.3433024088736</v>
      </c>
      <c r="J76" s="269">
        <f t="shared" si="7"/>
        <v>-6836.0224631245073</v>
      </c>
      <c r="K76" s="269">
        <f t="shared" si="18"/>
        <v>1435.5647172561464</v>
      </c>
      <c r="L76" s="270">
        <f t="shared" si="11"/>
        <v>-133.76832468261659</v>
      </c>
      <c r="M76" s="21"/>
      <c r="N76" s="21"/>
      <c r="O76" s="271"/>
      <c r="P76" s="271"/>
      <c r="Q76" s="271"/>
      <c r="R76" s="271"/>
      <c r="S76" s="271"/>
      <c r="T76" s="271"/>
    </row>
    <row r="77" spans="1:20" s="230" customFormat="1" ht="15">
      <c r="A77" s="267">
        <f t="shared" si="9"/>
        <v>46326</v>
      </c>
      <c r="B77" s="269">
        <f t="shared" si="14"/>
        <v>68988.305664062471</v>
      </c>
      <c r="C77" s="269">
        <f t="shared" si="13"/>
        <v>68988.305664062471</v>
      </c>
      <c r="D77" s="269">
        <f t="shared" si="24"/>
        <v>512.81307210286434</v>
      </c>
      <c r="E77" s="269">
        <f>C77*E$12/12</f>
        <v>1149.8050944010413</v>
      </c>
      <c r="F77" s="269">
        <f t="shared" si="22"/>
        <v>-52891.752970631955</v>
      </c>
      <c r="G77" s="269">
        <f t="shared" si="22"/>
        <v>-60364.767456054637</v>
      </c>
      <c r="H77" s="269">
        <f t="shared" si="23"/>
        <v>16096.552693430516</v>
      </c>
      <c r="I77" s="269">
        <f t="shared" si="23"/>
        <v>8623.5382080078343</v>
      </c>
      <c r="J77" s="269">
        <f t="shared" si="7"/>
        <v>-7473.0144854226819</v>
      </c>
      <c r="K77" s="269">
        <f t="shared" si="18"/>
        <v>1569.3330419387632</v>
      </c>
      <c r="L77" s="270">
        <f t="shared" si="11"/>
        <v>-133.76832468261682</v>
      </c>
      <c r="M77" s="21"/>
      <c r="N77" s="21"/>
      <c r="O77" s="271"/>
      <c r="P77" s="271"/>
      <c r="Q77" s="271"/>
      <c r="R77" s="271"/>
      <c r="S77" s="271"/>
      <c r="T77" s="271"/>
    </row>
    <row r="78" spans="1:20" s="230" customFormat="1" ht="15">
      <c r="A78" s="267">
        <f t="shared" si="9"/>
        <v>46356</v>
      </c>
      <c r="B78" s="269">
        <f t="shared" si="14"/>
        <v>68988.305664062471</v>
      </c>
      <c r="C78" s="269">
        <f t="shared" si="13"/>
        <v>68988.305664062471</v>
      </c>
      <c r="D78" s="269">
        <f t="shared" si="24"/>
        <v>512.81307210286434</v>
      </c>
      <c r="E78" s="269">
        <f>C78*E$12/12</f>
        <v>1149.8050944010413</v>
      </c>
      <c r="F78" s="269">
        <f t="shared" si="22"/>
        <v>-53404.566042734819</v>
      </c>
      <c r="G78" s="269">
        <f t="shared" si="22"/>
        <v>-61514.572550455676</v>
      </c>
      <c r="H78" s="269">
        <f t="shared" si="23"/>
        <v>15583.739621327652</v>
      </c>
      <c r="I78" s="269">
        <f t="shared" si="23"/>
        <v>7473.7331136067951</v>
      </c>
      <c r="J78" s="269">
        <f t="shared" si="7"/>
        <v>-8110.0065077208565</v>
      </c>
      <c r="K78" s="269">
        <f t="shared" si="18"/>
        <v>1703.1013666213798</v>
      </c>
      <c r="L78" s="270">
        <f t="shared" si="11"/>
        <v>-133.76832468261659</v>
      </c>
      <c r="M78" s="21"/>
      <c r="N78" s="21"/>
      <c r="O78" s="271"/>
      <c r="P78" s="271"/>
      <c r="Q78" s="271"/>
      <c r="R78" s="271"/>
      <c r="S78" s="271"/>
      <c r="T78" s="271"/>
    </row>
    <row r="79" spans="1:20" s="230" customFormat="1" ht="15">
      <c r="A79" s="267">
        <f t="shared" si="9"/>
        <v>46387</v>
      </c>
      <c r="B79" s="269">
        <f t="shared" si="14"/>
        <v>68988.305664062471</v>
      </c>
      <c r="C79" s="269">
        <f t="shared" si="13"/>
        <v>68988.305664062471</v>
      </c>
      <c r="D79" s="269">
        <f t="shared" si="24"/>
        <v>512.81307210286434</v>
      </c>
      <c r="E79" s="269">
        <f>C79*E$12/12</f>
        <v>1149.8050944010413</v>
      </c>
      <c r="F79" s="269">
        <f t="shared" si="22"/>
        <v>-53917.379114837684</v>
      </c>
      <c r="G79" s="269">
        <f t="shared" si="22"/>
        <v>-62664.377644856715</v>
      </c>
      <c r="H79" s="269">
        <f t="shared" si="23"/>
        <v>15070.926549224787</v>
      </c>
      <c r="I79" s="269">
        <f t="shared" si="23"/>
        <v>6323.9280192057558</v>
      </c>
      <c r="J79" s="269">
        <f t="shared" si="7"/>
        <v>-8746.998530019031</v>
      </c>
      <c r="K79" s="269">
        <f t="shared" si="18"/>
        <v>1836.8696913039964</v>
      </c>
      <c r="L79" s="270">
        <f t="shared" si="11"/>
        <v>-133.76832468261659</v>
      </c>
      <c r="M79" s="21"/>
      <c r="N79" s="21"/>
      <c r="O79" s="271"/>
      <c r="P79" s="271"/>
      <c r="Q79" s="271"/>
      <c r="R79" s="271"/>
      <c r="S79" s="271"/>
      <c r="T79" s="271"/>
    </row>
    <row r="80" spans="1:20" s="230" customFormat="1" ht="15">
      <c r="A80" s="267">
        <f t="shared" si="9"/>
        <v>46418</v>
      </c>
      <c r="B80" s="269">
        <f t="shared" si="14"/>
        <v>68988.305664062471</v>
      </c>
      <c r="C80" s="269">
        <f t="shared" si="13"/>
        <v>68988.305664062471</v>
      </c>
      <c r="D80" s="269">
        <f t="shared" si="24"/>
        <v>512.81307210286434</v>
      </c>
      <c r="E80" s="269">
        <f t="shared" ref="E80:E84" si="25">C80*E$12/12</f>
        <v>1149.8050944010413</v>
      </c>
      <c r="F80" s="269">
        <f t="shared" si="22"/>
        <v>-54430.192186940549</v>
      </c>
      <c r="G80" s="269">
        <f t="shared" si="22"/>
        <v>-63814.182739257754</v>
      </c>
      <c r="H80" s="269">
        <f t="shared" si="23"/>
        <v>14558.113477121922</v>
      </c>
      <c r="I80" s="269">
        <f t="shared" si="23"/>
        <v>5174.1229248047166</v>
      </c>
      <c r="J80" s="269">
        <f t="shared" si="7"/>
        <v>-9383.9905523172056</v>
      </c>
      <c r="K80" s="269">
        <f t="shared" si="18"/>
        <v>1970.638015986613</v>
      </c>
      <c r="L80" s="270">
        <f t="shared" si="11"/>
        <v>-133.76832468261659</v>
      </c>
      <c r="M80" s="21"/>
      <c r="N80" s="21"/>
      <c r="O80" s="271"/>
      <c r="P80" s="271"/>
      <c r="Q80" s="271"/>
      <c r="R80" s="271"/>
      <c r="S80" s="271"/>
      <c r="T80" s="271"/>
    </row>
    <row r="81" spans="1:20" s="230" customFormat="1" ht="15">
      <c r="A81" s="267">
        <f t="shared" si="9"/>
        <v>46446</v>
      </c>
      <c r="B81" s="269">
        <f t="shared" si="14"/>
        <v>68988.305664062471</v>
      </c>
      <c r="C81" s="269">
        <f t="shared" si="13"/>
        <v>68988.305664062471</v>
      </c>
      <c r="D81" s="269">
        <f t="shared" si="24"/>
        <v>512.81307210286434</v>
      </c>
      <c r="E81" s="269">
        <f t="shared" si="25"/>
        <v>1149.8050944010413</v>
      </c>
      <c r="F81" s="269">
        <f t="shared" si="22"/>
        <v>-54943.005259043413</v>
      </c>
      <c r="G81" s="269">
        <f t="shared" si="22"/>
        <v>-64963.987833658794</v>
      </c>
      <c r="H81" s="269">
        <f t="shared" si="23"/>
        <v>14045.300405019058</v>
      </c>
      <c r="I81" s="269">
        <f t="shared" si="23"/>
        <v>4024.3178304036774</v>
      </c>
      <c r="J81" s="269">
        <f t="shared" si="7"/>
        <v>-10020.98257461538</v>
      </c>
      <c r="K81" s="269">
        <f t="shared" si="18"/>
        <v>2104.4063406692298</v>
      </c>
      <c r="L81" s="270">
        <f t="shared" si="11"/>
        <v>-133.76832468261682</v>
      </c>
      <c r="M81" s="21"/>
      <c r="N81" s="21"/>
      <c r="O81" s="271"/>
      <c r="P81" s="271"/>
      <c r="Q81" s="271"/>
      <c r="R81" s="271"/>
      <c r="S81" s="271"/>
      <c r="T81" s="271"/>
    </row>
    <row r="82" spans="1:20" s="230" customFormat="1" ht="15">
      <c r="A82" s="267">
        <f t="shared" si="9"/>
        <v>46477</v>
      </c>
      <c r="B82" s="269">
        <f t="shared" si="14"/>
        <v>68988.305664062471</v>
      </c>
      <c r="C82" s="269">
        <f t="shared" si="13"/>
        <v>68988.305664062471</v>
      </c>
      <c r="D82" s="269">
        <f t="shared" si="24"/>
        <v>512.81307210286434</v>
      </c>
      <c r="E82" s="269">
        <f t="shared" si="25"/>
        <v>1149.8050944010413</v>
      </c>
      <c r="F82" s="269">
        <f t="shared" si="22"/>
        <v>-55455.818331146278</v>
      </c>
      <c r="G82" s="269">
        <f t="shared" si="22"/>
        <v>-66113.792928059833</v>
      </c>
      <c r="H82" s="269">
        <f t="shared" si="23"/>
        <v>13532.487332916193</v>
      </c>
      <c r="I82" s="269">
        <f t="shared" si="23"/>
        <v>2874.5127360026381</v>
      </c>
      <c r="J82" s="269">
        <f t="shared" si="7"/>
        <v>-10657.974596913555</v>
      </c>
      <c r="K82" s="269">
        <f t="shared" si="18"/>
        <v>2238.1746653518462</v>
      </c>
      <c r="L82" s="270">
        <f t="shared" si="11"/>
        <v>-133.76832468261637</v>
      </c>
      <c r="M82" s="21"/>
      <c r="N82" s="21"/>
      <c r="O82" s="271"/>
      <c r="P82" s="271"/>
      <c r="Q82" s="271"/>
      <c r="R82" s="271"/>
      <c r="S82" s="271"/>
      <c r="T82" s="271"/>
    </row>
    <row r="83" spans="1:20" s="230" customFormat="1" ht="15">
      <c r="A83" s="267">
        <f t="shared" si="9"/>
        <v>46507</v>
      </c>
      <c r="B83" s="269">
        <f t="shared" si="14"/>
        <v>68988.305664062471</v>
      </c>
      <c r="C83" s="269">
        <f t="shared" si="13"/>
        <v>68988.305664062471</v>
      </c>
      <c r="D83" s="269">
        <f t="shared" si="24"/>
        <v>512.81307210286434</v>
      </c>
      <c r="E83" s="269">
        <f t="shared" si="25"/>
        <v>1149.8050944010413</v>
      </c>
      <c r="F83" s="269">
        <f t="shared" si="22"/>
        <v>-55968.631403249143</v>
      </c>
      <c r="G83" s="269">
        <f t="shared" si="22"/>
        <v>-67263.598022460879</v>
      </c>
      <c r="H83" s="269">
        <f t="shared" si="23"/>
        <v>13019.674260813328</v>
      </c>
      <c r="I83" s="269">
        <f t="shared" si="23"/>
        <v>1724.7076416015916</v>
      </c>
      <c r="J83" s="269">
        <f t="shared" si="7"/>
        <v>-11294.966619211737</v>
      </c>
      <c r="K83" s="269">
        <f t="shared" si="18"/>
        <v>2371.9429900344644</v>
      </c>
      <c r="L83" s="270">
        <f t="shared" si="11"/>
        <v>-133.76832468261819</v>
      </c>
      <c r="M83" s="21"/>
      <c r="N83" s="21"/>
      <c r="O83" s="271"/>
      <c r="P83" s="271"/>
      <c r="Q83" s="271"/>
      <c r="R83" s="271"/>
      <c r="S83" s="271"/>
      <c r="T83" s="271"/>
    </row>
    <row r="84" spans="1:20" s="230" customFormat="1" ht="15">
      <c r="A84" s="267">
        <f t="shared" si="9"/>
        <v>46538</v>
      </c>
      <c r="B84" s="269">
        <f t="shared" si="14"/>
        <v>68988.305664062471</v>
      </c>
      <c r="C84" s="269">
        <f t="shared" si="13"/>
        <v>68988.305664062471</v>
      </c>
      <c r="D84" s="269">
        <f t="shared" si="24"/>
        <v>512.81307210286434</v>
      </c>
      <c r="E84" s="269">
        <f t="shared" si="25"/>
        <v>1149.8050944010413</v>
      </c>
      <c r="F84" s="269">
        <f t="shared" si="22"/>
        <v>-56481.444475352007</v>
      </c>
      <c r="G84" s="269">
        <f t="shared" si="22"/>
        <v>-68413.403116861926</v>
      </c>
      <c r="H84" s="269">
        <f t="shared" si="23"/>
        <v>12506.861188710463</v>
      </c>
      <c r="I84" s="269">
        <f t="shared" si="23"/>
        <v>574.90254720054509</v>
      </c>
      <c r="J84" s="269">
        <f t="shared" si="7"/>
        <v>-11931.958641509918</v>
      </c>
      <c r="K84" s="269">
        <f t="shared" ref="K84:K115" si="26">-J84*$K$15</f>
        <v>2505.7113147170826</v>
      </c>
      <c r="L84" s="270">
        <f t="shared" si="11"/>
        <v>-133.76832468261819</v>
      </c>
      <c r="M84" s="21"/>
      <c r="N84" s="21"/>
      <c r="O84" s="271"/>
      <c r="P84" s="271"/>
      <c r="Q84" s="271"/>
      <c r="R84" s="271"/>
      <c r="S84" s="271"/>
      <c r="T84" s="271"/>
    </row>
    <row r="85" spans="1:20" s="230" customFormat="1" ht="15">
      <c r="A85" s="267">
        <f t="shared" si="9"/>
        <v>46568</v>
      </c>
      <c r="B85" s="269">
        <f t="shared" si="14"/>
        <v>68988.305664062471</v>
      </c>
      <c r="C85" s="269">
        <f t="shared" si="13"/>
        <v>68988.305664062471</v>
      </c>
      <c r="D85" s="269">
        <f t="shared" si="24"/>
        <v>512.81307210286434</v>
      </c>
      <c r="E85" s="269">
        <f>C84+G84</f>
        <v>574.90254720054509</v>
      </c>
      <c r="F85" s="269">
        <f t="shared" ref="F85:G100" si="27">F84-D85</f>
        <v>-56994.257547454872</v>
      </c>
      <c r="G85" s="269">
        <f t="shared" si="27"/>
        <v>-68988.305664062471</v>
      </c>
      <c r="H85" s="269">
        <f t="shared" si="23"/>
        <v>11994.048116607599</v>
      </c>
      <c r="I85" s="269">
        <f t="shared" si="23"/>
        <v>0</v>
      </c>
      <c r="J85" s="269">
        <f t="shared" ref="J85:J148" si="28">I85-H85</f>
        <v>-11994.048116607599</v>
      </c>
      <c r="K85" s="269">
        <f t="shared" si="26"/>
        <v>2518.7501044875958</v>
      </c>
      <c r="L85" s="270">
        <f t="shared" si="11"/>
        <v>-13.038789770513176</v>
      </c>
      <c r="M85" s="21"/>
      <c r="N85" s="21"/>
      <c r="O85" s="271"/>
      <c r="P85" s="271"/>
      <c r="Q85" s="271"/>
      <c r="R85" s="271"/>
      <c r="S85" s="271"/>
      <c r="T85" s="271"/>
    </row>
    <row r="86" spans="1:20" s="230" customFormat="1" ht="15">
      <c r="A86" s="267">
        <f t="shared" ref="A86:A149" si="29">EOMONTH(A85,1)</f>
        <v>46599</v>
      </c>
      <c r="B86" s="269">
        <f t="shared" si="14"/>
        <v>68988.305664062471</v>
      </c>
      <c r="C86" s="269">
        <f t="shared" si="13"/>
        <v>68988.305664062471</v>
      </c>
      <c r="D86" s="269">
        <f t="shared" si="24"/>
        <v>512.81307210286434</v>
      </c>
      <c r="E86" s="269"/>
      <c r="F86" s="269">
        <f t="shared" si="27"/>
        <v>-57507.070619557737</v>
      </c>
      <c r="G86" s="269">
        <f t="shared" si="27"/>
        <v>-68988.305664062471</v>
      </c>
      <c r="H86" s="269">
        <f t="shared" si="23"/>
        <v>11481.235044504734</v>
      </c>
      <c r="I86" s="269">
        <f t="shared" si="23"/>
        <v>0</v>
      </c>
      <c r="J86" s="269">
        <f t="shared" si="28"/>
        <v>-11481.235044504734</v>
      </c>
      <c r="K86" s="269">
        <f t="shared" si="26"/>
        <v>2411.0593593459939</v>
      </c>
      <c r="L86" s="270">
        <f t="shared" si="11"/>
        <v>107.69074514160184</v>
      </c>
      <c r="M86" s="21"/>
      <c r="N86" s="21"/>
      <c r="O86" s="271"/>
      <c r="P86" s="271"/>
      <c r="Q86" s="271"/>
      <c r="R86" s="271"/>
      <c r="S86" s="271"/>
      <c r="T86" s="271"/>
    </row>
    <row r="87" spans="1:20" s="230" customFormat="1" ht="15">
      <c r="A87" s="267">
        <f t="shared" si="29"/>
        <v>46630</v>
      </c>
      <c r="B87" s="269">
        <f t="shared" si="14"/>
        <v>68988.305664062471</v>
      </c>
      <c r="C87" s="269">
        <f t="shared" si="13"/>
        <v>68988.305664062471</v>
      </c>
      <c r="D87" s="269">
        <f t="shared" si="24"/>
        <v>512.81307210286434</v>
      </c>
      <c r="E87" s="269"/>
      <c r="F87" s="269">
        <f t="shared" si="27"/>
        <v>-58019.883691660601</v>
      </c>
      <c r="G87" s="269">
        <f t="shared" si="27"/>
        <v>-68988.305664062471</v>
      </c>
      <c r="H87" s="269">
        <f t="shared" si="23"/>
        <v>10968.421972401869</v>
      </c>
      <c r="I87" s="269">
        <f t="shared" si="23"/>
        <v>0</v>
      </c>
      <c r="J87" s="269">
        <f t="shared" si="28"/>
        <v>-10968.421972401869</v>
      </c>
      <c r="K87" s="269">
        <f t="shared" si="26"/>
        <v>2303.3686142043925</v>
      </c>
      <c r="L87" s="270">
        <f t="shared" si="11"/>
        <v>107.69074514160138</v>
      </c>
      <c r="M87" s="21"/>
      <c r="N87" s="21"/>
      <c r="O87" s="271"/>
      <c r="P87" s="271"/>
      <c r="Q87" s="271"/>
      <c r="R87" s="271"/>
      <c r="S87" s="271"/>
      <c r="T87" s="271"/>
    </row>
    <row r="88" spans="1:20" s="230" customFormat="1" ht="15">
      <c r="A88" s="267">
        <f t="shared" si="29"/>
        <v>46660</v>
      </c>
      <c r="B88" s="269">
        <f t="shared" si="14"/>
        <v>68988.305664062471</v>
      </c>
      <c r="C88" s="269">
        <f t="shared" si="13"/>
        <v>68988.305664062471</v>
      </c>
      <c r="D88" s="269">
        <f t="shared" ref="D88:D99" si="30">B88*$H$5/12</f>
        <v>513.38797465006485</v>
      </c>
      <c r="E88" s="269"/>
      <c r="F88" s="269">
        <f t="shared" si="27"/>
        <v>-58533.271666310669</v>
      </c>
      <c r="G88" s="269">
        <f t="shared" si="27"/>
        <v>-68988.305664062471</v>
      </c>
      <c r="H88" s="269">
        <f t="shared" si="23"/>
        <v>10455.033997751802</v>
      </c>
      <c r="I88" s="269">
        <f t="shared" si="23"/>
        <v>0</v>
      </c>
      <c r="J88" s="269">
        <f t="shared" si="28"/>
        <v>-10455.033997751802</v>
      </c>
      <c r="K88" s="269">
        <f t="shared" si="26"/>
        <v>2195.5571395278785</v>
      </c>
      <c r="L88" s="270">
        <f t="shared" ref="L88:L151" si="31">-K88+K87</f>
        <v>107.81147467651408</v>
      </c>
      <c r="M88" s="21"/>
      <c r="N88" s="21"/>
      <c r="O88" s="271"/>
      <c r="P88" s="271"/>
      <c r="Q88" s="271"/>
      <c r="R88" s="271"/>
      <c r="S88" s="271"/>
      <c r="T88" s="271"/>
    </row>
    <row r="89" spans="1:20" s="230" customFormat="1" ht="15">
      <c r="A89" s="267">
        <f t="shared" si="29"/>
        <v>46691</v>
      </c>
      <c r="B89" s="269">
        <f t="shared" si="14"/>
        <v>68988.305664062471</v>
      </c>
      <c r="C89" s="269">
        <f t="shared" si="13"/>
        <v>68988.305664062471</v>
      </c>
      <c r="D89" s="269">
        <f t="shared" si="30"/>
        <v>513.38797465006485</v>
      </c>
      <c r="E89" s="269"/>
      <c r="F89" s="269">
        <f t="shared" si="27"/>
        <v>-59046.659640960737</v>
      </c>
      <c r="G89" s="269">
        <f t="shared" si="27"/>
        <v>-68988.305664062471</v>
      </c>
      <c r="H89" s="269">
        <f t="shared" si="23"/>
        <v>9941.6460231017336</v>
      </c>
      <c r="I89" s="269">
        <f t="shared" si="23"/>
        <v>0</v>
      </c>
      <c r="J89" s="269">
        <f t="shared" si="28"/>
        <v>-9941.6460231017336</v>
      </c>
      <c r="K89" s="269">
        <f t="shared" si="26"/>
        <v>2087.7456648513639</v>
      </c>
      <c r="L89" s="270">
        <f t="shared" si="31"/>
        <v>107.81147467651454</v>
      </c>
      <c r="M89" s="21"/>
      <c r="N89" s="21"/>
      <c r="O89" s="271"/>
      <c r="P89" s="271"/>
      <c r="Q89" s="271"/>
      <c r="R89" s="271"/>
      <c r="S89" s="271"/>
      <c r="T89" s="271"/>
    </row>
    <row r="90" spans="1:20" s="230" customFormat="1" ht="15">
      <c r="A90" s="267">
        <f t="shared" si="29"/>
        <v>46721</v>
      </c>
      <c r="B90" s="269">
        <f t="shared" si="14"/>
        <v>68988.305664062471</v>
      </c>
      <c r="C90" s="269">
        <f t="shared" si="13"/>
        <v>68988.305664062471</v>
      </c>
      <c r="D90" s="269">
        <f t="shared" si="30"/>
        <v>513.38797465006485</v>
      </c>
      <c r="E90" s="269"/>
      <c r="F90" s="269">
        <f t="shared" si="27"/>
        <v>-59560.047615610805</v>
      </c>
      <c r="G90" s="269">
        <f t="shared" si="27"/>
        <v>-68988.305664062471</v>
      </c>
      <c r="H90" s="269">
        <f t="shared" si="23"/>
        <v>9428.2580484516657</v>
      </c>
      <c r="I90" s="269">
        <f t="shared" si="23"/>
        <v>0</v>
      </c>
      <c r="J90" s="269">
        <f t="shared" si="28"/>
        <v>-9428.2580484516657</v>
      </c>
      <c r="K90" s="269">
        <f t="shared" si="26"/>
        <v>1979.9341901748496</v>
      </c>
      <c r="L90" s="270">
        <f t="shared" si="31"/>
        <v>107.81147467651431</v>
      </c>
      <c r="M90" s="21"/>
      <c r="N90" s="21"/>
      <c r="O90" s="271"/>
      <c r="P90" s="271"/>
      <c r="Q90" s="271"/>
      <c r="R90" s="271"/>
      <c r="S90" s="271"/>
      <c r="T90" s="271"/>
    </row>
    <row r="91" spans="1:20" s="230" customFormat="1" ht="15">
      <c r="A91" s="267">
        <f t="shared" si="29"/>
        <v>46752</v>
      </c>
      <c r="B91" s="269">
        <f t="shared" si="14"/>
        <v>68988.305664062471</v>
      </c>
      <c r="C91" s="269">
        <f t="shared" si="13"/>
        <v>68988.305664062471</v>
      </c>
      <c r="D91" s="269">
        <f t="shared" si="30"/>
        <v>513.38797465006485</v>
      </c>
      <c r="E91" s="269"/>
      <c r="F91" s="269">
        <f t="shared" si="27"/>
        <v>-60073.435590260873</v>
      </c>
      <c r="G91" s="269">
        <f t="shared" si="27"/>
        <v>-68988.305664062471</v>
      </c>
      <c r="H91" s="269">
        <f t="shared" ref="H91:I111" si="32">B91+F91</f>
        <v>8914.8700738015978</v>
      </c>
      <c r="I91" s="269">
        <f t="shared" si="32"/>
        <v>0</v>
      </c>
      <c r="J91" s="269">
        <f t="shared" si="28"/>
        <v>-8914.8700738015978</v>
      </c>
      <c r="K91" s="269">
        <f t="shared" si="26"/>
        <v>1872.1227154983355</v>
      </c>
      <c r="L91" s="270">
        <f t="shared" si="31"/>
        <v>107.81147467651408</v>
      </c>
      <c r="M91" s="21"/>
      <c r="N91" s="21"/>
      <c r="O91" s="271"/>
      <c r="P91" s="271"/>
      <c r="Q91" s="271"/>
      <c r="R91" s="271"/>
      <c r="S91" s="271"/>
      <c r="T91" s="271"/>
    </row>
    <row r="92" spans="1:20" s="230" customFormat="1" ht="15">
      <c r="A92" s="267">
        <f t="shared" si="29"/>
        <v>46783</v>
      </c>
      <c r="B92" s="269">
        <f t="shared" si="14"/>
        <v>68988.305664062471</v>
      </c>
      <c r="C92" s="269">
        <f t="shared" si="13"/>
        <v>68988.305664062471</v>
      </c>
      <c r="D92" s="269">
        <f t="shared" si="30"/>
        <v>513.38797465006485</v>
      </c>
      <c r="E92" s="269"/>
      <c r="F92" s="269">
        <f t="shared" si="27"/>
        <v>-60586.823564910941</v>
      </c>
      <c r="G92" s="269">
        <f t="shared" si="27"/>
        <v>-68988.305664062471</v>
      </c>
      <c r="H92" s="269">
        <f t="shared" si="32"/>
        <v>8401.4820991515298</v>
      </c>
      <c r="I92" s="269">
        <f t="shared" si="32"/>
        <v>0</v>
      </c>
      <c r="J92" s="269">
        <f t="shared" si="28"/>
        <v>-8401.4820991515298</v>
      </c>
      <c r="K92" s="269">
        <f t="shared" si="26"/>
        <v>1764.3112408218212</v>
      </c>
      <c r="L92" s="270">
        <f t="shared" si="31"/>
        <v>107.81147467651431</v>
      </c>
      <c r="M92" s="21"/>
      <c r="N92" s="21"/>
      <c r="O92" s="271"/>
      <c r="P92" s="271"/>
      <c r="Q92" s="271"/>
      <c r="R92" s="271"/>
      <c r="S92" s="271"/>
      <c r="T92" s="271"/>
    </row>
    <row r="93" spans="1:20" s="230" customFormat="1" ht="15">
      <c r="A93" s="267">
        <f t="shared" si="29"/>
        <v>46812</v>
      </c>
      <c r="B93" s="269">
        <f t="shared" si="14"/>
        <v>68988.305664062471</v>
      </c>
      <c r="C93" s="269">
        <f t="shared" si="13"/>
        <v>68988.305664062471</v>
      </c>
      <c r="D93" s="269">
        <f t="shared" si="30"/>
        <v>513.38797465006485</v>
      </c>
      <c r="E93" s="269"/>
      <c r="F93" s="269">
        <f t="shared" si="27"/>
        <v>-61100.211539561009</v>
      </c>
      <c r="G93" s="269">
        <f t="shared" si="27"/>
        <v>-68988.305664062471</v>
      </c>
      <c r="H93" s="269">
        <f t="shared" si="32"/>
        <v>7888.0941245014619</v>
      </c>
      <c r="I93" s="269">
        <f t="shared" si="32"/>
        <v>0</v>
      </c>
      <c r="J93" s="269">
        <f t="shared" si="28"/>
        <v>-7888.0941245014619</v>
      </c>
      <c r="K93" s="269">
        <f t="shared" si="26"/>
        <v>1656.4997661453069</v>
      </c>
      <c r="L93" s="270">
        <f t="shared" si="31"/>
        <v>107.81147467651431</v>
      </c>
      <c r="M93" s="21"/>
      <c r="N93" s="21"/>
      <c r="O93" s="271"/>
      <c r="P93" s="271"/>
      <c r="Q93" s="271"/>
      <c r="R93" s="271"/>
      <c r="S93" s="271"/>
      <c r="T93" s="271"/>
    </row>
    <row r="94" spans="1:20" s="230" customFormat="1" ht="15">
      <c r="A94" s="267">
        <f t="shared" si="29"/>
        <v>46843</v>
      </c>
      <c r="B94" s="269">
        <f t="shared" si="14"/>
        <v>68988.305664062471</v>
      </c>
      <c r="C94" s="269">
        <f t="shared" si="13"/>
        <v>68988.305664062471</v>
      </c>
      <c r="D94" s="269">
        <f t="shared" si="30"/>
        <v>513.38797465006485</v>
      </c>
      <c r="E94" s="269"/>
      <c r="F94" s="269">
        <f t="shared" si="27"/>
        <v>-61613.599514211077</v>
      </c>
      <c r="G94" s="269">
        <f t="shared" si="27"/>
        <v>-68988.305664062471</v>
      </c>
      <c r="H94" s="269">
        <f t="shared" si="32"/>
        <v>7374.706149851394</v>
      </c>
      <c r="I94" s="269">
        <f t="shared" si="32"/>
        <v>0</v>
      </c>
      <c r="J94" s="269">
        <f t="shared" si="28"/>
        <v>-7374.706149851394</v>
      </c>
      <c r="K94" s="269">
        <f t="shared" si="26"/>
        <v>1548.6882914687926</v>
      </c>
      <c r="L94" s="270">
        <f t="shared" si="31"/>
        <v>107.81147467651431</v>
      </c>
      <c r="M94" s="21"/>
      <c r="N94" s="21"/>
      <c r="O94" s="271"/>
      <c r="P94" s="271"/>
      <c r="Q94" s="271"/>
      <c r="R94" s="271"/>
      <c r="S94" s="271"/>
      <c r="T94" s="271"/>
    </row>
    <row r="95" spans="1:20" s="230" customFormat="1" ht="15">
      <c r="A95" s="267">
        <f t="shared" si="29"/>
        <v>46873</v>
      </c>
      <c r="B95" s="269">
        <f t="shared" si="14"/>
        <v>68988.305664062471</v>
      </c>
      <c r="C95" s="269">
        <f t="shared" si="13"/>
        <v>68988.305664062471</v>
      </c>
      <c r="D95" s="269">
        <f t="shared" si="30"/>
        <v>513.38797465006485</v>
      </c>
      <c r="E95" s="269"/>
      <c r="F95" s="269">
        <f t="shared" si="27"/>
        <v>-62126.987488861145</v>
      </c>
      <c r="G95" s="269">
        <f t="shared" si="27"/>
        <v>-68988.305664062471</v>
      </c>
      <c r="H95" s="269">
        <f t="shared" si="32"/>
        <v>6861.3181752013261</v>
      </c>
      <c r="I95" s="269">
        <f t="shared" si="32"/>
        <v>0</v>
      </c>
      <c r="J95" s="269">
        <f t="shared" si="28"/>
        <v>-6861.3181752013261</v>
      </c>
      <c r="K95" s="269">
        <f t="shared" si="26"/>
        <v>1440.8768167922785</v>
      </c>
      <c r="L95" s="270">
        <f t="shared" si="31"/>
        <v>107.81147467651408</v>
      </c>
      <c r="M95" s="21"/>
      <c r="N95" s="21"/>
      <c r="O95" s="271"/>
      <c r="P95" s="271"/>
      <c r="Q95" s="271"/>
      <c r="R95" s="271"/>
      <c r="S95" s="271"/>
      <c r="T95" s="271"/>
    </row>
    <row r="96" spans="1:20" s="230" customFormat="1" ht="15">
      <c r="A96" s="267">
        <f t="shared" si="29"/>
        <v>46904</v>
      </c>
      <c r="B96" s="269">
        <f t="shared" si="14"/>
        <v>68988.305664062471</v>
      </c>
      <c r="C96" s="269">
        <f t="shared" si="14"/>
        <v>68988.305664062471</v>
      </c>
      <c r="D96" s="269">
        <f t="shared" si="30"/>
        <v>513.38797465006485</v>
      </c>
      <c r="E96" s="269"/>
      <c r="F96" s="269">
        <f t="shared" si="27"/>
        <v>-62640.375463511213</v>
      </c>
      <c r="G96" s="269">
        <f t="shared" si="27"/>
        <v>-68988.305664062471</v>
      </c>
      <c r="H96" s="269">
        <f t="shared" si="32"/>
        <v>6347.9302005512582</v>
      </c>
      <c r="I96" s="269">
        <f t="shared" si="32"/>
        <v>0</v>
      </c>
      <c r="J96" s="269">
        <f t="shared" si="28"/>
        <v>-6347.9302005512582</v>
      </c>
      <c r="K96" s="269">
        <f t="shared" si="26"/>
        <v>1333.0653421157642</v>
      </c>
      <c r="L96" s="270">
        <f t="shared" si="31"/>
        <v>107.81147467651431</v>
      </c>
      <c r="M96" s="21"/>
      <c r="N96" s="21"/>
      <c r="O96" s="271"/>
      <c r="P96" s="271"/>
      <c r="Q96" s="271"/>
      <c r="R96" s="271"/>
      <c r="S96" s="271"/>
      <c r="T96" s="271"/>
    </row>
    <row r="97" spans="1:20" s="230" customFormat="1" ht="15">
      <c r="A97" s="267">
        <f t="shared" si="29"/>
        <v>46934</v>
      </c>
      <c r="B97" s="269">
        <f t="shared" ref="B97:C118" si="33">B96</f>
        <v>68988.305664062471</v>
      </c>
      <c r="C97" s="269">
        <f t="shared" si="33"/>
        <v>68988.305664062471</v>
      </c>
      <c r="D97" s="269">
        <f t="shared" si="30"/>
        <v>513.38797465006485</v>
      </c>
      <c r="E97" s="269"/>
      <c r="F97" s="269">
        <f t="shared" si="27"/>
        <v>-63153.763438161281</v>
      </c>
      <c r="G97" s="269">
        <f t="shared" si="27"/>
        <v>-68988.305664062471</v>
      </c>
      <c r="H97" s="269">
        <f t="shared" si="32"/>
        <v>5834.5422259011902</v>
      </c>
      <c r="I97" s="269">
        <f t="shared" si="32"/>
        <v>0</v>
      </c>
      <c r="J97" s="269">
        <f t="shared" si="28"/>
        <v>-5834.5422259011902</v>
      </c>
      <c r="K97" s="269">
        <f t="shared" si="26"/>
        <v>1225.2538674392499</v>
      </c>
      <c r="L97" s="270">
        <f t="shared" si="31"/>
        <v>107.81147467651431</v>
      </c>
      <c r="M97" s="21"/>
      <c r="N97" s="21"/>
      <c r="O97" s="271"/>
      <c r="P97" s="271"/>
      <c r="Q97" s="271"/>
      <c r="R97" s="271"/>
      <c r="S97" s="271"/>
      <c r="T97" s="271"/>
    </row>
    <row r="98" spans="1:20" s="230" customFormat="1" ht="15">
      <c r="A98" s="267">
        <f t="shared" si="29"/>
        <v>46965</v>
      </c>
      <c r="B98" s="269">
        <f t="shared" si="33"/>
        <v>68988.305664062471</v>
      </c>
      <c r="C98" s="269">
        <f t="shared" si="33"/>
        <v>68988.305664062471</v>
      </c>
      <c r="D98" s="269">
        <f t="shared" si="30"/>
        <v>513.38797465006485</v>
      </c>
      <c r="E98" s="269"/>
      <c r="F98" s="269">
        <f t="shared" si="27"/>
        <v>-63667.151412811349</v>
      </c>
      <c r="G98" s="269">
        <f t="shared" si="27"/>
        <v>-68988.305664062471</v>
      </c>
      <c r="H98" s="269">
        <f t="shared" si="32"/>
        <v>5321.1542512511223</v>
      </c>
      <c r="I98" s="269">
        <f t="shared" si="32"/>
        <v>0</v>
      </c>
      <c r="J98" s="269">
        <f t="shared" si="28"/>
        <v>-5321.1542512511223</v>
      </c>
      <c r="K98" s="269">
        <f t="shared" si="26"/>
        <v>1117.4423927627356</v>
      </c>
      <c r="L98" s="270">
        <f t="shared" si="31"/>
        <v>107.81147467651431</v>
      </c>
      <c r="M98" s="21"/>
      <c r="N98" s="21"/>
      <c r="O98" s="271"/>
      <c r="P98" s="271"/>
      <c r="Q98" s="271"/>
      <c r="R98" s="271"/>
      <c r="S98" s="271"/>
      <c r="T98" s="271"/>
    </row>
    <row r="99" spans="1:20" s="230" customFormat="1" ht="15">
      <c r="A99" s="267">
        <f t="shared" si="29"/>
        <v>46996</v>
      </c>
      <c r="B99" s="269">
        <f t="shared" si="33"/>
        <v>68988.305664062471</v>
      </c>
      <c r="C99" s="269">
        <f t="shared" si="33"/>
        <v>68988.305664062471</v>
      </c>
      <c r="D99" s="269">
        <f t="shared" si="30"/>
        <v>513.38797465006485</v>
      </c>
      <c r="E99" s="269"/>
      <c r="F99" s="269">
        <f t="shared" si="27"/>
        <v>-64180.539387461416</v>
      </c>
      <c r="G99" s="269">
        <f t="shared" si="27"/>
        <v>-68988.305664062471</v>
      </c>
      <c r="H99" s="269">
        <f t="shared" si="32"/>
        <v>4807.7662766010544</v>
      </c>
      <c r="I99" s="269">
        <f t="shared" si="32"/>
        <v>0</v>
      </c>
      <c r="J99" s="269">
        <f t="shared" si="28"/>
        <v>-4807.7662766010544</v>
      </c>
      <c r="K99" s="269">
        <f t="shared" si="26"/>
        <v>1009.6309180862214</v>
      </c>
      <c r="L99" s="270">
        <f t="shared" si="31"/>
        <v>107.81147467651419</v>
      </c>
      <c r="M99" s="21"/>
      <c r="N99" s="21"/>
      <c r="O99" s="271"/>
      <c r="P99" s="271"/>
      <c r="Q99" s="271"/>
      <c r="R99" s="271"/>
      <c r="S99" s="271"/>
      <c r="T99" s="271"/>
    </row>
    <row r="100" spans="1:20" s="230" customFormat="1" ht="15">
      <c r="A100" s="267">
        <f t="shared" si="29"/>
        <v>47026</v>
      </c>
      <c r="B100" s="269">
        <f t="shared" si="33"/>
        <v>68988.305664062471</v>
      </c>
      <c r="C100" s="269">
        <f t="shared" si="33"/>
        <v>68988.305664062471</v>
      </c>
      <c r="D100" s="269">
        <f t="shared" ref="D100:D117" si="34">B100*$I$5/12</f>
        <v>256.40653605143217</v>
      </c>
      <c r="E100" s="269"/>
      <c r="F100" s="269">
        <f t="shared" si="27"/>
        <v>-64436.945923512845</v>
      </c>
      <c r="G100" s="269">
        <f t="shared" si="27"/>
        <v>-68988.305664062471</v>
      </c>
      <c r="H100" s="269">
        <f t="shared" si="32"/>
        <v>4551.3597405496257</v>
      </c>
      <c r="I100" s="269">
        <f t="shared" si="32"/>
        <v>0</v>
      </c>
      <c r="J100" s="269">
        <f t="shared" si="28"/>
        <v>-4551.3597405496257</v>
      </c>
      <c r="K100" s="269">
        <f t="shared" si="26"/>
        <v>955.7855455154214</v>
      </c>
      <c r="L100" s="270">
        <f t="shared" si="31"/>
        <v>53.845372570800009</v>
      </c>
      <c r="M100" s="21"/>
      <c r="N100" s="21"/>
      <c r="O100" s="271"/>
      <c r="P100" s="271"/>
      <c r="Q100" s="271"/>
      <c r="R100" s="271"/>
      <c r="S100" s="271"/>
      <c r="T100" s="271"/>
    </row>
    <row r="101" spans="1:20" s="230" customFormat="1" ht="15">
      <c r="A101" s="267">
        <f t="shared" si="29"/>
        <v>47057</v>
      </c>
      <c r="B101" s="269">
        <f t="shared" si="33"/>
        <v>68988.305664062471</v>
      </c>
      <c r="C101" s="269">
        <f t="shared" si="33"/>
        <v>68988.305664062471</v>
      </c>
      <c r="D101" s="269">
        <f t="shared" si="34"/>
        <v>256.40653605143217</v>
      </c>
      <c r="E101" s="269"/>
      <c r="F101" s="269">
        <f t="shared" ref="F101:G116" si="35">F100-D101</f>
        <v>-64693.352459564274</v>
      </c>
      <c r="G101" s="269">
        <f t="shared" si="35"/>
        <v>-68988.305664062471</v>
      </c>
      <c r="H101" s="269">
        <f t="shared" si="32"/>
        <v>4294.953204498197</v>
      </c>
      <c r="I101" s="269">
        <f t="shared" si="32"/>
        <v>0</v>
      </c>
      <c r="J101" s="269">
        <f t="shared" si="28"/>
        <v>-4294.953204498197</v>
      </c>
      <c r="K101" s="269">
        <f t="shared" si="26"/>
        <v>901.94017294462139</v>
      </c>
      <c r="L101" s="270">
        <f t="shared" si="31"/>
        <v>53.845372570800009</v>
      </c>
      <c r="M101" s="21"/>
      <c r="N101" s="21"/>
      <c r="O101" s="271"/>
      <c r="P101" s="271"/>
      <c r="Q101" s="271"/>
      <c r="R101" s="271"/>
      <c r="S101" s="271"/>
      <c r="T101" s="271"/>
    </row>
    <row r="102" spans="1:20" s="230" customFormat="1" ht="15">
      <c r="A102" s="267">
        <f t="shared" si="29"/>
        <v>47087</v>
      </c>
      <c r="B102" s="269">
        <f t="shared" si="33"/>
        <v>68988.305664062471</v>
      </c>
      <c r="C102" s="269">
        <f t="shared" si="33"/>
        <v>68988.305664062471</v>
      </c>
      <c r="D102" s="269">
        <f t="shared" si="34"/>
        <v>256.40653605143217</v>
      </c>
      <c r="E102" s="269"/>
      <c r="F102" s="269">
        <f t="shared" si="35"/>
        <v>-64949.758995615703</v>
      </c>
      <c r="G102" s="269">
        <f t="shared" si="35"/>
        <v>-68988.305664062471</v>
      </c>
      <c r="H102" s="269">
        <f t="shared" si="32"/>
        <v>4038.5466684467683</v>
      </c>
      <c r="I102" s="269">
        <f t="shared" si="32"/>
        <v>0</v>
      </c>
      <c r="J102" s="269">
        <f t="shared" si="28"/>
        <v>-4038.5466684467683</v>
      </c>
      <c r="K102" s="269">
        <f t="shared" si="26"/>
        <v>848.09480037382127</v>
      </c>
      <c r="L102" s="270">
        <f t="shared" si="31"/>
        <v>53.845372570800123</v>
      </c>
      <c r="M102" s="21"/>
      <c r="N102" s="21"/>
      <c r="O102" s="271"/>
      <c r="P102" s="271"/>
      <c r="Q102" s="271"/>
      <c r="R102" s="271"/>
      <c r="S102" s="271"/>
      <c r="T102" s="271"/>
    </row>
    <row r="103" spans="1:20" s="230" customFormat="1" ht="15">
      <c r="A103" s="267">
        <f t="shared" si="29"/>
        <v>47118</v>
      </c>
      <c r="B103" s="269">
        <f t="shared" si="33"/>
        <v>68988.305664062471</v>
      </c>
      <c r="C103" s="269">
        <f t="shared" si="33"/>
        <v>68988.305664062471</v>
      </c>
      <c r="D103" s="269">
        <f t="shared" si="34"/>
        <v>256.40653605143217</v>
      </c>
      <c r="E103" s="269"/>
      <c r="F103" s="269">
        <f t="shared" si="35"/>
        <v>-65206.165531667131</v>
      </c>
      <c r="G103" s="269">
        <f t="shared" si="35"/>
        <v>-68988.305664062471</v>
      </c>
      <c r="H103" s="269">
        <f t="shared" si="32"/>
        <v>3782.1401323953396</v>
      </c>
      <c r="I103" s="269">
        <f t="shared" si="32"/>
        <v>0</v>
      </c>
      <c r="J103" s="269">
        <f t="shared" si="28"/>
        <v>-3782.1401323953396</v>
      </c>
      <c r="K103" s="269">
        <f t="shared" si="26"/>
        <v>794.24942780302126</v>
      </c>
      <c r="L103" s="270">
        <f t="shared" si="31"/>
        <v>53.845372570800009</v>
      </c>
      <c r="M103" s="21"/>
      <c r="N103" s="21"/>
      <c r="O103" s="271"/>
      <c r="P103" s="271"/>
      <c r="Q103" s="271"/>
      <c r="R103" s="271"/>
      <c r="S103" s="271"/>
      <c r="T103" s="271"/>
    </row>
    <row r="104" spans="1:20" s="230" customFormat="1" ht="15">
      <c r="A104" s="267">
        <f t="shared" si="29"/>
        <v>47149</v>
      </c>
      <c r="B104" s="269">
        <f t="shared" si="33"/>
        <v>68988.305664062471</v>
      </c>
      <c r="C104" s="269">
        <f t="shared" si="33"/>
        <v>68988.305664062471</v>
      </c>
      <c r="D104" s="269">
        <f t="shared" si="34"/>
        <v>256.40653605143217</v>
      </c>
      <c r="E104" s="269"/>
      <c r="F104" s="269">
        <f t="shared" si="35"/>
        <v>-65462.57206771856</v>
      </c>
      <c r="G104" s="269">
        <f t="shared" si="35"/>
        <v>-68988.305664062471</v>
      </c>
      <c r="H104" s="269">
        <f t="shared" si="32"/>
        <v>3525.7335963439109</v>
      </c>
      <c r="I104" s="269">
        <f t="shared" si="32"/>
        <v>0</v>
      </c>
      <c r="J104" s="269">
        <f t="shared" si="28"/>
        <v>-3525.7335963439109</v>
      </c>
      <c r="K104" s="269">
        <f t="shared" si="26"/>
        <v>740.40405523222125</v>
      </c>
      <c r="L104" s="270">
        <f t="shared" si="31"/>
        <v>53.845372570800009</v>
      </c>
      <c r="M104" s="21"/>
      <c r="N104" s="21"/>
      <c r="O104" s="271"/>
      <c r="P104" s="271"/>
      <c r="Q104" s="271"/>
      <c r="R104" s="271"/>
      <c r="S104" s="271"/>
      <c r="T104" s="271"/>
    </row>
    <row r="105" spans="1:20" s="230" customFormat="1" ht="15">
      <c r="A105" s="267">
        <f t="shared" si="29"/>
        <v>47177</v>
      </c>
      <c r="B105" s="269">
        <f t="shared" si="33"/>
        <v>68988.305664062471</v>
      </c>
      <c r="C105" s="269">
        <f t="shared" si="33"/>
        <v>68988.305664062471</v>
      </c>
      <c r="D105" s="269">
        <f t="shared" si="34"/>
        <v>256.40653605143217</v>
      </c>
      <c r="E105" s="269"/>
      <c r="F105" s="269">
        <f t="shared" si="35"/>
        <v>-65718.978603769996</v>
      </c>
      <c r="G105" s="269">
        <f t="shared" si="35"/>
        <v>-68988.305664062471</v>
      </c>
      <c r="H105" s="269">
        <f t="shared" si="32"/>
        <v>3269.3270602924749</v>
      </c>
      <c r="I105" s="269">
        <f t="shared" si="32"/>
        <v>0</v>
      </c>
      <c r="J105" s="269">
        <f t="shared" si="28"/>
        <v>-3269.3270602924749</v>
      </c>
      <c r="K105" s="269">
        <f t="shared" si="26"/>
        <v>686.55868266141965</v>
      </c>
      <c r="L105" s="270">
        <f t="shared" si="31"/>
        <v>53.845372570801601</v>
      </c>
      <c r="M105" s="21"/>
      <c r="N105" s="21"/>
      <c r="O105" s="271"/>
      <c r="P105" s="271"/>
      <c r="Q105" s="271"/>
      <c r="R105" s="271"/>
      <c r="S105" s="271"/>
      <c r="T105" s="271"/>
    </row>
    <row r="106" spans="1:20" s="230" customFormat="1" ht="15">
      <c r="A106" s="267">
        <f t="shared" si="29"/>
        <v>47208</v>
      </c>
      <c r="B106" s="269">
        <f t="shared" si="33"/>
        <v>68988.305664062471</v>
      </c>
      <c r="C106" s="269">
        <f t="shared" si="33"/>
        <v>68988.305664062471</v>
      </c>
      <c r="D106" s="269">
        <f t="shared" si="34"/>
        <v>256.40653605143217</v>
      </c>
      <c r="E106" s="269"/>
      <c r="F106" s="269">
        <f t="shared" si="35"/>
        <v>-65975.385139821432</v>
      </c>
      <c r="G106" s="269">
        <f t="shared" si="35"/>
        <v>-68988.305664062471</v>
      </c>
      <c r="H106" s="269">
        <f t="shared" si="32"/>
        <v>3012.9205242410389</v>
      </c>
      <c r="I106" s="269">
        <f t="shared" si="32"/>
        <v>0</v>
      </c>
      <c r="J106" s="269">
        <f t="shared" si="28"/>
        <v>-3012.9205242410389</v>
      </c>
      <c r="K106" s="269">
        <f t="shared" si="26"/>
        <v>632.71331009061817</v>
      </c>
      <c r="L106" s="270">
        <f t="shared" si="31"/>
        <v>53.845372570801487</v>
      </c>
      <c r="M106" s="21"/>
      <c r="N106" s="21"/>
      <c r="O106" s="271"/>
      <c r="P106" s="271"/>
      <c r="Q106" s="271"/>
      <c r="R106" s="271"/>
      <c r="S106" s="271"/>
      <c r="T106" s="271"/>
    </row>
    <row r="107" spans="1:20" s="230" customFormat="1" ht="15">
      <c r="A107" s="267">
        <f t="shared" si="29"/>
        <v>47238</v>
      </c>
      <c r="B107" s="269">
        <f t="shared" si="33"/>
        <v>68988.305664062471</v>
      </c>
      <c r="C107" s="269">
        <f t="shared" si="33"/>
        <v>68988.305664062471</v>
      </c>
      <c r="D107" s="269">
        <f t="shared" si="34"/>
        <v>256.40653605143217</v>
      </c>
      <c r="E107" s="269"/>
      <c r="F107" s="269">
        <f t="shared" si="35"/>
        <v>-66231.791675872868</v>
      </c>
      <c r="G107" s="269">
        <f t="shared" si="35"/>
        <v>-68988.305664062471</v>
      </c>
      <c r="H107" s="269">
        <f t="shared" si="32"/>
        <v>2756.513988189603</v>
      </c>
      <c r="I107" s="269">
        <f t="shared" si="32"/>
        <v>0</v>
      </c>
      <c r="J107" s="269">
        <f t="shared" si="28"/>
        <v>-2756.513988189603</v>
      </c>
      <c r="K107" s="269">
        <f t="shared" si="26"/>
        <v>578.86793751981656</v>
      </c>
      <c r="L107" s="270">
        <f t="shared" si="31"/>
        <v>53.845372570801601</v>
      </c>
      <c r="M107" s="21"/>
      <c r="N107" s="21"/>
      <c r="O107" s="271"/>
      <c r="P107" s="271"/>
      <c r="Q107" s="271"/>
      <c r="R107" s="271"/>
      <c r="S107" s="271"/>
      <c r="T107" s="271"/>
    </row>
    <row r="108" spans="1:20" s="230" customFormat="1" ht="15">
      <c r="A108" s="267">
        <f t="shared" si="29"/>
        <v>47269</v>
      </c>
      <c r="B108" s="269">
        <f t="shared" si="33"/>
        <v>68988.305664062471</v>
      </c>
      <c r="C108" s="269">
        <f t="shared" si="33"/>
        <v>68988.305664062471</v>
      </c>
      <c r="D108" s="269">
        <f t="shared" si="34"/>
        <v>256.40653605143217</v>
      </c>
      <c r="E108" s="269"/>
      <c r="F108" s="269">
        <f t="shared" si="35"/>
        <v>-66488.198211924304</v>
      </c>
      <c r="G108" s="269">
        <f t="shared" si="35"/>
        <v>-68988.305664062471</v>
      </c>
      <c r="H108" s="269">
        <f t="shared" si="32"/>
        <v>2500.107452138167</v>
      </c>
      <c r="I108" s="269">
        <f t="shared" si="32"/>
        <v>0</v>
      </c>
      <c r="J108" s="269">
        <f t="shared" si="28"/>
        <v>-2500.107452138167</v>
      </c>
      <c r="K108" s="269">
        <f t="shared" si="26"/>
        <v>525.02256494901508</v>
      </c>
      <c r="L108" s="270">
        <f t="shared" si="31"/>
        <v>53.845372570801487</v>
      </c>
      <c r="M108" s="21"/>
      <c r="N108" s="21"/>
      <c r="O108" s="271"/>
      <c r="P108" s="271"/>
      <c r="Q108" s="271"/>
      <c r="R108" s="271"/>
      <c r="S108" s="271"/>
      <c r="T108" s="271"/>
    </row>
    <row r="109" spans="1:20" s="230" customFormat="1" ht="15">
      <c r="A109" s="267">
        <f t="shared" si="29"/>
        <v>47299</v>
      </c>
      <c r="B109" s="269">
        <f t="shared" si="33"/>
        <v>68988.305664062471</v>
      </c>
      <c r="C109" s="269">
        <f t="shared" si="33"/>
        <v>68988.305664062471</v>
      </c>
      <c r="D109" s="269">
        <f t="shared" si="34"/>
        <v>256.40653605143217</v>
      </c>
      <c r="E109" s="269"/>
      <c r="F109" s="269">
        <f t="shared" si="35"/>
        <v>-66744.60474797574</v>
      </c>
      <c r="G109" s="269">
        <f t="shared" si="35"/>
        <v>-68988.305664062471</v>
      </c>
      <c r="H109" s="269">
        <f t="shared" si="32"/>
        <v>2243.700916086731</v>
      </c>
      <c r="I109" s="269">
        <f t="shared" si="32"/>
        <v>0</v>
      </c>
      <c r="J109" s="269">
        <f t="shared" si="28"/>
        <v>-2243.700916086731</v>
      </c>
      <c r="K109" s="269">
        <f t="shared" si="26"/>
        <v>471.17719237821348</v>
      </c>
      <c r="L109" s="270">
        <f t="shared" si="31"/>
        <v>53.845372570801601</v>
      </c>
      <c r="M109" s="97"/>
      <c r="N109" s="97"/>
      <c r="O109" s="271"/>
      <c r="P109" s="271"/>
      <c r="Q109" s="271"/>
      <c r="R109" s="271"/>
      <c r="S109" s="271"/>
      <c r="T109" s="271"/>
    </row>
    <row r="110" spans="1:20" s="230" customFormat="1" ht="15">
      <c r="A110" s="267">
        <f t="shared" si="29"/>
        <v>47330</v>
      </c>
      <c r="B110" s="269">
        <f t="shared" si="33"/>
        <v>68988.305664062471</v>
      </c>
      <c r="C110" s="269">
        <f t="shared" si="33"/>
        <v>68988.305664062471</v>
      </c>
      <c r="D110" s="269">
        <f t="shared" si="34"/>
        <v>256.40653605143217</v>
      </c>
      <c r="E110" s="269"/>
      <c r="F110" s="269">
        <f t="shared" si="35"/>
        <v>-67001.011284027176</v>
      </c>
      <c r="G110" s="269">
        <f t="shared" si="35"/>
        <v>-68988.305664062471</v>
      </c>
      <c r="H110" s="269">
        <f t="shared" si="32"/>
        <v>1987.294380035295</v>
      </c>
      <c r="I110" s="269">
        <f t="shared" si="32"/>
        <v>0</v>
      </c>
      <c r="J110" s="269">
        <f t="shared" si="28"/>
        <v>-1987.294380035295</v>
      </c>
      <c r="K110" s="269">
        <f t="shared" si="26"/>
        <v>417.33181980741193</v>
      </c>
      <c r="L110" s="270">
        <f t="shared" si="31"/>
        <v>53.845372570801544</v>
      </c>
      <c r="M110" s="97"/>
      <c r="N110" s="97"/>
      <c r="O110" s="271"/>
      <c r="P110" s="271"/>
      <c r="Q110" s="271"/>
      <c r="R110" s="271"/>
      <c r="S110" s="271"/>
      <c r="T110" s="271"/>
    </row>
    <row r="111" spans="1:20" s="230" customFormat="1" ht="15">
      <c r="A111" s="267">
        <f t="shared" si="29"/>
        <v>47361</v>
      </c>
      <c r="B111" s="269">
        <f t="shared" si="33"/>
        <v>68988.305664062471</v>
      </c>
      <c r="C111" s="269">
        <f t="shared" si="33"/>
        <v>68988.305664062471</v>
      </c>
      <c r="D111" s="269">
        <f t="shared" si="34"/>
        <v>256.40653605143217</v>
      </c>
      <c r="E111" s="269"/>
      <c r="F111" s="269">
        <f t="shared" si="35"/>
        <v>-67257.417820078612</v>
      </c>
      <c r="G111" s="269">
        <f t="shared" si="35"/>
        <v>-68988.305664062471</v>
      </c>
      <c r="H111" s="269">
        <f t="shared" si="32"/>
        <v>1730.8878439838591</v>
      </c>
      <c r="I111" s="269">
        <f t="shared" si="32"/>
        <v>0</v>
      </c>
      <c r="J111" s="269">
        <f t="shared" si="28"/>
        <v>-1730.8878439838591</v>
      </c>
      <c r="K111" s="269">
        <f t="shared" si="26"/>
        <v>363.48644723661039</v>
      </c>
      <c r="L111" s="270">
        <f t="shared" si="31"/>
        <v>53.845372570801544</v>
      </c>
      <c r="M111" s="97"/>
      <c r="N111" s="97"/>
      <c r="O111" s="271"/>
      <c r="P111" s="271"/>
      <c r="Q111" s="271"/>
      <c r="R111" s="271"/>
      <c r="S111" s="271"/>
      <c r="T111" s="271"/>
    </row>
    <row r="112" spans="1:20" s="230" customFormat="1" ht="15">
      <c r="A112" s="267">
        <f t="shared" si="29"/>
        <v>47391</v>
      </c>
      <c r="B112" s="269">
        <f t="shared" si="33"/>
        <v>68988.305664062471</v>
      </c>
      <c r="C112" s="269">
        <f t="shared" si="33"/>
        <v>68988.305664062471</v>
      </c>
      <c r="D112" s="269">
        <f t="shared" si="34"/>
        <v>256.40653605143217</v>
      </c>
      <c r="E112" s="269"/>
      <c r="F112" s="269">
        <f t="shared" si="35"/>
        <v>-67513.824356130048</v>
      </c>
      <c r="G112" s="269">
        <f t="shared" si="35"/>
        <v>-68988.305664062471</v>
      </c>
      <c r="H112" s="269">
        <f t="shared" ref="H112:I127" si="36">B112+F112</f>
        <v>1474.4813079324231</v>
      </c>
      <c r="I112" s="269">
        <f t="shared" si="36"/>
        <v>0</v>
      </c>
      <c r="J112" s="269">
        <f t="shared" si="28"/>
        <v>-1474.4813079324231</v>
      </c>
      <c r="K112" s="269">
        <f t="shared" si="26"/>
        <v>309.64107466580884</v>
      </c>
      <c r="L112" s="270">
        <f t="shared" si="31"/>
        <v>53.845372570801544</v>
      </c>
      <c r="M112" s="97"/>
      <c r="N112" s="97"/>
      <c r="O112" s="271"/>
      <c r="P112" s="271"/>
      <c r="Q112" s="271"/>
      <c r="R112" s="271"/>
      <c r="S112" s="271"/>
      <c r="T112" s="271"/>
    </row>
    <row r="113" spans="1:20" s="230" customFormat="1" ht="15">
      <c r="A113" s="267">
        <f t="shared" si="29"/>
        <v>47422</v>
      </c>
      <c r="B113" s="269">
        <f t="shared" si="33"/>
        <v>68988.305664062471</v>
      </c>
      <c r="C113" s="269">
        <f t="shared" si="33"/>
        <v>68988.305664062471</v>
      </c>
      <c r="D113" s="269">
        <f t="shared" si="34"/>
        <v>256.40653605143217</v>
      </c>
      <c r="E113" s="269"/>
      <c r="F113" s="269">
        <f t="shared" si="35"/>
        <v>-67770.230892181484</v>
      </c>
      <c r="G113" s="269">
        <f t="shared" si="35"/>
        <v>-68988.305664062471</v>
      </c>
      <c r="H113" s="269">
        <f t="shared" si="36"/>
        <v>1218.0747718809871</v>
      </c>
      <c r="I113" s="269">
        <f t="shared" si="36"/>
        <v>0</v>
      </c>
      <c r="J113" s="269">
        <f t="shared" si="28"/>
        <v>-1218.0747718809871</v>
      </c>
      <c r="K113" s="269">
        <f t="shared" si="26"/>
        <v>255.79570209500727</v>
      </c>
      <c r="L113" s="270">
        <f t="shared" si="31"/>
        <v>53.845372570801572</v>
      </c>
      <c r="M113" s="97"/>
      <c r="N113" s="97"/>
      <c r="O113" s="271"/>
      <c r="P113" s="271"/>
      <c r="Q113" s="271"/>
      <c r="R113" s="271"/>
      <c r="S113" s="271"/>
      <c r="T113" s="271"/>
    </row>
    <row r="114" spans="1:20" s="230" customFormat="1" ht="15">
      <c r="A114" s="267">
        <f t="shared" si="29"/>
        <v>47452</v>
      </c>
      <c r="B114" s="269">
        <f t="shared" si="33"/>
        <v>68988.305664062471</v>
      </c>
      <c r="C114" s="269">
        <f t="shared" si="33"/>
        <v>68988.305664062471</v>
      </c>
      <c r="D114" s="269">
        <f t="shared" si="34"/>
        <v>256.40653605143217</v>
      </c>
      <c r="E114" s="269"/>
      <c r="F114" s="269">
        <f t="shared" si="35"/>
        <v>-68026.63742823292</v>
      </c>
      <c r="G114" s="269">
        <f t="shared" si="35"/>
        <v>-68988.305664062471</v>
      </c>
      <c r="H114" s="269">
        <f t="shared" si="36"/>
        <v>961.66823582955112</v>
      </c>
      <c r="I114" s="269">
        <f t="shared" si="36"/>
        <v>0</v>
      </c>
      <c r="J114" s="269">
        <f t="shared" si="28"/>
        <v>-961.66823582955112</v>
      </c>
      <c r="K114" s="269">
        <f t="shared" si="26"/>
        <v>201.95032952420573</v>
      </c>
      <c r="L114" s="270">
        <f t="shared" si="31"/>
        <v>53.845372570801544</v>
      </c>
      <c r="M114" s="97"/>
      <c r="N114" s="97"/>
      <c r="O114" s="271"/>
      <c r="P114" s="271"/>
      <c r="Q114" s="271"/>
      <c r="R114" s="271"/>
      <c r="S114" s="271"/>
      <c r="T114" s="271"/>
    </row>
    <row r="115" spans="1:20" s="230" customFormat="1" ht="15">
      <c r="A115" s="267">
        <f t="shared" si="29"/>
        <v>47483</v>
      </c>
      <c r="B115" s="269">
        <f t="shared" si="33"/>
        <v>68988.305664062471</v>
      </c>
      <c r="C115" s="269">
        <f t="shared" si="33"/>
        <v>68988.305664062471</v>
      </c>
      <c r="D115" s="269">
        <f t="shared" si="34"/>
        <v>256.40653605143217</v>
      </c>
      <c r="E115" s="269"/>
      <c r="F115" s="269">
        <f t="shared" si="35"/>
        <v>-68283.043964284356</v>
      </c>
      <c r="G115" s="269">
        <f t="shared" si="35"/>
        <v>-68988.305664062471</v>
      </c>
      <c r="H115" s="269">
        <f t="shared" si="36"/>
        <v>705.26169977811514</v>
      </c>
      <c r="I115" s="269">
        <f t="shared" si="36"/>
        <v>0</v>
      </c>
      <c r="J115" s="269">
        <f t="shared" si="28"/>
        <v>-705.26169977811514</v>
      </c>
      <c r="K115" s="269">
        <f t="shared" si="26"/>
        <v>148.10495695340418</v>
      </c>
      <c r="L115" s="270">
        <f t="shared" si="31"/>
        <v>53.845372570801544</v>
      </c>
      <c r="M115" s="97"/>
      <c r="N115" s="97"/>
      <c r="O115" s="271"/>
      <c r="P115" s="271"/>
      <c r="Q115" s="271"/>
      <c r="R115" s="271"/>
      <c r="S115" s="271"/>
      <c r="T115" s="271"/>
    </row>
    <row r="116" spans="1:20" s="230" customFormat="1" ht="15">
      <c r="A116" s="267">
        <f t="shared" si="29"/>
        <v>47514</v>
      </c>
      <c r="B116" s="269">
        <f t="shared" si="33"/>
        <v>68988.305664062471</v>
      </c>
      <c r="C116" s="269">
        <f t="shared" si="33"/>
        <v>68988.305664062471</v>
      </c>
      <c r="D116" s="269">
        <f t="shared" si="34"/>
        <v>256.40653605143217</v>
      </c>
      <c r="E116" s="269"/>
      <c r="F116" s="269">
        <f t="shared" si="35"/>
        <v>-68539.450500335792</v>
      </c>
      <c r="G116" s="269">
        <f t="shared" si="35"/>
        <v>-68988.305664062471</v>
      </c>
      <c r="H116" s="269">
        <f t="shared" si="36"/>
        <v>448.85516372667917</v>
      </c>
      <c r="I116" s="269">
        <f t="shared" si="36"/>
        <v>0</v>
      </c>
      <c r="J116" s="269">
        <f t="shared" si="28"/>
        <v>-448.85516372667917</v>
      </c>
      <c r="K116" s="269">
        <f t="shared" ref="K116:K147" si="37">-J116*$K$15</f>
        <v>94.259584382602625</v>
      </c>
      <c r="L116" s="270">
        <f t="shared" si="31"/>
        <v>53.845372570801558</v>
      </c>
      <c r="M116" s="97"/>
      <c r="N116" s="97"/>
      <c r="O116" s="271"/>
      <c r="P116" s="271"/>
      <c r="Q116" s="271"/>
      <c r="R116" s="271"/>
      <c r="S116" s="271"/>
      <c r="T116" s="271"/>
    </row>
    <row r="117" spans="1:20" s="230" customFormat="1" ht="15">
      <c r="A117" s="267">
        <f t="shared" si="29"/>
        <v>47542</v>
      </c>
      <c r="B117" s="269">
        <f t="shared" si="33"/>
        <v>68988.305664062471</v>
      </c>
      <c r="C117" s="269">
        <f t="shared" si="33"/>
        <v>68988.305664062471</v>
      </c>
      <c r="D117" s="269">
        <f t="shared" si="34"/>
        <v>256.40653605143217</v>
      </c>
      <c r="E117" s="269"/>
      <c r="F117" s="269">
        <f t="shared" ref="F117:G132" si="38">F116-D117</f>
        <v>-68795.857036387228</v>
      </c>
      <c r="G117" s="269">
        <f t="shared" si="38"/>
        <v>-68988.305664062471</v>
      </c>
      <c r="H117" s="269">
        <f t="shared" si="36"/>
        <v>192.44862767524319</v>
      </c>
      <c r="I117" s="269">
        <f t="shared" si="36"/>
        <v>0</v>
      </c>
      <c r="J117" s="269">
        <f t="shared" si="28"/>
        <v>-192.44862767524319</v>
      </c>
      <c r="K117" s="269">
        <f t="shared" si="37"/>
        <v>40.414211811801067</v>
      </c>
      <c r="L117" s="270">
        <f t="shared" si="31"/>
        <v>53.845372570801558</v>
      </c>
      <c r="M117" s="97"/>
      <c r="N117" s="97"/>
      <c r="O117" s="271"/>
      <c r="P117" s="271"/>
      <c r="Q117" s="271"/>
      <c r="R117" s="271"/>
      <c r="S117" s="271"/>
      <c r="T117" s="271"/>
    </row>
    <row r="118" spans="1:20" s="230" customFormat="1" ht="15">
      <c r="A118" s="267">
        <f t="shared" si="29"/>
        <v>47573</v>
      </c>
      <c r="B118" s="269">
        <f t="shared" si="33"/>
        <v>68988.305664062471</v>
      </c>
      <c r="C118" s="269">
        <f t="shared" si="33"/>
        <v>68988.305664062471</v>
      </c>
      <c r="D118" s="269">
        <f>B117+F117</f>
        <v>192.44862767524319</v>
      </c>
      <c r="E118" s="269"/>
      <c r="F118" s="269">
        <f t="shared" si="38"/>
        <v>-68988.305664062471</v>
      </c>
      <c r="G118" s="269">
        <f t="shared" si="38"/>
        <v>-68988.305664062471</v>
      </c>
      <c r="H118" s="269">
        <f t="shared" si="36"/>
        <v>0</v>
      </c>
      <c r="I118" s="269">
        <f t="shared" si="36"/>
        <v>0</v>
      </c>
      <c r="J118" s="269">
        <f t="shared" si="28"/>
        <v>0</v>
      </c>
      <c r="K118" s="269">
        <f t="shared" si="37"/>
        <v>0</v>
      </c>
      <c r="L118" s="270">
        <f t="shared" si="31"/>
        <v>40.414211811801067</v>
      </c>
      <c r="M118" s="97"/>
      <c r="N118" s="97"/>
      <c r="O118" s="271"/>
      <c r="P118" s="271"/>
      <c r="Q118" s="271"/>
      <c r="R118" s="271"/>
      <c r="S118" s="271"/>
      <c r="T118" s="271"/>
    </row>
    <row r="119" spans="1:20" s="230" customFormat="1" ht="15">
      <c r="A119" s="267">
        <f t="shared" si="29"/>
        <v>47603</v>
      </c>
      <c r="B119" s="269">
        <f t="shared" ref="B119:C134" si="39">B118</f>
        <v>68988.305664062471</v>
      </c>
      <c r="C119" s="269">
        <f t="shared" si="39"/>
        <v>68988.305664062471</v>
      </c>
      <c r="D119" s="269"/>
      <c r="E119" s="269"/>
      <c r="F119" s="269">
        <f t="shared" si="38"/>
        <v>-68988.305664062471</v>
      </c>
      <c r="G119" s="269">
        <f t="shared" si="38"/>
        <v>-68988.305664062471</v>
      </c>
      <c r="H119" s="269">
        <f t="shared" si="36"/>
        <v>0</v>
      </c>
      <c r="I119" s="269">
        <f t="shared" si="36"/>
        <v>0</v>
      </c>
      <c r="J119" s="269">
        <f t="shared" si="28"/>
        <v>0</v>
      </c>
      <c r="K119" s="269">
        <f t="shared" si="37"/>
        <v>0</v>
      </c>
      <c r="L119" s="270">
        <f t="shared" si="31"/>
        <v>0</v>
      </c>
      <c r="M119" s="97"/>
      <c r="N119" s="97"/>
      <c r="O119" s="271"/>
      <c r="P119" s="271"/>
      <c r="Q119" s="271"/>
      <c r="R119" s="271"/>
      <c r="S119" s="271"/>
      <c r="T119" s="271"/>
    </row>
    <row r="120" spans="1:20" s="230" customFormat="1" ht="15">
      <c r="A120" s="267">
        <f t="shared" si="29"/>
        <v>47634</v>
      </c>
      <c r="B120" s="269">
        <f t="shared" si="39"/>
        <v>68988.305664062471</v>
      </c>
      <c r="C120" s="269">
        <f t="shared" si="39"/>
        <v>68988.305664062471</v>
      </c>
      <c r="D120" s="269"/>
      <c r="E120" s="269"/>
      <c r="F120" s="269">
        <f t="shared" si="38"/>
        <v>-68988.305664062471</v>
      </c>
      <c r="G120" s="269">
        <f t="shared" si="38"/>
        <v>-68988.305664062471</v>
      </c>
      <c r="H120" s="269">
        <f t="shared" si="36"/>
        <v>0</v>
      </c>
      <c r="I120" s="269">
        <f t="shared" si="36"/>
        <v>0</v>
      </c>
      <c r="J120" s="269">
        <f t="shared" si="28"/>
        <v>0</v>
      </c>
      <c r="K120" s="269">
        <f t="shared" si="37"/>
        <v>0</v>
      </c>
      <c r="L120" s="270">
        <f t="shared" si="31"/>
        <v>0</v>
      </c>
      <c r="M120" s="97"/>
      <c r="N120" s="97"/>
      <c r="O120" s="271"/>
      <c r="P120" s="271"/>
      <c r="Q120" s="271"/>
      <c r="R120" s="271"/>
      <c r="S120" s="271"/>
      <c r="T120" s="271"/>
    </row>
    <row r="121" spans="1:20" s="230" customFormat="1" ht="15">
      <c r="A121" s="267">
        <f t="shared" si="29"/>
        <v>47664</v>
      </c>
      <c r="B121" s="269">
        <f t="shared" si="39"/>
        <v>68988.305664062471</v>
      </c>
      <c r="C121" s="269">
        <f t="shared" si="39"/>
        <v>68988.305664062471</v>
      </c>
      <c r="D121" s="269"/>
      <c r="E121" s="269"/>
      <c r="F121" s="269">
        <f t="shared" si="38"/>
        <v>-68988.305664062471</v>
      </c>
      <c r="G121" s="269">
        <f t="shared" si="38"/>
        <v>-68988.305664062471</v>
      </c>
      <c r="H121" s="269">
        <f t="shared" si="36"/>
        <v>0</v>
      </c>
      <c r="I121" s="269">
        <f t="shared" si="36"/>
        <v>0</v>
      </c>
      <c r="J121" s="269">
        <f t="shared" si="28"/>
        <v>0</v>
      </c>
      <c r="K121" s="269">
        <f t="shared" si="37"/>
        <v>0</v>
      </c>
      <c r="L121" s="270">
        <f t="shared" si="31"/>
        <v>0</v>
      </c>
      <c r="M121" s="97"/>
      <c r="N121" s="97"/>
      <c r="O121" s="271"/>
      <c r="P121" s="271"/>
      <c r="Q121" s="271"/>
      <c r="R121" s="271"/>
      <c r="S121" s="271"/>
      <c r="T121" s="271"/>
    </row>
    <row r="122" spans="1:20" s="230" customFormat="1" ht="15">
      <c r="A122" s="267">
        <f t="shared" si="29"/>
        <v>47695</v>
      </c>
      <c r="B122" s="269">
        <f t="shared" si="39"/>
        <v>68988.305664062471</v>
      </c>
      <c r="C122" s="269">
        <f t="shared" si="39"/>
        <v>68988.305664062471</v>
      </c>
      <c r="D122" s="269"/>
      <c r="E122" s="269"/>
      <c r="F122" s="269">
        <f t="shared" si="38"/>
        <v>-68988.305664062471</v>
      </c>
      <c r="G122" s="269">
        <f t="shared" si="38"/>
        <v>-68988.305664062471</v>
      </c>
      <c r="H122" s="269">
        <f t="shared" si="36"/>
        <v>0</v>
      </c>
      <c r="I122" s="269">
        <f t="shared" si="36"/>
        <v>0</v>
      </c>
      <c r="J122" s="269">
        <f t="shared" si="28"/>
        <v>0</v>
      </c>
      <c r="K122" s="269">
        <f t="shared" si="37"/>
        <v>0</v>
      </c>
      <c r="L122" s="270">
        <f t="shared" si="31"/>
        <v>0</v>
      </c>
      <c r="M122" s="97"/>
      <c r="N122" s="97"/>
      <c r="O122" s="271"/>
      <c r="P122" s="271"/>
      <c r="Q122" s="271"/>
      <c r="R122" s="271"/>
      <c r="S122" s="271"/>
      <c r="T122" s="271"/>
    </row>
    <row r="123" spans="1:20" s="230" customFormat="1" ht="15">
      <c r="A123" s="267">
        <f t="shared" si="29"/>
        <v>47726</v>
      </c>
      <c r="B123" s="269">
        <f t="shared" si="39"/>
        <v>68988.305664062471</v>
      </c>
      <c r="C123" s="269">
        <f t="shared" si="39"/>
        <v>68988.305664062471</v>
      </c>
      <c r="D123" s="269"/>
      <c r="E123" s="269"/>
      <c r="F123" s="269">
        <f t="shared" si="38"/>
        <v>-68988.305664062471</v>
      </c>
      <c r="G123" s="269">
        <f t="shared" si="38"/>
        <v>-68988.305664062471</v>
      </c>
      <c r="H123" s="269">
        <f t="shared" si="36"/>
        <v>0</v>
      </c>
      <c r="I123" s="269">
        <f t="shared" si="36"/>
        <v>0</v>
      </c>
      <c r="J123" s="269">
        <f t="shared" si="28"/>
        <v>0</v>
      </c>
      <c r="K123" s="269">
        <f t="shared" si="37"/>
        <v>0</v>
      </c>
      <c r="L123" s="270">
        <f t="shared" si="31"/>
        <v>0</v>
      </c>
      <c r="M123" s="97"/>
      <c r="N123" s="97"/>
      <c r="O123" s="271"/>
      <c r="P123" s="271"/>
      <c r="Q123" s="271"/>
      <c r="R123" s="271"/>
      <c r="S123" s="271"/>
      <c r="T123" s="271"/>
    </row>
    <row r="124" spans="1:20" s="230" customFormat="1" ht="15">
      <c r="A124" s="267">
        <f t="shared" si="29"/>
        <v>47756</v>
      </c>
      <c r="B124" s="269">
        <f t="shared" si="39"/>
        <v>68988.305664062471</v>
      </c>
      <c r="C124" s="269">
        <f t="shared" si="39"/>
        <v>68988.305664062471</v>
      </c>
      <c r="D124" s="269"/>
      <c r="E124" s="269"/>
      <c r="F124" s="269">
        <f t="shared" si="38"/>
        <v>-68988.305664062471</v>
      </c>
      <c r="G124" s="269">
        <f t="shared" si="38"/>
        <v>-68988.305664062471</v>
      </c>
      <c r="H124" s="269">
        <f t="shared" si="36"/>
        <v>0</v>
      </c>
      <c r="I124" s="269">
        <f t="shared" si="36"/>
        <v>0</v>
      </c>
      <c r="J124" s="269">
        <f t="shared" si="28"/>
        <v>0</v>
      </c>
      <c r="K124" s="269">
        <f t="shared" si="37"/>
        <v>0</v>
      </c>
      <c r="L124" s="270">
        <f t="shared" si="31"/>
        <v>0</v>
      </c>
      <c r="M124" s="97"/>
      <c r="N124" s="97"/>
      <c r="O124" s="271"/>
      <c r="P124" s="271"/>
      <c r="Q124" s="271"/>
      <c r="R124" s="271"/>
      <c r="S124" s="271"/>
      <c r="T124" s="271"/>
    </row>
    <row r="125" spans="1:20" s="230" customFormat="1" ht="15">
      <c r="A125" s="267">
        <f t="shared" si="29"/>
        <v>47787</v>
      </c>
      <c r="B125" s="269">
        <f t="shared" si="39"/>
        <v>68988.305664062471</v>
      </c>
      <c r="C125" s="269">
        <f t="shared" si="39"/>
        <v>68988.305664062471</v>
      </c>
      <c r="D125" s="269"/>
      <c r="E125" s="269"/>
      <c r="F125" s="269">
        <f t="shared" si="38"/>
        <v>-68988.305664062471</v>
      </c>
      <c r="G125" s="269">
        <f t="shared" si="38"/>
        <v>-68988.305664062471</v>
      </c>
      <c r="H125" s="269">
        <f t="shared" si="36"/>
        <v>0</v>
      </c>
      <c r="I125" s="269">
        <f t="shared" si="36"/>
        <v>0</v>
      </c>
      <c r="J125" s="269">
        <f t="shared" si="28"/>
        <v>0</v>
      </c>
      <c r="K125" s="269">
        <f t="shared" si="37"/>
        <v>0</v>
      </c>
      <c r="L125" s="270">
        <f t="shared" si="31"/>
        <v>0</v>
      </c>
      <c r="M125" s="97"/>
      <c r="N125" s="97"/>
      <c r="O125" s="271"/>
      <c r="P125" s="271"/>
      <c r="Q125" s="271"/>
      <c r="R125" s="271"/>
      <c r="S125" s="271"/>
      <c r="T125" s="271"/>
    </row>
    <row r="126" spans="1:20" s="230" customFormat="1" ht="15">
      <c r="A126" s="267">
        <f t="shared" si="29"/>
        <v>47817</v>
      </c>
      <c r="B126" s="269">
        <f t="shared" si="39"/>
        <v>68988.305664062471</v>
      </c>
      <c r="C126" s="269">
        <f t="shared" si="39"/>
        <v>68988.305664062471</v>
      </c>
      <c r="D126" s="269"/>
      <c r="E126" s="269"/>
      <c r="F126" s="269">
        <f t="shared" si="38"/>
        <v>-68988.305664062471</v>
      </c>
      <c r="G126" s="269">
        <f t="shared" si="38"/>
        <v>-68988.305664062471</v>
      </c>
      <c r="H126" s="269">
        <f t="shared" si="36"/>
        <v>0</v>
      </c>
      <c r="I126" s="269">
        <f t="shared" si="36"/>
        <v>0</v>
      </c>
      <c r="J126" s="269">
        <f t="shared" si="28"/>
        <v>0</v>
      </c>
      <c r="K126" s="269">
        <f t="shared" si="37"/>
        <v>0</v>
      </c>
      <c r="L126" s="270">
        <f t="shared" si="31"/>
        <v>0</v>
      </c>
      <c r="M126" s="97"/>
      <c r="N126" s="97"/>
      <c r="O126" s="271"/>
      <c r="P126" s="271"/>
      <c r="Q126" s="271"/>
      <c r="R126" s="271"/>
      <c r="S126" s="271"/>
      <c r="T126" s="271"/>
    </row>
    <row r="127" spans="1:20" s="230" customFormat="1" ht="15">
      <c r="A127" s="267">
        <f t="shared" si="29"/>
        <v>47848</v>
      </c>
      <c r="B127" s="269">
        <f t="shared" si="39"/>
        <v>68988.305664062471</v>
      </c>
      <c r="C127" s="269">
        <f t="shared" si="39"/>
        <v>68988.305664062471</v>
      </c>
      <c r="D127" s="269"/>
      <c r="E127" s="269"/>
      <c r="F127" s="269">
        <f t="shared" si="38"/>
        <v>-68988.305664062471</v>
      </c>
      <c r="G127" s="269">
        <f t="shared" si="38"/>
        <v>-68988.305664062471</v>
      </c>
      <c r="H127" s="269">
        <f t="shared" si="36"/>
        <v>0</v>
      </c>
      <c r="I127" s="269">
        <f t="shared" si="36"/>
        <v>0</v>
      </c>
      <c r="J127" s="269">
        <f t="shared" si="28"/>
        <v>0</v>
      </c>
      <c r="K127" s="269">
        <f t="shared" si="37"/>
        <v>0</v>
      </c>
      <c r="L127" s="270">
        <f t="shared" si="31"/>
        <v>0</v>
      </c>
      <c r="M127" s="97"/>
      <c r="N127" s="97"/>
      <c r="O127" s="271"/>
      <c r="P127" s="271"/>
      <c r="Q127" s="271"/>
      <c r="R127" s="271"/>
      <c r="S127" s="271"/>
      <c r="T127" s="271"/>
    </row>
    <row r="128" spans="1:20" s="230" customFormat="1" ht="15">
      <c r="A128" s="267">
        <f t="shared" si="29"/>
        <v>47879</v>
      </c>
      <c r="B128" s="269">
        <f t="shared" si="39"/>
        <v>68988.305664062471</v>
      </c>
      <c r="C128" s="269">
        <f t="shared" si="39"/>
        <v>68988.305664062471</v>
      </c>
      <c r="D128" s="269"/>
      <c r="E128" s="269"/>
      <c r="F128" s="269">
        <f t="shared" si="38"/>
        <v>-68988.305664062471</v>
      </c>
      <c r="G128" s="269">
        <f t="shared" si="38"/>
        <v>-68988.305664062471</v>
      </c>
      <c r="H128" s="269">
        <f t="shared" ref="H128:I154" si="40">B128+F128</f>
        <v>0</v>
      </c>
      <c r="I128" s="269">
        <f t="shared" si="40"/>
        <v>0</v>
      </c>
      <c r="J128" s="269">
        <f t="shared" si="28"/>
        <v>0</v>
      </c>
      <c r="K128" s="269">
        <f t="shared" si="37"/>
        <v>0</v>
      </c>
      <c r="L128" s="270">
        <f t="shared" si="31"/>
        <v>0</v>
      </c>
      <c r="M128" s="97"/>
      <c r="N128" s="97"/>
      <c r="O128" s="271"/>
      <c r="P128" s="271"/>
      <c r="Q128" s="271"/>
      <c r="R128" s="271"/>
      <c r="S128" s="271"/>
      <c r="T128" s="271"/>
    </row>
    <row r="129" spans="1:20" s="230" customFormat="1" ht="15">
      <c r="A129" s="267">
        <f t="shared" si="29"/>
        <v>47907</v>
      </c>
      <c r="B129" s="269">
        <f t="shared" si="39"/>
        <v>68988.305664062471</v>
      </c>
      <c r="C129" s="269">
        <f t="shared" si="39"/>
        <v>68988.305664062471</v>
      </c>
      <c r="D129" s="269"/>
      <c r="E129" s="269"/>
      <c r="F129" s="269">
        <f t="shared" si="38"/>
        <v>-68988.305664062471</v>
      </c>
      <c r="G129" s="269">
        <f t="shared" si="38"/>
        <v>-68988.305664062471</v>
      </c>
      <c r="H129" s="269">
        <f t="shared" si="40"/>
        <v>0</v>
      </c>
      <c r="I129" s="269">
        <f t="shared" si="40"/>
        <v>0</v>
      </c>
      <c r="J129" s="269">
        <f t="shared" si="28"/>
        <v>0</v>
      </c>
      <c r="K129" s="269">
        <f t="shared" si="37"/>
        <v>0</v>
      </c>
      <c r="L129" s="270">
        <f t="shared" si="31"/>
        <v>0</v>
      </c>
      <c r="M129" s="97"/>
      <c r="N129" s="97"/>
      <c r="O129" s="271"/>
      <c r="P129" s="271"/>
      <c r="Q129" s="271"/>
      <c r="R129" s="271"/>
      <c r="S129" s="271"/>
      <c r="T129" s="271"/>
    </row>
    <row r="130" spans="1:20" s="230" customFormat="1" ht="15">
      <c r="A130" s="267">
        <f t="shared" si="29"/>
        <v>47938</v>
      </c>
      <c r="B130" s="269">
        <f t="shared" si="39"/>
        <v>68988.305664062471</v>
      </c>
      <c r="C130" s="269">
        <f t="shared" si="39"/>
        <v>68988.305664062471</v>
      </c>
      <c r="D130" s="269"/>
      <c r="E130" s="269"/>
      <c r="F130" s="269">
        <f t="shared" si="38"/>
        <v>-68988.305664062471</v>
      </c>
      <c r="G130" s="269">
        <f t="shared" si="38"/>
        <v>-68988.305664062471</v>
      </c>
      <c r="H130" s="269">
        <f t="shared" si="40"/>
        <v>0</v>
      </c>
      <c r="I130" s="269">
        <f t="shared" si="40"/>
        <v>0</v>
      </c>
      <c r="J130" s="269">
        <f t="shared" si="28"/>
        <v>0</v>
      </c>
      <c r="K130" s="269">
        <f t="shared" si="37"/>
        <v>0</v>
      </c>
      <c r="L130" s="270">
        <f t="shared" si="31"/>
        <v>0</v>
      </c>
      <c r="M130" s="97"/>
      <c r="N130" s="97"/>
      <c r="O130" s="271"/>
      <c r="P130" s="271"/>
      <c r="Q130" s="271"/>
      <c r="R130" s="271"/>
      <c r="S130" s="271"/>
      <c r="T130" s="271"/>
    </row>
    <row r="131" spans="1:20" s="230" customFormat="1" ht="15">
      <c r="A131" s="267">
        <f t="shared" si="29"/>
        <v>47968</v>
      </c>
      <c r="B131" s="269">
        <f t="shared" si="39"/>
        <v>68988.305664062471</v>
      </c>
      <c r="C131" s="269">
        <f t="shared" si="39"/>
        <v>68988.305664062471</v>
      </c>
      <c r="D131" s="269"/>
      <c r="E131" s="269"/>
      <c r="F131" s="269">
        <f t="shared" si="38"/>
        <v>-68988.305664062471</v>
      </c>
      <c r="G131" s="269">
        <f t="shared" si="38"/>
        <v>-68988.305664062471</v>
      </c>
      <c r="H131" s="269">
        <f t="shared" si="40"/>
        <v>0</v>
      </c>
      <c r="I131" s="269">
        <f t="shared" si="40"/>
        <v>0</v>
      </c>
      <c r="J131" s="269">
        <f t="shared" si="28"/>
        <v>0</v>
      </c>
      <c r="K131" s="269">
        <f t="shared" si="37"/>
        <v>0</v>
      </c>
      <c r="L131" s="270">
        <f t="shared" si="31"/>
        <v>0</v>
      </c>
      <c r="M131" s="97"/>
      <c r="N131" s="97"/>
      <c r="O131" s="271"/>
      <c r="P131" s="271"/>
      <c r="Q131" s="271"/>
      <c r="R131" s="271"/>
      <c r="S131" s="271"/>
      <c r="T131" s="271"/>
    </row>
    <row r="132" spans="1:20" s="230" customFormat="1" ht="15">
      <c r="A132" s="267">
        <f t="shared" si="29"/>
        <v>47999</v>
      </c>
      <c r="B132" s="269">
        <f t="shared" si="39"/>
        <v>68988.305664062471</v>
      </c>
      <c r="C132" s="269">
        <f t="shared" si="39"/>
        <v>68988.305664062471</v>
      </c>
      <c r="D132" s="269"/>
      <c r="E132" s="269"/>
      <c r="F132" s="269">
        <f t="shared" si="38"/>
        <v>-68988.305664062471</v>
      </c>
      <c r="G132" s="269">
        <f t="shared" si="38"/>
        <v>-68988.305664062471</v>
      </c>
      <c r="H132" s="269">
        <f t="shared" si="40"/>
        <v>0</v>
      </c>
      <c r="I132" s="269">
        <f t="shared" si="40"/>
        <v>0</v>
      </c>
      <c r="J132" s="269">
        <f t="shared" si="28"/>
        <v>0</v>
      </c>
      <c r="K132" s="269">
        <f t="shared" si="37"/>
        <v>0</v>
      </c>
      <c r="L132" s="270">
        <f t="shared" si="31"/>
        <v>0</v>
      </c>
      <c r="M132" s="97"/>
      <c r="N132" s="97"/>
      <c r="O132" s="271"/>
      <c r="P132" s="271"/>
      <c r="Q132" s="271"/>
      <c r="R132" s="271"/>
      <c r="S132" s="271"/>
      <c r="T132" s="271"/>
    </row>
    <row r="133" spans="1:20" s="230" customFormat="1" ht="15">
      <c r="A133" s="267">
        <f t="shared" si="29"/>
        <v>48029</v>
      </c>
      <c r="B133" s="269">
        <f t="shared" si="39"/>
        <v>68988.305664062471</v>
      </c>
      <c r="C133" s="269">
        <f t="shared" si="39"/>
        <v>68988.305664062471</v>
      </c>
      <c r="D133" s="269"/>
      <c r="E133" s="269"/>
      <c r="F133" s="269">
        <f t="shared" ref="F133:G148" si="41">F132-D133</f>
        <v>-68988.305664062471</v>
      </c>
      <c r="G133" s="269">
        <f t="shared" si="41"/>
        <v>-68988.305664062471</v>
      </c>
      <c r="H133" s="269">
        <f t="shared" si="40"/>
        <v>0</v>
      </c>
      <c r="I133" s="269">
        <f t="shared" si="40"/>
        <v>0</v>
      </c>
      <c r="J133" s="269">
        <f t="shared" si="28"/>
        <v>0</v>
      </c>
      <c r="K133" s="269">
        <f t="shared" si="37"/>
        <v>0</v>
      </c>
      <c r="L133" s="270">
        <f t="shared" si="31"/>
        <v>0</v>
      </c>
      <c r="M133" s="97"/>
      <c r="N133" s="97"/>
      <c r="O133" s="271"/>
      <c r="P133" s="271"/>
      <c r="Q133" s="271"/>
      <c r="R133" s="271"/>
      <c r="S133" s="271"/>
      <c r="T133" s="271"/>
    </row>
    <row r="134" spans="1:20" s="230" customFormat="1" ht="15">
      <c r="A134" s="267">
        <f t="shared" si="29"/>
        <v>48060</v>
      </c>
      <c r="B134" s="269">
        <f t="shared" si="39"/>
        <v>68988.305664062471</v>
      </c>
      <c r="C134" s="269">
        <f t="shared" si="39"/>
        <v>68988.305664062471</v>
      </c>
      <c r="D134" s="269"/>
      <c r="E134" s="269"/>
      <c r="F134" s="269">
        <f t="shared" si="41"/>
        <v>-68988.305664062471</v>
      </c>
      <c r="G134" s="269">
        <f t="shared" si="41"/>
        <v>-68988.305664062471</v>
      </c>
      <c r="H134" s="269">
        <f t="shared" si="40"/>
        <v>0</v>
      </c>
      <c r="I134" s="269">
        <f t="shared" si="40"/>
        <v>0</v>
      </c>
      <c r="J134" s="269">
        <f t="shared" si="28"/>
        <v>0</v>
      </c>
      <c r="K134" s="269">
        <f t="shared" si="37"/>
        <v>0</v>
      </c>
      <c r="L134" s="270">
        <f t="shared" si="31"/>
        <v>0</v>
      </c>
      <c r="M134" s="97"/>
      <c r="N134" s="97"/>
      <c r="O134" s="271"/>
      <c r="P134" s="271"/>
      <c r="Q134" s="271"/>
      <c r="R134" s="271"/>
      <c r="S134" s="271"/>
      <c r="T134" s="271"/>
    </row>
    <row r="135" spans="1:20" s="230" customFormat="1" ht="15">
      <c r="A135" s="267">
        <f t="shared" si="29"/>
        <v>48091</v>
      </c>
      <c r="B135" s="269">
        <f t="shared" ref="B135:C154" si="42">B134</f>
        <v>68988.305664062471</v>
      </c>
      <c r="C135" s="269">
        <f t="shared" si="42"/>
        <v>68988.305664062471</v>
      </c>
      <c r="D135" s="269"/>
      <c r="E135" s="269"/>
      <c r="F135" s="269">
        <f t="shared" si="41"/>
        <v>-68988.305664062471</v>
      </c>
      <c r="G135" s="269">
        <f t="shared" si="41"/>
        <v>-68988.305664062471</v>
      </c>
      <c r="H135" s="269">
        <f t="shared" si="40"/>
        <v>0</v>
      </c>
      <c r="I135" s="269">
        <f t="shared" si="40"/>
        <v>0</v>
      </c>
      <c r="J135" s="269">
        <f t="shared" si="28"/>
        <v>0</v>
      </c>
      <c r="K135" s="269">
        <f t="shared" si="37"/>
        <v>0</v>
      </c>
      <c r="L135" s="270">
        <f t="shared" si="31"/>
        <v>0</v>
      </c>
      <c r="M135" s="97"/>
      <c r="N135" s="97"/>
      <c r="O135" s="271"/>
      <c r="P135" s="271"/>
      <c r="Q135" s="271"/>
      <c r="R135" s="271"/>
      <c r="S135" s="271"/>
      <c r="T135" s="271"/>
    </row>
    <row r="136" spans="1:20" s="230" customFormat="1" ht="15">
      <c r="A136" s="267">
        <f t="shared" si="29"/>
        <v>48121</v>
      </c>
      <c r="B136" s="269">
        <f t="shared" si="42"/>
        <v>68988.305664062471</v>
      </c>
      <c r="C136" s="269">
        <f t="shared" si="42"/>
        <v>68988.305664062471</v>
      </c>
      <c r="D136" s="269"/>
      <c r="E136" s="269"/>
      <c r="F136" s="269">
        <f t="shared" si="41"/>
        <v>-68988.305664062471</v>
      </c>
      <c r="G136" s="269">
        <f t="shared" si="41"/>
        <v>-68988.305664062471</v>
      </c>
      <c r="H136" s="269">
        <f t="shared" si="40"/>
        <v>0</v>
      </c>
      <c r="I136" s="269">
        <f t="shared" si="40"/>
        <v>0</v>
      </c>
      <c r="J136" s="269">
        <f t="shared" si="28"/>
        <v>0</v>
      </c>
      <c r="K136" s="269">
        <f t="shared" si="37"/>
        <v>0</v>
      </c>
      <c r="L136" s="270">
        <f t="shared" si="31"/>
        <v>0</v>
      </c>
      <c r="M136" s="97"/>
      <c r="N136" s="97"/>
      <c r="O136" s="271"/>
      <c r="P136" s="271"/>
      <c r="Q136" s="271"/>
      <c r="R136" s="271"/>
      <c r="S136" s="271"/>
      <c r="T136" s="271"/>
    </row>
    <row r="137" spans="1:20" s="230" customFormat="1" ht="15">
      <c r="A137" s="267">
        <f t="shared" si="29"/>
        <v>48152</v>
      </c>
      <c r="B137" s="269">
        <f t="shared" si="42"/>
        <v>68988.305664062471</v>
      </c>
      <c r="C137" s="269">
        <f t="shared" si="42"/>
        <v>68988.305664062471</v>
      </c>
      <c r="D137" s="269"/>
      <c r="E137" s="269"/>
      <c r="F137" s="269">
        <f t="shared" si="41"/>
        <v>-68988.305664062471</v>
      </c>
      <c r="G137" s="269">
        <f t="shared" si="41"/>
        <v>-68988.305664062471</v>
      </c>
      <c r="H137" s="269">
        <f t="shared" si="40"/>
        <v>0</v>
      </c>
      <c r="I137" s="269">
        <f t="shared" si="40"/>
        <v>0</v>
      </c>
      <c r="J137" s="269">
        <f t="shared" si="28"/>
        <v>0</v>
      </c>
      <c r="K137" s="269">
        <f t="shared" si="37"/>
        <v>0</v>
      </c>
      <c r="L137" s="270">
        <f t="shared" si="31"/>
        <v>0</v>
      </c>
      <c r="M137" s="97"/>
      <c r="N137" s="97"/>
      <c r="O137" s="271"/>
      <c r="P137" s="271"/>
      <c r="Q137" s="271"/>
      <c r="R137" s="271"/>
      <c r="S137" s="271"/>
      <c r="T137" s="271"/>
    </row>
    <row r="138" spans="1:20" s="230" customFormat="1" ht="15">
      <c r="A138" s="267">
        <f t="shared" si="29"/>
        <v>48182</v>
      </c>
      <c r="B138" s="269">
        <f t="shared" si="42"/>
        <v>68988.305664062471</v>
      </c>
      <c r="C138" s="269">
        <f t="shared" si="42"/>
        <v>68988.305664062471</v>
      </c>
      <c r="D138" s="269"/>
      <c r="E138" s="269"/>
      <c r="F138" s="269">
        <f t="shared" si="41"/>
        <v>-68988.305664062471</v>
      </c>
      <c r="G138" s="269">
        <f t="shared" si="41"/>
        <v>-68988.305664062471</v>
      </c>
      <c r="H138" s="269">
        <f t="shared" si="40"/>
        <v>0</v>
      </c>
      <c r="I138" s="269">
        <f t="shared" si="40"/>
        <v>0</v>
      </c>
      <c r="J138" s="269">
        <f t="shared" si="28"/>
        <v>0</v>
      </c>
      <c r="K138" s="269">
        <f t="shared" si="37"/>
        <v>0</v>
      </c>
      <c r="L138" s="270">
        <f t="shared" si="31"/>
        <v>0</v>
      </c>
      <c r="M138" s="97"/>
      <c r="N138" s="97"/>
      <c r="O138" s="271"/>
      <c r="P138" s="271"/>
      <c r="Q138" s="271"/>
      <c r="R138" s="271"/>
      <c r="S138" s="271"/>
      <c r="T138" s="271"/>
    </row>
    <row r="139" spans="1:20" s="230" customFormat="1" ht="15">
      <c r="A139" s="267">
        <f t="shared" si="29"/>
        <v>48213</v>
      </c>
      <c r="B139" s="269">
        <f t="shared" si="42"/>
        <v>68988.305664062471</v>
      </c>
      <c r="C139" s="269">
        <f t="shared" si="42"/>
        <v>68988.305664062471</v>
      </c>
      <c r="D139" s="269"/>
      <c r="E139" s="269"/>
      <c r="F139" s="269">
        <f t="shared" si="41"/>
        <v>-68988.305664062471</v>
      </c>
      <c r="G139" s="269">
        <f t="shared" si="41"/>
        <v>-68988.305664062471</v>
      </c>
      <c r="H139" s="269">
        <f t="shared" si="40"/>
        <v>0</v>
      </c>
      <c r="I139" s="269">
        <f t="shared" si="40"/>
        <v>0</v>
      </c>
      <c r="J139" s="269">
        <f t="shared" si="28"/>
        <v>0</v>
      </c>
      <c r="K139" s="269">
        <f t="shared" si="37"/>
        <v>0</v>
      </c>
      <c r="L139" s="270">
        <f t="shared" si="31"/>
        <v>0</v>
      </c>
      <c r="M139" s="97"/>
      <c r="N139" s="97"/>
      <c r="O139" s="271"/>
      <c r="P139" s="271"/>
      <c r="Q139" s="271"/>
      <c r="R139" s="271"/>
      <c r="S139" s="271"/>
      <c r="T139" s="271"/>
    </row>
    <row r="140" spans="1:20" s="230" customFormat="1" ht="15">
      <c r="A140" s="267">
        <f t="shared" si="29"/>
        <v>48244</v>
      </c>
      <c r="B140" s="269">
        <f t="shared" si="42"/>
        <v>68988.305664062471</v>
      </c>
      <c r="C140" s="269">
        <f t="shared" si="42"/>
        <v>68988.305664062471</v>
      </c>
      <c r="D140" s="269"/>
      <c r="E140" s="269"/>
      <c r="F140" s="269">
        <f t="shared" si="41"/>
        <v>-68988.305664062471</v>
      </c>
      <c r="G140" s="269">
        <f t="shared" si="41"/>
        <v>-68988.305664062471</v>
      </c>
      <c r="H140" s="269">
        <f t="shared" si="40"/>
        <v>0</v>
      </c>
      <c r="I140" s="269">
        <f t="shared" si="40"/>
        <v>0</v>
      </c>
      <c r="J140" s="269">
        <f t="shared" si="28"/>
        <v>0</v>
      </c>
      <c r="K140" s="269">
        <f t="shared" si="37"/>
        <v>0</v>
      </c>
      <c r="L140" s="270">
        <f t="shared" si="31"/>
        <v>0</v>
      </c>
      <c r="M140" s="97"/>
      <c r="N140" s="97"/>
      <c r="O140" s="271"/>
      <c r="P140" s="271"/>
      <c r="Q140" s="271"/>
      <c r="R140" s="271"/>
      <c r="S140" s="271"/>
      <c r="T140" s="271"/>
    </row>
    <row r="141" spans="1:20" s="230" customFormat="1" ht="15">
      <c r="A141" s="267">
        <f t="shared" si="29"/>
        <v>48273</v>
      </c>
      <c r="B141" s="269">
        <f t="shared" si="42"/>
        <v>68988.305664062471</v>
      </c>
      <c r="C141" s="269">
        <f t="shared" si="42"/>
        <v>68988.305664062471</v>
      </c>
      <c r="D141" s="269"/>
      <c r="E141" s="269"/>
      <c r="F141" s="269">
        <f t="shared" si="41"/>
        <v>-68988.305664062471</v>
      </c>
      <c r="G141" s="269">
        <f t="shared" si="41"/>
        <v>-68988.305664062471</v>
      </c>
      <c r="H141" s="269">
        <f t="shared" si="40"/>
        <v>0</v>
      </c>
      <c r="I141" s="269">
        <f t="shared" si="40"/>
        <v>0</v>
      </c>
      <c r="J141" s="269">
        <f t="shared" si="28"/>
        <v>0</v>
      </c>
      <c r="K141" s="269">
        <f t="shared" si="37"/>
        <v>0</v>
      </c>
      <c r="L141" s="270">
        <f t="shared" si="31"/>
        <v>0</v>
      </c>
      <c r="M141" s="97"/>
      <c r="N141" s="97"/>
      <c r="O141" s="271"/>
      <c r="P141" s="271"/>
      <c r="Q141" s="271"/>
      <c r="R141" s="271"/>
      <c r="S141" s="271"/>
      <c r="T141" s="271"/>
    </row>
    <row r="142" spans="1:20" s="230" customFormat="1" ht="15">
      <c r="A142" s="267">
        <f t="shared" si="29"/>
        <v>48304</v>
      </c>
      <c r="B142" s="269">
        <f t="shared" si="42"/>
        <v>68988.305664062471</v>
      </c>
      <c r="C142" s="269">
        <f t="shared" si="42"/>
        <v>68988.305664062471</v>
      </c>
      <c r="D142" s="269"/>
      <c r="E142" s="269"/>
      <c r="F142" s="269">
        <f t="shared" si="41"/>
        <v>-68988.305664062471</v>
      </c>
      <c r="G142" s="269">
        <f t="shared" si="41"/>
        <v>-68988.305664062471</v>
      </c>
      <c r="H142" s="269">
        <f t="shared" si="40"/>
        <v>0</v>
      </c>
      <c r="I142" s="269">
        <f t="shared" si="40"/>
        <v>0</v>
      </c>
      <c r="J142" s="269">
        <f t="shared" si="28"/>
        <v>0</v>
      </c>
      <c r="K142" s="269">
        <f t="shared" si="37"/>
        <v>0</v>
      </c>
      <c r="L142" s="270">
        <f t="shared" si="31"/>
        <v>0</v>
      </c>
      <c r="M142" s="97"/>
      <c r="N142" s="97"/>
      <c r="O142" s="271"/>
      <c r="P142" s="271"/>
      <c r="Q142" s="271"/>
      <c r="R142" s="271"/>
      <c r="S142" s="271"/>
      <c r="T142" s="271"/>
    </row>
    <row r="143" spans="1:20" s="230" customFormat="1" ht="15">
      <c r="A143" s="267">
        <f t="shared" si="29"/>
        <v>48334</v>
      </c>
      <c r="B143" s="269">
        <f t="shared" si="42"/>
        <v>68988.305664062471</v>
      </c>
      <c r="C143" s="269">
        <f t="shared" si="42"/>
        <v>68988.305664062471</v>
      </c>
      <c r="D143" s="269"/>
      <c r="E143" s="269"/>
      <c r="F143" s="269">
        <f t="shared" si="41"/>
        <v>-68988.305664062471</v>
      </c>
      <c r="G143" s="269">
        <f t="shared" si="41"/>
        <v>-68988.305664062471</v>
      </c>
      <c r="H143" s="269">
        <f t="shared" si="40"/>
        <v>0</v>
      </c>
      <c r="I143" s="269">
        <f t="shared" si="40"/>
        <v>0</v>
      </c>
      <c r="J143" s="269">
        <f t="shared" si="28"/>
        <v>0</v>
      </c>
      <c r="K143" s="269">
        <f t="shared" si="37"/>
        <v>0</v>
      </c>
      <c r="L143" s="270">
        <f t="shared" si="31"/>
        <v>0</v>
      </c>
      <c r="M143" s="97"/>
      <c r="N143" s="97"/>
      <c r="O143" s="271"/>
      <c r="P143" s="271"/>
      <c r="Q143" s="271"/>
      <c r="R143" s="271"/>
      <c r="S143" s="271"/>
      <c r="T143" s="271"/>
    </row>
    <row r="144" spans="1:20" s="230" customFormat="1" ht="15">
      <c r="A144" s="267">
        <f t="shared" si="29"/>
        <v>48365</v>
      </c>
      <c r="B144" s="269">
        <f t="shared" si="42"/>
        <v>68988.305664062471</v>
      </c>
      <c r="C144" s="269">
        <f t="shared" si="42"/>
        <v>68988.305664062471</v>
      </c>
      <c r="D144" s="269"/>
      <c r="E144" s="269"/>
      <c r="F144" s="269">
        <f t="shared" si="41"/>
        <v>-68988.305664062471</v>
      </c>
      <c r="G144" s="269">
        <f t="shared" si="41"/>
        <v>-68988.305664062471</v>
      </c>
      <c r="H144" s="269">
        <f t="shared" si="40"/>
        <v>0</v>
      </c>
      <c r="I144" s="269">
        <f t="shared" si="40"/>
        <v>0</v>
      </c>
      <c r="J144" s="269">
        <f t="shared" si="28"/>
        <v>0</v>
      </c>
      <c r="K144" s="269">
        <f t="shared" si="37"/>
        <v>0</v>
      </c>
      <c r="L144" s="270">
        <f t="shared" si="31"/>
        <v>0</v>
      </c>
      <c r="M144" s="97"/>
      <c r="N144" s="97"/>
      <c r="O144" s="271"/>
      <c r="P144" s="271"/>
      <c r="Q144" s="271"/>
      <c r="R144" s="271"/>
      <c r="S144" s="271"/>
      <c r="T144" s="271"/>
    </row>
    <row r="145" spans="1:20" s="230" customFormat="1" ht="15">
      <c r="A145" s="267">
        <f t="shared" si="29"/>
        <v>48395</v>
      </c>
      <c r="B145" s="269">
        <f t="shared" si="42"/>
        <v>68988.305664062471</v>
      </c>
      <c r="C145" s="269">
        <f t="shared" si="42"/>
        <v>68988.305664062471</v>
      </c>
      <c r="D145" s="269"/>
      <c r="E145" s="269"/>
      <c r="F145" s="269">
        <f t="shared" si="41"/>
        <v>-68988.305664062471</v>
      </c>
      <c r="G145" s="269">
        <f t="shared" si="41"/>
        <v>-68988.305664062471</v>
      </c>
      <c r="H145" s="269">
        <f t="shared" si="40"/>
        <v>0</v>
      </c>
      <c r="I145" s="269">
        <f t="shared" si="40"/>
        <v>0</v>
      </c>
      <c r="J145" s="269">
        <f t="shared" si="28"/>
        <v>0</v>
      </c>
      <c r="K145" s="269">
        <f t="shared" si="37"/>
        <v>0</v>
      </c>
      <c r="L145" s="270">
        <f t="shared" si="31"/>
        <v>0</v>
      </c>
      <c r="M145" s="97"/>
      <c r="N145" s="97"/>
      <c r="O145" s="271"/>
      <c r="P145" s="271"/>
      <c r="Q145" s="271"/>
      <c r="R145" s="271"/>
      <c r="S145" s="271"/>
      <c r="T145" s="271"/>
    </row>
    <row r="146" spans="1:20" s="230" customFormat="1" ht="15">
      <c r="A146" s="267">
        <f t="shared" si="29"/>
        <v>48426</v>
      </c>
      <c r="B146" s="269">
        <f t="shared" si="42"/>
        <v>68988.305664062471</v>
      </c>
      <c r="C146" s="269">
        <f t="shared" si="42"/>
        <v>68988.305664062471</v>
      </c>
      <c r="D146" s="269"/>
      <c r="E146" s="269"/>
      <c r="F146" s="269">
        <f t="shared" si="41"/>
        <v>-68988.305664062471</v>
      </c>
      <c r="G146" s="269">
        <f t="shared" si="41"/>
        <v>-68988.305664062471</v>
      </c>
      <c r="H146" s="269">
        <f t="shared" si="40"/>
        <v>0</v>
      </c>
      <c r="I146" s="269">
        <f t="shared" si="40"/>
        <v>0</v>
      </c>
      <c r="J146" s="269">
        <f t="shared" si="28"/>
        <v>0</v>
      </c>
      <c r="K146" s="269">
        <f t="shared" si="37"/>
        <v>0</v>
      </c>
      <c r="L146" s="270">
        <f t="shared" si="31"/>
        <v>0</v>
      </c>
      <c r="M146" s="97"/>
      <c r="N146" s="97"/>
      <c r="O146" s="271"/>
      <c r="P146" s="271"/>
      <c r="Q146" s="271"/>
      <c r="R146" s="271"/>
      <c r="S146" s="271"/>
      <c r="T146" s="271"/>
    </row>
    <row r="147" spans="1:20" s="230" customFormat="1" ht="15">
      <c r="A147" s="267">
        <f t="shared" si="29"/>
        <v>48457</v>
      </c>
      <c r="B147" s="269">
        <f t="shared" si="42"/>
        <v>68988.305664062471</v>
      </c>
      <c r="C147" s="269">
        <f t="shared" si="42"/>
        <v>68988.305664062471</v>
      </c>
      <c r="D147" s="269"/>
      <c r="E147" s="269"/>
      <c r="F147" s="269">
        <f t="shared" si="41"/>
        <v>-68988.305664062471</v>
      </c>
      <c r="G147" s="269">
        <f t="shared" si="41"/>
        <v>-68988.305664062471</v>
      </c>
      <c r="H147" s="269">
        <f t="shared" si="40"/>
        <v>0</v>
      </c>
      <c r="I147" s="269">
        <f t="shared" si="40"/>
        <v>0</v>
      </c>
      <c r="J147" s="269">
        <f t="shared" si="28"/>
        <v>0</v>
      </c>
      <c r="K147" s="269">
        <f t="shared" si="37"/>
        <v>0</v>
      </c>
      <c r="L147" s="270">
        <f t="shared" si="31"/>
        <v>0</v>
      </c>
      <c r="M147" s="97"/>
      <c r="N147" s="97"/>
      <c r="O147" s="271"/>
      <c r="P147" s="271"/>
      <c r="Q147" s="271"/>
      <c r="R147" s="271"/>
      <c r="S147" s="271"/>
      <c r="T147" s="271"/>
    </row>
    <row r="148" spans="1:20" s="230" customFormat="1" ht="15">
      <c r="A148" s="267">
        <f t="shared" si="29"/>
        <v>48487</v>
      </c>
      <c r="B148" s="269">
        <f t="shared" si="42"/>
        <v>68988.305664062471</v>
      </c>
      <c r="C148" s="269">
        <f t="shared" si="42"/>
        <v>68988.305664062471</v>
      </c>
      <c r="D148" s="269"/>
      <c r="E148" s="269"/>
      <c r="F148" s="269">
        <f t="shared" si="41"/>
        <v>-68988.305664062471</v>
      </c>
      <c r="G148" s="269">
        <f t="shared" si="41"/>
        <v>-68988.305664062471</v>
      </c>
      <c r="H148" s="269">
        <f t="shared" si="40"/>
        <v>0</v>
      </c>
      <c r="I148" s="269">
        <f t="shared" si="40"/>
        <v>0</v>
      </c>
      <c r="J148" s="269">
        <f t="shared" si="28"/>
        <v>0</v>
      </c>
      <c r="K148" s="269">
        <f t="shared" ref="K148:K154" si="43">-J148*$K$15</f>
        <v>0</v>
      </c>
      <c r="L148" s="270">
        <f t="shared" si="31"/>
        <v>0</v>
      </c>
      <c r="M148" s="97"/>
      <c r="N148" s="97"/>
      <c r="O148" s="271"/>
      <c r="P148" s="271"/>
      <c r="Q148" s="271"/>
      <c r="R148" s="271"/>
      <c r="S148" s="271"/>
      <c r="T148" s="271"/>
    </row>
    <row r="149" spans="1:20" s="230" customFormat="1" ht="15">
      <c r="A149" s="267">
        <f t="shared" si="29"/>
        <v>48518</v>
      </c>
      <c r="B149" s="269">
        <f t="shared" si="42"/>
        <v>68988.305664062471</v>
      </c>
      <c r="C149" s="269">
        <f t="shared" si="42"/>
        <v>68988.305664062471</v>
      </c>
      <c r="D149" s="269"/>
      <c r="E149" s="269"/>
      <c r="F149" s="269">
        <f t="shared" ref="F149:G154" si="44">F148-D149</f>
        <v>-68988.305664062471</v>
      </c>
      <c r="G149" s="269">
        <f t="shared" si="44"/>
        <v>-68988.305664062471</v>
      </c>
      <c r="H149" s="269">
        <f t="shared" si="40"/>
        <v>0</v>
      </c>
      <c r="I149" s="269">
        <f t="shared" si="40"/>
        <v>0</v>
      </c>
      <c r="J149" s="269">
        <f t="shared" ref="J149:J154" si="45">I149-H149</f>
        <v>0</v>
      </c>
      <c r="K149" s="269">
        <f t="shared" si="43"/>
        <v>0</v>
      </c>
      <c r="L149" s="270">
        <f t="shared" si="31"/>
        <v>0</v>
      </c>
      <c r="M149" s="97"/>
      <c r="N149" s="97"/>
      <c r="O149" s="271"/>
      <c r="P149" s="271"/>
      <c r="Q149" s="271"/>
      <c r="R149" s="271"/>
      <c r="S149" s="271"/>
      <c r="T149" s="271"/>
    </row>
    <row r="150" spans="1:20" s="230" customFormat="1" ht="15">
      <c r="A150" s="267">
        <f t="shared" ref="A150:A154" si="46">EOMONTH(A149,1)</f>
        <v>48548</v>
      </c>
      <c r="B150" s="269">
        <f t="shared" si="42"/>
        <v>68988.305664062471</v>
      </c>
      <c r="C150" s="269">
        <f t="shared" si="42"/>
        <v>68988.305664062471</v>
      </c>
      <c r="D150" s="269"/>
      <c r="E150" s="269"/>
      <c r="F150" s="269">
        <f t="shared" si="44"/>
        <v>-68988.305664062471</v>
      </c>
      <c r="G150" s="269">
        <f t="shared" si="44"/>
        <v>-68988.305664062471</v>
      </c>
      <c r="H150" s="269">
        <f t="shared" si="40"/>
        <v>0</v>
      </c>
      <c r="I150" s="269">
        <f t="shared" si="40"/>
        <v>0</v>
      </c>
      <c r="J150" s="269">
        <f t="shared" si="45"/>
        <v>0</v>
      </c>
      <c r="K150" s="269">
        <f t="shared" si="43"/>
        <v>0</v>
      </c>
      <c r="L150" s="270">
        <f t="shared" si="31"/>
        <v>0</v>
      </c>
      <c r="M150" s="97"/>
      <c r="N150" s="97"/>
      <c r="O150" s="271"/>
      <c r="P150" s="271"/>
      <c r="Q150" s="271"/>
      <c r="R150" s="271"/>
      <c r="S150" s="271"/>
      <c r="T150" s="271"/>
    </row>
    <row r="151" spans="1:20" s="230" customFormat="1" ht="15">
      <c r="A151" s="267">
        <f t="shared" si="46"/>
        <v>48579</v>
      </c>
      <c r="B151" s="269">
        <f t="shared" si="42"/>
        <v>68988.305664062471</v>
      </c>
      <c r="C151" s="269">
        <f t="shared" si="42"/>
        <v>68988.305664062471</v>
      </c>
      <c r="D151" s="269"/>
      <c r="E151" s="269"/>
      <c r="F151" s="269">
        <f t="shared" si="44"/>
        <v>-68988.305664062471</v>
      </c>
      <c r="G151" s="269">
        <f t="shared" si="44"/>
        <v>-68988.305664062471</v>
      </c>
      <c r="H151" s="269">
        <f t="shared" si="40"/>
        <v>0</v>
      </c>
      <c r="I151" s="269">
        <f t="shared" si="40"/>
        <v>0</v>
      </c>
      <c r="J151" s="269">
        <f t="shared" si="45"/>
        <v>0</v>
      </c>
      <c r="K151" s="269">
        <f t="shared" si="43"/>
        <v>0</v>
      </c>
      <c r="L151" s="270">
        <f t="shared" si="31"/>
        <v>0</v>
      </c>
      <c r="M151" s="97"/>
      <c r="N151" s="97"/>
      <c r="O151" s="271"/>
      <c r="P151" s="271"/>
      <c r="Q151" s="271"/>
      <c r="R151" s="271"/>
      <c r="S151" s="271"/>
      <c r="T151" s="271"/>
    </row>
    <row r="152" spans="1:20" s="230" customFormat="1" ht="15">
      <c r="A152" s="267">
        <f t="shared" si="46"/>
        <v>48610</v>
      </c>
      <c r="B152" s="269">
        <f t="shared" si="42"/>
        <v>68988.305664062471</v>
      </c>
      <c r="C152" s="269">
        <f t="shared" si="42"/>
        <v>68988.305664062471</v>
      </c>
      <c r="D152" s="269"/>
      <c r="E152" s="269"/>
      <c r="F152" s="269">
        <f t="shared" si="44"/>
        <v>-68988.305664062471</v>
      </c>
      <c r="G152" s="269">
        <f t="shared" si="44"/>
        <v>-68988.305664062471</v>
      </c>
      <c r="H152" s="269">
        <f t="shared" si="40"/>
        <v>0</v>
      </c>
      <c r="I152" s="269">
        <f t="shared" si="40"/>
        <v>0</v>
      </c>
      <c r="J152" s="269">
        <f t="shared" si="45"/>
        <v>0</v>
      </c>
      <c r="K152" s="269">
        <f t="shared" si="43"/>
        <v>0</v>
      </c>
      <c r="L152" s="270">
        <f t="shared" ref="L152:L154" si="47">-K152+K151</f>
        <v>0</v>
      </c>
      <c r="M152" s="97"/>
      <c r="N152" s="97"/>
      <c r="O152" s="271"/>
      <c r="P152" s="271"/>
      <c r="Q152" s="271"/>
      <c r="R152" s="271"/>
      <c r="S152" s="271"/>
      <c r="T152" s="271"/>
    </row>
    <row r="153" spans="1:20" s="230" customFormat="1" ht="15">
      <c r="A153" s="267">
        <f t="shared" si="46"/>
        <v>48638</v>
      </c>
      <c r="B153" s="269">
        <f t="shared" si="42"/>
        <v>68988.305664062471</v>
      </c>
      <c r="C153" s="269">
        <f t="shared" si="42"/>
        <v>68988.305664062471</v>
      </c>
      <c r="D153" s="269"/>
      <c r="E153" s="269"/>
      <c r="F153" s="269">
        <f t="shared" si="44"/>
        <v>-68988.305664062471</v>
      </c>
      <c r="G153" s="269">
        <f t="shared" si="44"/>
        <v>-68988.305664062471</v>
      </c>
      <c r="H153" s="269">
        <f t="shared" si="40"/>
        <v>0</v>
      </c>
      <c r="I153" s="269">
        <f t="shared" si="40"/>
        <v>0</v>
      </c>
      <c r="J153" s="269">
        <f t="shared" si="45"/>
        <v>0</v>
      </c>
      <c r="K153" s="269">
        <f t="shared" si="43"/>
        <v>0</v>
      </c>
      <c r="L153" s="270">
        <f t="shared" si="47"/>
        <v>0</v>
      </c>
      <c r="M153" s="97"/>
      <c r="N153" s="97"/>
      <c r="O153" s="271"/>
      <c r="P153" s="271"/>
      <c r="Q153" s="271"/>
      <c r="R153" s="271"/>
      <c r="S153" s="271"/>
      <c r="T153" s="271"/>
    </row>
    <row r="154" spans="1:20" s="230" customFormat="1" ht="15">
      <c r="A154" s="267">
        <f t="shared" si="46"/>
        <v>48669</v>
      </c>
      <c r="B154" s="269">
        <f t="shared" si="42"/>
        <v>68988.305664062471</v>
      </c>
      <c r="C154" s="269">
        <f t="shared" si="42"/>
        <v>68988.305664062471</v>
      </c>
      <c r="D154" s="269"/>
      <c r="E154" s="269"/>
      <c r="F154" s="269">
        <f t="shared" si="44"/>
        <v>-68988.305664062471</v>
      </c>
      <c r="G154" s="269">
        <f t="shared" si="44"/>
        <v>-68988.305664062471</v>
      </c>
      <c r="H154" s="269">
        <f t="shared" si="40"/>
        <v>0</v>
      </c>
      <c r="I154" s="269">
        <f t="shared" si="40"/>
        <v>0</v>
      </c>
      <c r="J154" s="269">
        <f t="shared" si="45"/>
        <v>0</v>
      </c>
      <c r="K154" s="269">
        <f t="shared" si="43"/>
        <v>0</v>
      </c>
      <c r="L154" s="270">
        <f t="shared" si="47"/>
        <v>0</v>
      </c>
      <c r="M154" s="97"/>
      <c r="N154" s="97"/>
      <c r="O154" s="271"/>
      <c r="P154" s="271"/>
      <c r="Q154" s="271"/>
      <c r="R154" s="271"/>
      <c r="S154" s="271"/>
      <c r="T154" s="271"/>
    </row>
    <row r="155" spans="1:20" ht="6" customHeight="1" thickBot="1">
      <c r="A155" s="276"/>
      <c r="B155" s="277"/>
      <c r="C155" s="277"/>
      <c r="D155" s="277"/>
      <c r="E155" s="277"/>
      <c r="F155" s="277"/>
      <c r="G155" s="277"/>
      <c r="H155" s="277"/>
      <c r="I155" s="277"/>
      <c r="J155" s="277"/>
      <c r="K155" s="277"/>
      <c r="L155" s="278"/>
      <c r="M155" s="97"/>
      <c r="N155" s="97"/>
      <c r="O155" s="279"/>
      <c r="P155" s="279"/>
      <c r="Q155" s="279"/>
      <c r="R155" s="279"/>
      <c r="S155" s="279"/>
      <c r="T155" s="279"/>
    </row>
    <row r="156" spans="1:20" s="230" customFormat="1" ht="15">
      <c r="A156" s="280"/>
      <c r="B156" s="281"/>
      <c r="C156" s="281"/>
      <c r="D156" s="282"/>
      <c r="E156" s="282"/>
      <c r="F156" s="283"/>
      <c r="G156" s="281"/>
      <c r="H156" s="281"/>
      <c r="I156" s="281"/>
      <c r="J156" s="281"/>
      <c r="K156" s="281"/>
      <c r="L156" s="281"/>
      <c r="M156" s="97"/>
      <c r="N156" s="97"/>
      <c r="O156" s="97"/>
    </row>
    <row r="157" spans="1:20" ht="15">
      <c r="A157" s="97"/>
      <c r="B157" s="97"/>
      <c r="C157" s="97"/>
      <c r="D157" s="227"/>
      <c r="E157" s="97"/>
      <c r="F157" s="97"/>
      <c r="G157" s="227"/>
      <c r="H157" s="97"/>
      <c r="I157" s="97"/>
      <c r="J157" s="97"/>
      <c r="K157" s="97"/>
      <c r="L157" s="97"/>
      <c r="M157" s="97"/>
      <c r="N157" s="97"/>
      <c r="O157" s="97"/>
    </row>
    <row r="158" spans="1:20" ht="15">
      <c r="A158" s="97"/>
      <c r="B158" s="97"/>
      <c r="C158" s="97"/>
      <c r="D158" s="227"/>
      <c r="E158" s="97"/>
      <c r="F158" s="97"/>
      <c r="G158" s="97"/>
      <c r="H158" s="97"/>
      <c r="I158" s="97"/>
      <c r="J158" s="97"/>
      <c r="K158" s="97"/>
      <c r="L158" s="97"/>
      <c r="M158" s="97"/>
      <c r="N158" s="97"/>
      <c r="O158" s="97"/>
      <c r="P158" s="97"/>
      <c r="Q158" s="97"/>
    </row>
    <row r="159" spans="1:20" ht="15">
      <c r="A159" s="284"/>
      <c r="B159" s="97"/>
      <c r="C159" s="97"/>
      <c r="D159" s="97"/>
      <c r="E159" s="97"/>
      <c r="F159" s="97"/>
      <c r="G159" s="97"/>
      <c r="H159" s="97"/>
      <c r="I159" s="97"/>
      <c r="J159" s="97"/>
      <c r="K159" s="97"/>
      <c r="L159" s="97"/>
      <c r="M159" s="97"/>
      <c r="N159" s="97"/>
      <c r="O159" s="97"/>
      <c r="P159" s="97"/>
      <c r="Q159" s="97"/>
    </row>
    <row r="160" spans="1:20" ht="15">
      <c r="A160" s="97"/>
      <c r="B160" s="97"/>
      <c r="C160" s="97"/>
      <c r="D160" s="97"/>
      <c r="E160" s="97"/>
      <c r="F160" s="97"/>
      <c r="G160" s="97"/>
      <c r="H160" s="97"/>
      <c r="I160" s="97"/>
      <c r="J160" s="97"/>
      <c r="K160" s="97"/>
      <c r="L160" s="97"/>
      <c r="M160" s="97"/>
      <c r="N160" s="97"/>
    </row>
    <row r="161" spans="1:15" ht="15">
      <c r="A161" s="97"/>
      <c r="B161" s="97"/>
      <c r="C161" s="97"/>
      <c r="D161" s="97"/>
      <c r="E161" s="97"/>
      <c r="F161" s="97"/>
      <c r="G161" s="97"/>
      <c r="H161" s="97"/>
      <c r="I161" s="97"/>
      <c r="J161" s="97"/>
      <c r="K161" s="97"/>
      <c r="L161" s="97"/>
      <c r="M161" s="97"/>
      <c r="N161" s="97"/>
      <c r="O161"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49"/>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2023</v>
      </c>
      <c r="C4" s="222">
        <f>+B4+1</f>
        <v>2024</v>
      </c>
      <c r="D4" s="222">
        <f t="shared" ref="D4:E4" si="0">+C4+1</f>
        <v>2025</v>
      </c>
      <c r="E4" s="222">
        <f t="shared" si="0"/>
        <v>2026</v>
      </c>
      <c r="F4" s="222">
        <f>+E4+1</f>
        <v>2027</v>
      </c>
      <c r="G4" s="222">
        <f t="shared" ref="G4:P4" si="1">+F4+1</f>
        <v>2028</v>
      </c>
      <c r="H4" s="222">
        <f t="shared" si="1"/>
        <v>2029</v>
      </c>
      <c r="I4" s="222">
        <f t="shared" si="1"/>
        <v>2030</v>
      </c>
      <c r="J4" s="222">
        <f t="shared" si="1"/>
        <v>2031</v>
      </c>
      <c r="K4" s="222">
        <f t="shared" si="1"/>
        <v>2032</v>
      </c>
      <c r="L4" s="222">
        <f t="shared" si="1"/>
        <v>2033</v>
      </c>
      <c r="M4" s="222">
        <f t="shared" si="1"/>
        <v>2034</v>
      </c>
      <c r="N4" s="222">
        <f t="shared" si="1"/>
        <v>2035</v>
      </c>
      <c r="O4" s="222">
        <f t="shared" si="1"/>
        <v>2036</v>
      </c>
      <c r="P4" s="222">
        <f t="shared" si="1"/>
        <v>2037</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2038</v>
      </c>
      <c r="C7" s="222">
        <f>+B7+1</f>
        <v>2039</v>
      </c>
      <c r="D7" s="222">
        <f>+C7+1</f>
        <v>2040</v>
      </c>
      <c r="E7" s="222">
        <f>+D7+1</f>
        <v>2041</v>
      </c>
      <c r="F7" s="222">
        <f>+E7+1</f>
        <v>2042</v>
      </c>
      <c r="G7" s="222">
        <f>+F7+1</f>
        <v>2043</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3" t="s">
        <v>356</v>
      </c>
      <c r="M17" s="263" t="s">
        <v>357</v>
      </c>
    </row>
    <row r="18" spans="1:20" ht="7.5" customHeight="1">
      <c r="A18" s="264"/>
      <c r="B18" s="265"/>
      <c r="C18" s="265"/>
      <c r="D18" s="265"/>
      <c r="E18" s="265"/>
      <c r="F18" s="265"/>
      <c r="G18" s="265"/>
      <c r="H18" s="265"/>
      <c r="I18" s="265"/>
      <c r="J18" s="265"/>
      <c r="K18" s="265"/>
      <c r="L18" s="266"/>
      <c r="M18" s="266"/>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44957</v>
      </c>
      <c r="B20" s="269">
        <f>C20</f>
        <v>33427.008885035437</v>
      </c>
      <c r="C20" s="269">
        <f>'EV Capex Summary'!$J$57/12</f>
        <v>33427.008885035437</v>
      </c>
      <c r="D20" s="269">
        <f>B27*$B$5/8</f>
        <v>4776.7195696715635</v>
      </c>
      <c r="E20" s="269">
        <f>C20*E$12/12</f>
        <v>557.11681475059061</v>
      </c>
      <c r="F20" s="269">
        <f>-D20</f>
        <v>-4776.7195696715635</v>
      </c>
      <c r="G20" s="269">
        <f>-E20</f>
        <v>-557.11681475059061</v>
      </c>
      <c r="H20" s="269">
        <f t="shared" ref="H20:I38" si="2">B20+F20</f>
        <v>28650.289315363872</v>
      </c>
      <c r="I20" s="269">
        <f t="shared" si="2"/>
        <v>32869.892070284848</v>
      </c>
      <c r="J20" s="269">
        <f>I20-H20</f>
        <v>4219.6027549209757</v>
      </c>
      <c r="K20" s="269">
        <f t="shared" ref="K20:K51" si="3">-J20*$K$15</f>
        <v>-886.11657853340489</v>
      </c>
      <c r="L20" s="269">
        <f>-K20</f>
        <v>886.11657853340489</v>
      </c>
      <c r="M20" s="270">
        <f>I20+K20</f>
        <v>31983.775491751443</v>
      </c>
      <c r="N20" s="271"/>
      <c r="O20" s="271"/>
      <c r="P20" s="271"/>
      <c r="Q20" s="271"/>
      <c r="R20" s="271"/>
      <c r="S20" s="271"/>
      <c r="T20" s="271"/>
    </row>
    <row r="21" spans="1:20" s="230" customFormat="1">
      <c r="A21" s="267">
        <f>EOMONTH(A20,1)</f>
        <v>44985</v>
      </c>
      <c r="B21" s="269">
        <f t="shared" ref="B21:B31" si="4">C21</f>
        <v>66854.017770070874</v>
      </c>
      <c r="C21" s="269">
        <f>'EV Capex Summary'!$J$57/12+C20</f>
        <v>66854.017770070874</v>
      </c>
      <c r="D21" s="269">
        <f t="shared" ref="D21:D27" si="5">B28*$B$5/8</f>
        <v>5373.809515880509</v>
      </c>
      <c r="E21" s="269">
        <f>C21*E$12/12</f>
        <v>1114.2336295011812</v>
      </c>
      <c r="F21" s="269">
        <f t="shared" ref="F21:G36" si="6">F20-D21</f>
        <v>-10150.529085552073</v>
      </c>
      <c r="G21" s="269">
        <f t="shared" si="6"/>
        <v>-1671.3504442517719</v>
      </c>
      <c r="H21" s="269">
        <f t="shared" si="2"/>
        <v>56703.488684518801</v>
      </c>
      <c r="I21" s="269">
        <f t="shared" si="2"/>
        <v>65182.6673258191</v>
      </c>
      <c r="J21" s="269">
        <f t="shared" ref="J21:J84" si="7">I21-H21</f>
        <v>8479.1786413002992</v>
      </c>
      <c r="K21" s="269">
        <f t="shared" si="3"/>
        <v>-1780.6275146730627</v>
      </c>
      <c r="L21" s="269">
        <f t="shared" ref="L21:L84" si="8">-K21+K20</f>
        <v>894.51093613965782</v>
      </c>
      <c r="M21" s="270">
        <f t="shared" ref="M21:M84" si="9">I21+K21</f>
        <v>63402.039811146038</v>
      </c>
      <c r="N21" s="271"/>
      <c r="O21" s="271"/>
      <c r="P21" s="271"/>
      <c r="Q21" s="271"/>
      <c r="R21" s="271"/>
      <c r="S21" s="271"/>
      <c r="T21" s="271"/>
    </row>
    <row r="22" spans="1:20" s="230" customFormat="1">
      <c r="A22" s="267">
        <f t="shared" ref="A22:A85" si="10">EOMONTH(A21,1)</f>
        <v>45016</v>
      </c>
      <c r="B22" s="269">
        <f t="shared" si="4"/>
        <v>100281.02665510631</v>
      </c>
      <c r="C22" s="269">
        <f>'EV Capex Summary'!$J$57/12+C21</f>
        <v>100281.02665510631</v>
      </c>
      <c r="D22" s="269">
        <f t="shared" si="5"/>
        <v>5970.8994620894537</v>
      </c>
      <c r="E22" s="269">
        <f t="shared" ref="E22:E74" si="11">C22*E$12/12</f>
        <v>1671.3504442517722</v>
      </c>
      <c r="F22" s="269">
        <f t="shared" si="6"/>
        <v>-16121.428547641526</v>
      </c>
      <c r="G22" s="269">
        <f t="shared" si="6"/>
        <v>-3342.7008885035439</v>
      </c>
      <c r="H22" s="269">
        <f t="shared" si="2"/>
        <v>84159.598107464786</v>
      </c>
      <c r="I22" s="269">
        <f t="shared" si="2"/>
        <v>96938.325766602764</v>
      </c>
      <c r="J22" s="269">
        <f t="shared" si="7"/>
        <v>12778.727659137978</v>
      </c>
      <c r="K22" s="269">
        <f t="shared" si="3"/>
        <v>-2683.532808418975</v>
      </c>
      <c r="L22" s="269">
        <f t="shared" si="8"/>
        <v>902.90529374591233</v>
      </c>
      <c r="M22" s="270">
        <f t="shared" si="9"/>
        <v>94254.792958183796</v>
      </c>
      <c r="N22" s="271"/>
      <c r="O22" s="271"/>
      <c r="P22" s="271"/>
      <c r="Q22" s="271"/>
      <c r="R22" s="271"/>
      <c r="S22" s="271"/>
      <c r="T22" s="271"/>
    </row>
    <row r="23" spans="1:20" s="230" customFormat="1">
      <c r="A23" s="267">
        <f t="shared" si="10"/>
        <v>45046</v>
      </c>
      <c r="B23" s="269">
        <f t="shared" si="4"/>
        <v>133708.03554014175</v>
      </c>
      <c r="C23" s="269">
        <f>'EV Capex Summary'!$J$57/12+C22</f>
        <v>133708.03554014175</v>
      </c>
      <c r="D23" s="269">
        <f t="shared" si="5"/>
        <v>6567.9894082983992</v>
      </c>
      <c r="E23" s="269">
        <f t="shared" si="11"/>
        <v>2228.4672590023624</v>
      </c>
      <c r="F23" s="269">
        <f t="shared" si="6"/>
        <v>-22689.417955939927</v>
      </c>
      <c r="G23" s="269">
        <f t="shared" si="6"/>
        <v>-5571.1681475059067</v>
      </c>
      <c r="H23" s="269">
        <f t="shared" si="2"/>
        <v>111018.61758420183</v>
      </c>
      <c r="I23" s="269">
        <f t="shared" si="2"/>
        <v>128136.86739263585</v>
      </c>
      <c r="J23" s="269">
        <f t="shared" si="7"/>
        <v>17118.249808434019</v>
      </c>
      <c r="K23" s="269">
        <f t="shared" si="3"/>
        <v>-3594.8324597711439</v>
      </c>
      <c r="L23" s="269">
        <f t="shared" si="8"/>
        <v>911.29965135216889</v>
      </c>
      <c r="M23" s="270">
        <f t="shared" si="9"/>
        <v>124542.0349328647</v>
      </c>
      <c r="N23" s="272"/>
      <c r="O23" s="273"/>
      <c r="P23" s="271"/>
      <c r="Q23" s="271"/>
      <c r="R23" s="271"/>
      <c r="S23" s="271"/>
      <c r="T23" s="271"/>
    </row>
    <row r="24" spans="1:20" s="230" customFormat="1">
      <c r="A24" s="267">
        <f t="shared" si="10"/>
        <v>45077</v>
      </c>
      <c r="B24" s="269">
        <f t="shared" si="4"/>
        <v>167135.04442517718</v>
      </c>
      <c r="C24" s="269">
        <f>'EV Capex Summary'!$J$57/12+C23</f>
        <v>167135.04442517718</v>
      </c>
      <c r="D24" s="269">
        <f t="shared" si="5"/>
        <v>7165.0793545073439</v>
      </c>
      <c r="E24" s="269">
        <f t="shared" si="11"/>
        <v>2785.5840737529529</v>
      </c>
      <c r="F24" s="269">
        <f t="shared" si="6"/>
        <v>-29854.49731044727</v>
      </c>
      <c r="G24" s="269">
        <f t="shared" si="6"/>
        <v>-8356.7522212588592</v>
      </c>
      <c r="H24" s="269">
        <f t="shared" si="2"/>
        <v>137280.54711472991</v>
      </c>
      <c r="I24" s="269">
        <f t="shared" si="2"/>
        <v>158778.29220391833</v>
      </c>
      <c r="J24" s="269">
        <f t="shared" si="7"/>
        <v>21497.745089188422</v>
      </c>
      <c r="K24" s="269">
        <f t="shared" si="3"/>
        <v>-4514.5264687295685</v>
      </c>
      <c r="L24" s="269">
        <f t="shared" si="8"/>
        <v>919.69400895842455</v>
      </c>
      <c r="M24" s="270">
        <f t="shared" si="9"/>
        <v>154263.76573518876</v>
      </c>
      <c r="N24" s="271"/>
      <c r="O24" s="271"/>
      <c r="P24" s="271"/>
      <c r="Q24" s="271"/>
      <c r="R24" s="271"/>
      <c r="S24" s="271"/>
      <c r="T24" s="271"/>
    </row>
    <row r="25" spans="1:20" s="230" customFormat="1">
      <c r="A25" s="267">
        <f t="shared" si="10"/>
        <v>45107</v>
      </c>
      <c r="B25" s="269">
        <f t="shared" si="4"/>
        <v>200562.05331021262</v>
      </c>
      <c r="C25" s="269">
        <f>'EV Capex Summary'!$J$57/12+C24</f>
        <v>200562.05331021262</v>
      </c>
      <c r="D25" s="269">
        <f t="shared" si="5"/>
        <v>7165.0793545073439</v>
      </c>
      <c r="E25" s="269">
        <f t="shared" si="11"/>
        <v>3342.7008885035443</v>
      </c>
      <c r="F25" s="269">
        <f t="shared" si="6"/>
        <v>-37019.576664954613</v>
      </c>
      <c r="G25" s="269">
        <f t="shared" si="6"/>
        <v>-11699.453109762404</v>
      </c>
      <c r="H25" s="269">
        <f t="shared" si="2"/>
        <v>163542.47664525802</v>
      </c>
      <c r="I25" s="269">
        <f t="shared" si="2"/>
        <v>188862.60020045022</v>
      </c>
      <c r="J25" s="269">
        <f t="shared" si="7"/>
        <v>25320.1235551922</v>
      </c>
      <c r="K25" s="269">
        <f t="shared" si="3"/>
        <v>-5317.2259465903617</v>
      </c>
      <c r="L25" s="269">
        <f t="shared" si="8"/>
        <v>802.69947786079319</v>
      </c>
      <c r="M25" s="270">
        <f t="shared" si="9"/>
        <v>183545.37425385986</v>
      </c>
      <c r="N25" s="271"/>
      <c r="O25" s="271"/>
      <c r="P25" s="271"/>
      <c r="Q25" s="271"/>
      <c r="R25" s="271"/>
      <c r="S25" s="271"/>
      <c r="T25" s="271"/>
    </row>
    <row r="26" spans="1:20" s="230" customFormat="1">
      <c r="A26" s="267">
        <f t="shared" si="10"/>
        <v>45138</v>
      </c>
      <c r="B26" s="269">
        <f t="shared" si="4"/>
        <v>233989.06219524806</v>
      </c>
      <c r="C26" s="269">
        <f>'EV Capex Summary'!$J$57/12+C25</f>
        <v>233989.06219524806</v>
      </c>
      <c r="D26" s="269">
        <f t="shared" si="5"/>
        <v>7165.0793545073439</v>
      </c>
      <c r="E26" s="269">
        <f t="shared" si="11"/>
        <v>3899.8177032541348</v>
      </c>
      <c r="F26" s="269">
        <f t="shared" si="6"/>
        <v>-44184.65601946196</v>
      </c>
      <c r="G26" s="269">
        <f t="shared" si="6"/>
        <v>-15599.270813016539</v>
      </c>
      <c r="H26" s="269">
        <f t="shared" si="2"/>
        <v>189804.40617578611</v>
      </c>
      <c r="I26" s="269">
        <f t="shared" si="2"/>
        <v>218389.79138223152</v>
      </c>
      <c r="J26" s="269">
        <f t="shared" si="7"/>
        <v>28585.385206445411</v>
      </c>
      <c r="K26" s="269">
        <f t="shared" si="3"/>
        <v>-6002.9308933535358</v>
      </c>
      <c r="L26" s="269">
        <f t="shared" si="8"/>
        <v>685.70494676317412</v>
      </c>
      <c r="M26" s="270">
        <f t="shared" si="9"/>
        <v>212386.86048887798</v>
      </c>
      <c r="N26" s="271"/>
      <c r="O26" s="271"/>
      <c r="P26" s="271"/>
      <c r="Q26" s="271"/>
      <c r="R26" s="271"/>
      <c r="S26" s="271"/>
      <c r="T26" s="271"/>
    </row>
    <row r="27" spans="1:20" s="230" customFormat="1">
      <c r="A27" s="267">
        <f t="shared" si="10"/>
        <v>45169</v>
      </c>
      <c r="B27" s="269">
        <f t="shared" si="4"/>
        <v>267416.07108028349</v>
      </c>
      <c r="C27" s="269">
        <f>'EV Capex Summary'!$J$57/12+C26</f>
        <v>267416.07108028349</v>
      </c>
      <c r="D27" s="269">
        <f t="shared" si="5"/>
        <v>7165.0793545073439</v>
      </c>
      <c r="E27" s="269">
        <f t="shared" si="11"/>
        <v>4456.9345180047249</v>
      </c>
      <c r="F27" s="269">
        <f t="shared" si="6"/>
        <v>-51349.735373969306</v>
      </c>
      <c r="G27" s="269">
        <f t="shared" si="6"/>
        <v>-20056.205331021265</v>
      </c>
      <c r="H27" s="269">
        <f t="shared" si="2"/>
        <v>216066.33570631419</v>
      </c>
      <c r="I27" s="269">
        <f t="shared" si="2"/>
        <v>247359.86574926222</v>
      </c>
      <c r="J27" s="269">
        <f t="shared" si="7"/>
        <v>31293.530042948027</v>
      </c>
      <c r="K27" s="269">
        <f t="shared" si="3"/>
        <v>-6571.6413090190854</v>
      </c>
      <c r="L27" s="269">
        <f t="shared" si="8"/>
        <v>568.71041566554959</v>
      </c>
      <c r="M27" s="270">
        <f t="shared" si="9"/>
        <v>240788.22444024312</v>
      </c>
      <c r="N27" s="271"/>
      <c r="O27" s="271"/>
      <c r="P27" s="271"/>
      <c r="Q27" s="271"/>
      <c r="R27" s="271"/>
      <c r="S27" s="271"/>
      <c r="T27" s="271"/>
    </row>
    <row r="28" spans="1:20" s="230" customFormat="1">
      <c r="A28" s="267">
        <f t="shared" si="10"/>
        <v>45199</v>
      </c>
      <c r="B28" s="269">
        <f t="shared" si="4"/>
        <v>300843.0799653189</v>
      </c>
      <c r="C28" s="269">
        <f>'EV Capex Summary'!$J$57/12+C27</f>
        <v>300843.0799653189</v>
      </c>
      <c r="D28" s="269">
        <f t="shared" ref="D28:D39" si="12">B28*$C$5/12</f>
        <v>6139.7058569588835</v>
      </c>
      <c r="E28" s="269">
        <f t="shared" si="11"/>
        <v>5014.0513327553153</v>
      </c>
      <c r="F28" s="269">
        <f t="shared" si="6"/>
        <v>-57489.441230928191</v>
      </c>
      <c r="G28" s="269">
        <f t="shared" si="6"/>
        <v>-25070.256663776581</v>
      </c>
      <c r="H28" s="269">
        <f t="shared" si="2"/>
        <v>243353.63873439073</v>
      </c>
      <c r="I28" s="269">
        <f t="shared" si="2"/>
        <v>275772.82330154232</v>
      </c>
      <c r="J28" s="269">
        <f t="shared" si="7"/>
        <v>32419.184567151591</v>
      </c>
      <c r="K28" s="269">
        <f t="shared" si="3"/>
        <v>-6808.0287591018341</v>
      </c>
      <c r="L28" s="269">
        <f t="shared" si="8"/>
        <v>236.38745008274873</v>
      </c>
      <c r="M28" s="270">
        <f t="shared" si="9"/>
        <v>268964.7945424405</v>
      </c>
      <c r="N28" s="271"/>
      <c r="O28" s="271"/>
      <c r="P28" s="271"/>
      <c r="Q28" s="271"/>
      <c r="R28" s="271"/>
      <c r="S28" s="271"/>
      <c r="T28" s="271"/>
    </row>
    <row r="29" spans="1:20" s="230" customFormat="1">
      <c r="A29" s="267">
        <f t="shared" si="10"/>
        <v>45230</v>
      </c>
      <c r="B29" s="269">
        <f t="shared" si="4"/>
        <v>334270.08885035431</v>
      </c>
      <c r="C29" s="269">
        <f>'EV Capex Summary'!$J$57/12+C28</f>
        <v>334270.08885035431</v>
      </c>
      <c r="D29" s="269">
        <f t="shared" si="12"/>
        <v>6821.895396620981</v>
      </c>
      <c r="E29" s="269">
        <f t="shared" si="11"/>
        <v>5571.1681475059049</v>
      </c>
      <c r="F29" s="269">
        <f t="shared" si="6"/>
        <v>-64311.336627549172</v>
      </c>
      <c r="G29" s="269">
        <f t="shared" si="6"/>
        <v>-30641.424811282486</v>
      </c>
      <c r="H29" s="269">
        <f t="shared" si="2"/>
        <v>269958.75222280517</v>
      </c>
      <c r="I29" s="269">
        <f t="shared" si="2"/>
        <v>303628.66403907182</v>
      </c>
      <c r="J29" s="269">
        <f t="shared" si="7"/>
        <v>33669.911816266656</v>
      </c>
      <c r="K29" s="269">
        <f t="shared" si="3"/>
        <v>-7070.681481415998</v>
      </c>
      <c r="L29" s="269">
        <f t="shared" si="8"/>
        <v>262.65272231416384</v>
      </c>
      <c r="M29" s="270">
        <f t="shared" si="9"/>
        <v>296557.98255765584</v>
      </c>
      <c r="N29" s="271"/>
      <c r="O29" s="271"/>
      <c r="P29" s="271"/>
      <c r="Q29" s="271"/>
      <c r="R29" s="271"/>
      <c r="S29" s="271"/>
      <c r="T29" s="271"/>
    </row>
    <row r="30" spans="1:20" s="230" customFormat="1">
      <c r="A30" s="267">
        <f t="shared" si="10"/>
        <v>45260</v>
      </c>
      <c r="B30" s="269">
        <f t="shared" si="4"/>
        <v>367697.09773538972</v>
      </c>
      <c r="C30" s="269">
        <f>'EV Capex Summary'!$J$57/12+C29</f>
        <v>367697.09773538972</v>
      </c>
      <c r="D30" s="269">
        <f t="shared" si="12"/>
        <v>7504.0849362830786</v>
      </c>
      <c r="E30" s="269">
        <f t="shared" si="11"/>
        <v>6128.2849622564963</v>
      </c>
      <c r="F30" s="269">
        <f t="shared" si="6"/>
        <v>-71815.421563832249</v>
      </c>
      <c r="G30" s="269">
        <f t="shared" si="6"/>
        <v>-36769.709773538983</v>
      </c>
      <c r="H30" s="269">
        <f t="shared" si="2"/>
        <v>295881.67617155745</v>
      </c>
      <c r="I30" s="269">
        <f t="shared" si="2"/>
        <v>330927.38796185073</v>
      </c>
      <c r="J30" s="269">
        <f t="shared" si="7"/>
        <v>35045.711790293281</v>
      </c>
      <c r="K30" s="269">
        <f t="shared" si="3"/>
        <v>-7359.5994759615887</v>
      </c>
      <c r="L30" s="269">
        <f t="shared" si="8"/>
        <v>288.91799454559077</v>
      </c>
      <c r="M30" s="270">
        <f t="shared" si="9"/>
        <v>323567.78848588915</v>
      </c>
      <c r="N30" s="271"/>
      <c r="O30" s="271"/>
      <c r="P30" s="271"/>
      <c r="Q30" s="271"/>
      <c r="R30" s="271"/>
      <c r="S30" s="271"/>
      <c r="T30" s="271"/>
    </row>
    <row r="31" spans="1:20" s="230" customFormat="1">
      <c r="A31" s="267">
        <f t="shared" si="10"/>
        <v>45291</v>
      </c>
      <c r="B31" s="269">
        <f t="shared" si="4"/>
        <v>401124.10662042513</v>
      </c>
      <c r="C31" s="269">
        <f>'EV Capex Summary'!$J$57/12+C30</f>
        <v>401124.10662042513</v>
      </c>
      <c r="D31" s="269">
        <f t="shared" si="12"/>
        <v>8186.2744759451771</v>
      </c>
      <c r="E31" s="269">
        <f t="shared" si="11"/>
        <v>6685.4017770070859</v>
      </c>
      <c r="F31" s="269">
        <f t="shared" si="6"/>
        <v>-80001.696039777424</v>
      </c>
      <c r="G31" s="269">
        <f t="shared" si="6"/>
        <v>-43455.111550546069</v>
      </c>
      <c r="H31" s="269">
        <f t="shared" si="2"/>
        <v>321122.4105806477</v>
      </c>
      <c r="I31" s="269">
        <f t="shared" si="2"/>
        <v>357668.99506987905</v>
      </c>
      <c r="J31" s="269">
        <f t="shared" si="7"/>
        <v>36546.584489231347</v>
      </c>
      <c r="K31" s="269">
        <f t="shared" si="3"/>
        <v>-7674.7827427385828</v>
      </c>
      <c r="L31" s="269">
        <f t="shared" si="8"/>
        <v>315.18326677699406</v>
      </c>
      <c r="M31" s="270">
        <f t="shared" si="9"/>
        <v>349994.21232714044</v>
      </c>
      <c r="N31" s="271"/>
      <c r="O31" s="271"/>
      <c r="P31" s="271"/>
      <c r="Q31" s="271"/>
      <c r="R31" s="271"/>
      <c r="S31" s="271"/>
      <c r="T31" s="271"/>
    </row>
    <row r="32" spans="1:20" s="230" customFormat="1">
      <c r="A32" s="267">
        <f t="shared" si="10"/>
        <v>45322</v>
      </c>
      <c r="B32" s="269">
        <f>B31</f>
        <v>401124.10662042513</v>
      </c>
      <c r="C32" s="269">
        <f t="shared" ref="C32:C95" si="13">C31</f>
        <v>401124.10662042513</v>
      </c>
      <c r="D32" s="269">
        <f t="shared" si="12"/>
        <v>8186.2744759451771</v>
      </c>
      <c r="E32" s="269">
        <f t="shared" si="11"/>
        <v>6685.4017770070859</v>
      </c>
      <c r="F32" s="269">
        <f t="shared" si="6"/>
        <v>-88187.970515722598</v>
      </c>
      <c r="G32" s="269">
        <f t="shared" si="6"/>
        <v>-50140.513327553155</v>
      </c>
      <c r="H32" s="269">
        <f t="shared" si="2"/>
        <v>312936.13610470254</v>
      </c>
      <c r="I32" s="269">
        <f t="shared" si="2"/>
        <v>350983.59329287196</v>
      </c>
      <c r="J32" s="269">
        <f t="shared" si="7"/>
        <v>38047.457188169414</v>
      </c>
      <c r="K32" s="269">
        <f t="shared" si="3"/>
        <v>-7989.9660095155768</v>
      </c>
      <c r="L32" s="269">
        <f t="shared" si="8"/>
        <v>315.18326677699406</v>
      </c>
      <c r="M32" s="270">
        <f t="shared" si="9"/>
        <v>342993.62728335639</v>
      </c>
      <c r="N32" s="271"/>
      <c r="O32" s="271"/>
      <c r="P32" s="271"/>
      <c r="Q32" s="271"/>
      <c r="R32" s="271"/>
      <c r="S32" s="271"/>
      <c r="T32" s="271"/>
    </row>
    <row r="33" spans="1:20" s="230" customFormat="1">
      <c r="A33" s="267">
        <f t="shared" si="10"/>
        <v>45351</v>
      </c>
      <c r="B33" s="269">
        <f t="shared" ref="B33:C96" si="14">B32</f>
        <v>401124.10662042513</v>
      </c>
      <c r="C33" s="269">
        <f t="shared" si="13"/>
        <v>401124.10662042513</v>
      </c>
      <c r="D33" s="269">
        <f t="shared" si="12"/>
        <v>8186.2744759451771</v>
      </c>
      <c r="E33" s="269">
        <f t="shared" si="11"/>
        <v>6685.4017770070859</v>
      </c>
      <c r="F33" s="269">
        <f t="shared" si="6"/>
        <v>-96374.244991667772</v>
      </c>
      <c r="G33" s="269">
        <f t="shared" si="6"/>
        <v>-56825.915104560241</v>
      </c>
      <c r="H33" s="269">
        <f t="shared" si="2"/>
        <v>304749.86162875732</v>
      </c>
      <c r="I33" s="269">
        <f t="shared" si="2"/>
        <v>344298.19151586486</v>
      </c>
      <c r="J33" s="269">
        <f t="shared" si="7"/>
        <v>39548.329887107539</v>
      </c>
      <c r="K33" s="269">
        <f t="shared" si="3"/>
        <v>-8305.1492762925827</v>
      </c>
      <c r="L33" s="269">
        <f t="shared" si="8"/>
        <v>315.18326677700588</v>
      </c>
      <c r="M33" s="270">
        <f t="shared" si="9"/>
        <v>335993.04223957227</v>
      </c>
      <c r="N33" s="274"/>
      <c r="O33" s="271"/>
      <c r="P33" s="271"/>
      <c r="Q33" s="271"/>
      <c r="R33" s="271"/>
      <c r="S33" s="271"/>
      <c r="T33" s="271"/>
    </row>
    <row r="34" spans="1:20" s="230" customFormat="1">
      <c r="A34" s="267">
        <f t="shared" si="10"/>
        <v>45382</v>
      </c>
      <c r="B34" s="269">
        <f t="shared" si="14"/>
        <v>401124.10662042513</v>
      </c>
      <c r="C34" s="269">
        <f t="shared" si="13"/>
        <v>401124.10662042513</v>
      </c>
      <c r="D34" s="269">
        <f t="shared" si="12"/>
        <v>8186.2744759451771</v>
      </c>
      <c r="E34" s="269">
        <f t="shared" si="11"/>
        <v>6685.4017770070859</v>
      </c>
      <c r="F34" s="269">
        <f t="shared" si="6"/>
        <v>-104560.51946761295</v>
      </c>
      <c r="G34" s="269">
        <f t="shared" si="6"/>
        <v>-63511.316881567327</v>
      </c>
      <c r="H34" s="269">
        <f t="shared" si="2"/>
        <v>296563.58715281216</v>
      </c>
      <c r="I34" s="269">
        <f t="shared" si="2"/>
        <v>337612.78973885777</v>
      </c>
      <c r="J34" s="269">
        <f t="shared" si="7"/>
        <v>41049.202586045605</v>
      </c>
      <c r="K34" s="269">
        <f t="shared" si="3"/>
        <v>-8620.3325430695768</v>
      </c>
      <c r="L34" s="269">
        <f t="shared" si="8"/>
        <v>315.18326677699406</v>
      </c>
      <c r="M34" s="270">
        <f t="shared" si="9"/>
        <v>328992.45719578821</v>
      </c>
      <c r="N34" s="274"/>
      <c r="O34" s="271"/>
      <c r="P34" s="271"/>
      <c r="Q34" s="271"/>
      <c r="R34" s="271"/>
      <c r="S34" s="271"/>
      <c r="T34" s="271"/>
    </row>
    <row r="35" spans="1:20" s="230" customFormat="1">
      <c r="A35" s="267">
        <f t="shared" si="10"/>
        <v>45412</v>
      </c>
      <c r="B35" s="269">
        <f t="shared" si="14"/>
        <v>401124.10662042513</v>
      </c>
      <c r="C35" s="269">
        <f t="shared" si="13"/>
        <v>401124.10662042513</v>
      </c>
      <c r="D35" s="269">
        <f t="shared" si="12"/>
        <v>8186.2744759451771</v>
      </c>
      <c r="E35" s="269">
        <f t="shared" si="11"/>
        <v>6685.4017770070859</v>
      </c>
      <c r="F35" s="269">
        <f t="shared" si="6"/>
        <v>-112746.79394355812</v>
      </c>
      <c r="G35" s="269">
        <f t="shared" si="6"/>
        <v>-70196.71865857442</v>
      </c>
      <c r="H35" s="269">
        <f t="shared" si="2"/>
        <v>288377.312676867</v>
      </c>
      <c r="I35" s="269">
        <f t="shared" si="2"/>
        <v>330927.38796185073</v>
      </c>
      <c r="J35" s="269">
        <f t="shared" si="7"/>
        <v>42550.07528498373</v>
      </c>
      <c r="K35" s="269">
        <f t="shared" si="3"/>
        <v>-8935.5158098465836</v>
      </c>
      <c r="L35" s="269">
        <f t="shared" si="8"/>
        <v>315.18326677700679</v>
      </c>
      <c r="M35" s="270">
        <f t="shared" si="9"/>
        <v>321991.87215200416</v>
      </c>
      <c r="N35" s="274"/>
      <c r="O35" s="271"/>
      <c r="P35" s="271"/>
      <c r="Q35" s="271"/>
      <c r="R35" s="271"/>
      <c r="S35" s="271"/>
      <c r="T35" s="271"/>
    </row>
    <row r="36" spans="1:20" s="230" customFormat="1">
      <c r="A36" s="267">
        <f t="shared" si="10"/>
        <v>45443</v>
      </c>
      <c r="B36" s="269">
        <f t="shared" si="14"/>
        <v>401124.10662042513</v>
      </c>
      <c r="C36" s="269">
        <f t="shared" si="13"/>
        <v>401124.10662042513</v>
      </c>
      <c r="D36" s="269">
        <f t="shared" si="12"/>
        <v>8186.2744759451771</v>
      </c>
      <c r="E36" s="269">
        <f t="shared" si="11"/>
        <v>6685.4017770070859</v>
      </c>
      <c r="F36" s="269">
        <f t="shared" si="6"/>
        <v>-120933.0684195033</v>
      </c>
      <c r="G36" s="269">
        <f t="shared" si="6"/>
        <v>-76882.120435581513</v>
      </c>
      <c r="H36" s="269">
        <f t="shared" si="2"/>
        <v>280191.03820092184</v>
      </c>
      <c r="I36" s="269">
        <f t="shared" si="2"/>
        <v>324241.98618484358</v>
      </c>
      <c r="J36" s="269">
        <f t="shared" si="7"/>
        <v>44050.947983921738</v>
      </c>
      <c r="K36" s="269">
        <f t="shared" si="3"/>
        <v>-9250.6990766235649</v>
      </c>
      <c r="L36" s="269">
        <f t="shared" si="8"/>
        <v>315.18326677698133</v>
      </c>
      <c r="M36" s="270">
        <f t="shared" si="9"/>
        <v>314991.28710822004</v>
      </c>
      <c r="N36" s="271"/>
      <c r="O36" s="275"/>
      <c r="P36" s="271"/>
      <c r="Q36" s="271"/>
      <c r="R36" s="271"/>
      <c r="S36" s="271"/>
      <c r="T36" s="271"/>
    </row>
    <row r="37" spans="1:20" s="230" customFormat="1">
      <c r="A37" s="267">
        <f t="shared" si="10"/>
        <v>45473</v>
      </c>
      <c r="B37" s="269">
        <f t="shared" si="14"/>
        <v>401124.10662042513</v>
      </c>
      <c r="C37" s="269">
        <f t="shared" si="13"/>
        <v>401124.10662042513</v>
      </c>
      <c r="D37" s="269">
        <f t="shared" si="12"/>
        <v>8186.2744759451771</v>
      </c>
      <c r="E37" s="269">
        <f t="shared" si="11"/>
        <v>6685.4017770070859</v>
      </c>
      <c r="F37" s="269">
        <f t="shared" ref="F37:G52" si="15">F36-D37</f>
        <v>-129119.34289544847</v>
      </c>
      <c r="G37" s="269">
        <f t="shared" si="15"/>
        <v>-83567.522212588607</v>
      </c>
      <c r="H37" s="269">
        <f t="shared" si="2"/>
        <v>272004.76372497668</v>
      </c>
      <c r="I37" s="269">
        <f t="shared" si="2"/>
        <v>317556.58440783655</v>
      </c>
      <c r="J37" s="269">
        <f t="shared" si="7"/>
        <v>45551.820682859863</v>
      </c>
      <c r="K37" s="269">
        <f t="shared" si="3"/>
        <v>-9565.8823434005717</v>
      </c>
      <c r="L37" s="269">
        <f t="shared" si="8"/>
        <v>315.18326677700679</v>
      </c>
      <c r="M37" s="270">
        <f t="shared" si="9"/>
        <v>307990.70206443599</v>
      </c>
      <c r="N37" s="271"/>
      <c r="O37" s="275"/>
      <c r="P37" s="271"/>
      <c r="Q37" s="271"/>
      <c r="R37" s="271"/>
      <c r="S37" s="271"/>
      <c r="T37" s="271"/>
    </row>
    <row r="38" spans="1:20" s="230" customFormat="1">
      <c r="A38" s="267">
        <f t="shared" si="10"/>
        <v>45504</v>
      </c>
      <c r="B38" s="269">
        <f t="shared" si="14"/>
        <v>401124.10662042513</v>
      </c>
      <c r="C38" s="269">
        <f t="shared" si="13"/>
        <v>401124.10662042513</v>
      </c>
      <c r="D38" s="269">
        <f t="shared" si="12"/>
        <v>8186.2744759451771</v>
      </c>
      <c r="E38" s="269">
        <f t="shared" si="11"/>
        <v>6685.4017770070859</v>
      </c>
      <c r="F38" s="269">
        <f t="shared" si="15"/>
        <v>-137305.61737139366</v>
      </c>
      <c r="G38" s="269">
        <f t="shared" si="15"/>
        <v>-90252.9239895957</v>
      </c>
      <c r="H38" s="269">
        <f t="shared" si="2"/>
        <v>263818.48924903147</v>
      </c>
      <c r="I38" s="269">
        <f t="shared" si="2"/>
        <v>310871.1826308294</v>
      </c>
      <c r="J38" s="269">
        <f t="shared" si="7"/>
        <v>47052.69338179793</v>
      </c>
      <c r="K38" s="269">
        <f t="shared" si="3"/>
        <v>-9881.0656101775658</v>
      </c>
      <c r="L38" s="269">
        <f t="shared" si="8"/>
        <v>315.18326677699406</v>
      </c>
      <c r="M38" s="270">
        <f t="shared" si="9"/>
        <v>300990.11702065181</v>
      </c>
      <c r="N38" s="271"/>
      <c r="O38" s="275"/>
      <c r="P38" s="271"/>
      <c r="Q38" s="271"/>
      <c r="R38" s="271"/>
      <c r="S38" s="271"/>
      <c r="T38" s="271"/>
    </row>
    <row r="39" spans="1:20" s="230" customFormat="1">
      <c r="A39" s="267">
        <f t="shared" si="10"/>
        <v>45535</v>
      </c>
      <c r="B39" s="269">
        <f t="shared" si="14"/>
        <v>401124.10662042513</v>
      </c>
      <c r="C39" s="269">
        <f t="shared" si="13"/>
        <v>401124.10662042513</v>
      </c>
      <c r="D39" s="269">
        <f t="shared" si="12"/>
        <v>8186.2744759451771</v>
      </c>
      <c r="E39" s="269">
        <f t="shared" si="11"/>
        <v>6685.4017770070859</v>
      </c>
      <c r="F39" s="269">
        <f t="shared" si="15"/>
        <v>-145491.89184733885</v>
      </c>
      <c r="G39" s="269">
        <f t="shared" si="15"/>
        <v>-96938.325766602793</v>
      </c>
      <c r="H39" s="269">
        <f t="shared" ref="H39:I74" si="16">B39+F39</f>
        <v>255632.21477308628</v>
      </c>
      <c r="I39" s="269">
        <f t="shared" si="16"/>
        <v>304185.78085382236</v>
      </c>
      <c r="J39" s="269">
        <f t="shared" si="7"/>
        <v>48553.566080736084</v>
      </c>
      <c r="K39" s="269">
        <f t="shared" si="3"/>
        <v>-10196.248876954578</v>
      </c>
      <c r="L39" s="269">
        <f t="shared" si="8"/>
        <v>315.18326677701225</v>
      </c>
      <c r="M39" s="270">
        <f t="shared" si="9"/>
        <v>293989.53197686776</v>
      </c>
      <c r="N39" s="271"/>
      <c r="O39" s="275"/>
      <c r="P39" s="271"/>
      <c r="Q39" s="271"/>
      <c r="R39" s="271"/>
      <c r="S39" s="271"/>
      <c r="T39" s="271"/>
    </row>
    <row r="40" spans="1:20" s="230" customFormat="1">
      <c r="A40" s="267">
        <f t="shared" si="10"/>
        <v>45565</v>
      </c>
      <c r="B40" s="269">
        <f t="shared" si="14"/>
        <v>401124.10662042513</v>
      </c>
      <c r="C40" s="269">
        <f t="shared" si="13"/>
        <v>401124.10662042513</v>
      </c>
      <c r="D40" s="269">
        <f>B40*$D$5/12</f>
        <v>5846.3838539926955</v>
      </c>
      <c r="E40" s="269">
        <f t="shared" si="11"/>
        <v>6685.4017770070859</v>
      </c>
      <c r="F40" s="269">
        <f t="shared" si="15"/>
        <v>-151338.27570133156</v>
      </c>
      <c r="G40" s="269">
        <f t="shared" si="15"/>
        <v>-103623.72754360989</v>
      </c>
      <c r="H40" s="269">
        <f t="shared" si="16"/>
        <v>249785.83091909357</v>
      </c>
      <c r="I40" s="269">
        <f t="shared" si="16"/>
        <v>297500.37907681521</v>
      </c>
      <c r="J40" s="269">
        <f t="shared" si="7"/>
        <v>47714.548157721641</v>
      </c>
      <c r="K40" s="269">
        <f t="shared" si="3"/>
        <v>-10020.055113121545</v>
      </c>
      <c r="L40" s="269">
        <f t="shared" si="8"/>
        <v>-176.19376383303279</v>
      </c>
      <c r="M40" s="270">
        <f t="shared" si="9"/>
        <v>287480.32396369369</v>
      </c>
      <c r="N40" s="271"/>
      <c r="O40" s="275"/>
      <c r="P40" s="271"/>
      <c r="Q40" s="271"/>
      <c r="R40" s="271"/>
      <c r="S40" s="271"/>
      <c r="T40" s="271"/>
    </row>
    <row r="41" spans="1:20" s="230" customFormat="1">
      <c r="A41" s="267">
        <f t="shared" si="10"/>
        <v>45596</v>
      </c>
      <c r="B41" s="269">
        <f t="shared" si="14"/>
        <v>401124.10662042513</v>
      </c>
      <c r="C41" s="269">
        <f t="shared" si="13"/>
        <v>401124.10662042513</v>
      </c>
      <c r="D41" s="269">
        <f t="shared" ref="D41:D51" si="17">B41*$D$5/12</f>
        <v>5846.3838539926955</v>
      </c>
      <c r="E41" s="269">
        <f t="shared" si="11"/>
        <v>6685.4017770070859</v>
      </c>
      <c r="F41" s="269">
        <f t="shared" si="15"/>
        <v>-157184.65955532427</v>
      </c>
      <c r="G41" s="269">
        <f t="shared" si="15"/>
        <v>-110309.12932061698</v>
      </c>
      <c r="H41" s="269">
        <f t="shared" si="16"/>
        <v>243939.44706510086</v>
      </c>
      <c r="I41" s="269">
        <f t="shared" si="16"/>
        <v>290814.97729980818</v>
      </c>
      <c r="J41" s="269">
        <f t="shared" si="7"/>
        <v>46875.530234707316</v>
      </c>
      <c r="K41" s="269">
        <f t="shared" si="3"/>
        <v>-9843.8613492885361</v>
      </c>
      <c r="L41" s="269">
        <f t="shared" si="8"/>
        <v>-176.19376383300914</v>
      </c>
      <c r="M41" s="270">
        <f t="shared" si="9"/>
        <v>280971.11595051963</v>
      </c>
      <c r="N41" s="271"/>
      <c r="O41" s="275"/>
      <c r="P41" s="271"/>
      <c r="Q41" s="271"/>
      <c r="R41" s="271"/>
      <c r="S41" s="271"/>
      <c r="T41" s="271"/>
    </row>
    <row r="42" spans="1:20" s="230" customFormat="1">
      <c r="A42" s="267">
        <f t="shared" si="10"/>
        <v>45626</v>
      </c>
      <c r="B42" s="269">
        <f t="shared" si="14"/>
        <v>401124.10662042513</v>
      </c>
      <c r="C42" s="269">
        <f t="shared" si="13"/>
        <v>401124.10662042513</v>
      </c>
      <c r="D42" s="269">
        <f t="shared" si="17"/>
        <v>5846.3838539926955</v>
      </c>
      <c r="E42" s="269">
        <f t="shared" si="11"/>
        <v>6685.4017770070859</v>
      </c>
      <c r="F42" s="269">
        <f t="shared" si="15"/>
        <v>-163031.04340931698</v>
      </c>
      <c r="G42" s="269">
        <f t="shared" si="15"/>
        <v>-116994.53109762407</v>
      </c>
      <c r="H42" s="269">
        <f t="shared" si="16"/>
        <v>238093.06321110815</v>
      </c>
      <c r="I42" s="269">
        <f t="shared" si="16"/>
        <v>284129.57552280102</v>
      </c>
      <c r="J42" s="269">
        <f t="shared" si="7"/>
        <v>46036.512311692873</v>
      </c>
      <c r="K42" s="269">
        <f t="shared" si="3"/>
        <v>-9667.6675854555033</v>
      </c>
      <c r="L42" s="269">
        <f t="shared" si="8"/>
        <v>-176.19376383303279</v>
      </c>
      <c r="M42" s="270">
        <f t="shared" si="9"/>
        <v>274461.9079373455</v>
      </c>
      <c r="N42" s="271"/>
      <c r="O42" s="275"/>
      <c r="P42" s="271"/>
      <c r="Q42" s="271"/>
      <c r="R42" s="271"/>
      <c r="S42" s="271"/>
      <c r="T42" s="271"/>
    </row>
    <row r="43" spans="1:20" s="230" customFormat="1">
      <c r="A43" s="267">
        <f t="shared" si="10"/>
        <v>45657</v>
      </c>
      <c r="B43" s="269">
        <f t="shared" si="14"/>
        <v>401124.10662042513</v>
      </c>
      <c r="C43" s="269">
        <f t="shared" si="13"/>
        <v>401124.10662042513</v>
      </c>
      <c r="D43" s="269">
        <f t="shared" si="17"/>
        <v>5846.3838539926955</v>
      </c>
      <c r="E43" s="269">
        <f t="shared" si="11"/>
        <v>6685.4017770070859</v>
      </c>
      <c r="F43" s="269">
        <f t="shared" si="15"/>
        <v>-168877.42726330968</v>
      </c>
      <c r="G43" s="269">
        <f t="shared" si="15"/>
        <v>-123679.93287463117</v>
      </c>
      <c r="H43" s="269">
        <f t="shared" si="16"/>
        <v>232246.67935711544</v>
      </c>
      <c r="I43" s="269">
        <f t="shared" si="16"/>
        <v>277444.17374579399</v>
      </c>
      <c r="J43" s="269">
        <f t="shared" si="7"/>
        <v>45197.494388678548</v>
      </c>
      <c r="K43" s="269">
        <f t="shared" si="3"/>
        <v>-9491.4738216224941</v>
      </c>
      <c r="L43" s="269">
        <f t="shared" si="8"/>
        <v>-176.19376383300914</v>
      </c>
      <c r="M43" s="270">
        <f t="shared" si="9"/>
        <v>267952.69992417149</v>
      </c>
      <c r="N43" s="271"/>
      <c r="O43" s="275"/>
      <c r="P43" s="271"/>
      <c r="Q43" s="271"/>
      <c r="R43" s="271"/>
      <c r="S43" s="271"/>
      <c r="T43" s="271"/>
    </row>
    <row r="44" spans="1:20" s="230" customFormat="1">
      <c r="A44" s="267">
        <f t="shared" si="10"/>
        <v>45688</v>
      </c>
      <c r="B44" s="269">
        <f t="shared" si="14"/>
        <v>401124.10662042513</v>
      </c>
      <c r="C44" s="269">
        <f t="shared" si="13"/>
        <v>401124.10662042513</v>
      </c>
      <c r="D44" s="269">
        <f t="shared" si="17"/>
        <v>5846.3838539926955</v>
      </c>
      <c r="E44" s="269">
        <f t="shared" si="11"/>
        <v>6685.4017770070859</v>
      </c>
      <c r="F44" s="269">
        <f t="shared" si="15"/>
        <v>-174723.81111730239</v>
      </c>
      <c r="G44" s="269">
        <f t="shared" si="15"/>
        <v>-130365.33465163826</v>
      </c>
      <c r="H44" s="269">
        <f t="shared" si="16"/>
        <v>226400.29550312273</v>
      </c>
      <c r="I44" s="269">
        <f t="shared" si="16"/>
        <v>270758.77196878684</v>
      </c>
      <c r="J44" s="269">
        <f t="shared" si="7"/>
        <v>44358.476465664105</v>
      </c>
      <c r="K44" s="269">
        <f t="shared" si="3"/>
        <v>-9315.2800577894614</v>
      </c>
      <c r="L44" s="269">
        <f t="shared" si="8"/>
        <v>-176.19376383303279</v>
      </c>
      <c r="M44" s="270">
        <f t="shared" si="9"/>
        <v>261443.49191099737</v>
      </c>
      <c r="N44" s="271"/>
      <c r="O44" s="275"/>
      <c r="P44" s="271"/>
      <c r="Q44" s="271"/>
      <c r="R44" s="271"/>
      <c r="S44" s="271"/>
      <c r="T44" s="271"/>
    </row>
    <row r="45" spans="1:20" s="230" customFormat="1">
      <c r="A45" s="267">
        <f t="shared" si="10"/>
        <v>45716</v>
      </c>
      <c r="B45" s="269">
        <f t="shared" si="14"/>
        <v>401124.10662042513</v>
      </c>
      <c r="C45" s="269">
        <f t="shared" si="13"/>
        <v>401124.10662042513</v>
      </c>
      <c r="D45" s="269">
        <f t="shared" si="17"/>
        <v>5846.3838539926955</v>
      </c>
      <c r="E45" s="269">
        <f t="shared" si="11"/>
        <v>6685.4017770070859</v>
      </c>
      <c r="F45" s="269">
        <f t="shared" si="15"/>
        <v>-180570.1949712951</v>
      </c>
      <c r="G45" s="269">
        <f t="shared" si="15"/>
        <v>-137050.73642864535</v>
      </c>
      <c r="H45" s="269">
        <f t="shared" si="16"/>
        <v>220553.91164913002</v>
      </c>
      <c r="I45" s="269">
        <f t="shared" si="16"/>
        <v>264073.3701917798</v>
      </c>
      <c r="J45" s="269">
        <f t="shared" si="7"/>
        <v>43519.45854264978</v>
      </c>
      <c r="K45" s="269">
        <f t="shared" si="3"/>
        <v>-9139.086293956454</v>
      </c>
      <c r="L45" s="269">
        <f t="shared" si="8"/>
        <v>-176.19376383300732</v>
      </c>
      <c r="M45" s="270">
        <f t="shared" si="9"/>
        <v>254934.28389782336</v>
      </c>
      <c r="N45" s="271"/>
      <c r="O45" s="275"/>
      <c r="P45" s="271"/>
      <c r="Q45" s="271"/>
      <c r="R45" s="271"/>
      <c r="S45" s="271"/>
      <c r="T45" s="271"/>
    </row>
    <row r="46" spans="1:20" s="230" customFormat="1">
      <c r="A46" s="267">
        <f t="shared" si="10"/>
        <v>45747</v>
      </c>
      <c r="B46" s="269">
        <f t="shared" si="14"/>
        <v>401124.10662042513</v>
      </c>
      <c r="C46" s="269">
        <f t="shared" si="13"/>
        <v>401124.10662042513</v>
      </c>
      <c r="D46" s="269">
        <f t="shared" si="17"/>
        <v>5846.3838539926955</v>
      </c>
      <c r="E46" s="269">
        <f t="shared" si="11"/>
        <v>6685.4017770070859</v>
      </c>
      <c r="F46" s="269">
        <f t="shared" si="15"/>
        <v>-186416.57882528781</v>
      </c>
      <c r="G46" s="269">
        <f t="shared" si="15"/>
        <v>-143736.13820565245</v>
      </c>
      <c r="H46" s="269">
        <f t="shared" si="16"/>
        <v>214707.52779513731</v>
      </c>
      <c r="I46" s="269">
        <f t="shared" si="16"/>
        <v>257387.96841477268</v>
      </c>
      <c r="J46" s="269">
        <f t="shared" si="7"/>
        <v>42680.440619635367</v>
      </c>
      <c r="K46" s="269">
        <f t="shared" si="3"/>
        <v>-8962.8925301234267</v>
      </c>
      <c r="L46" s="269">
        <f t="shared" si="8"/>
        <v>-176.19376383302733</v>
      </c>
      <c r="M46" s="270">
        <f t="shared" si="9"/>
        <v>248425.07588464924</v>
      </c>
      <c r="N46" s="271"/>
      <c r="O46" s="275"/>
      <c r="P46" s="271"/>
      <c r="Q46" s="271"/>
      <c r="R46" s="271"/>
      <c r="S46" s="271"/>
      <c r="T46" s="271"/>
    </row>
    <row r="47" spans="1:20" s="230" customFormat="1">
      <c r="A47" s="267">
        <f t="shared" si="10"/>
        <v>45777</v>
      </c>
      <c r="B47" s="269">
        <f t="shared" si="14"/>
        <v>401124.10662042513</v>
      </c>
      <c r="C47" s="269">
        <f t="shared" si="13"/>
        <v>401124.10662042513</v>
      </c>
      <c r="D47" s="269">
        <f t="shared" si="17"/>
        <v>5846.3838539926955</v>
      </c>
      <c r="E47" s="269">
        <f t="shared" si="11"/>
        <v>6685.4017770070859</v>
      </c>
      <c r="F47" s="269">
        <f t="shared" si="15"/>
        <v>-192262.96267928052</v>
      </c>
      <c r="G47" s="269">
        <f t="shared" si="15"/>
        <v>-150421.53998265954</v>
      </c>
      <c r="H47" s="269">
        <f t="shared" si="16"/>
        <v>208861.1439411446</v>
      </c>
      <c r="I47" s="269">
        <f t="shared" si="16"/>
        <v>250702.56663776559</v>
      </c>
      <c r="J47" s="269">
        <f t="shared" si="7"/>
        <v>41841.422696620983</v>
      </c>
      <c r="K47" s="269">
        <f t="shared" si="3"/>
        <v>-8786.6987662904066</v>
      </c>
      <c r="L47" s="269">
        <f t="shared" si="8"/>
        <v>-176.19376383302006</v>
      </c>
      <c r="M47" s="270">
        <f t="shared" si="9"/>
        <v>241915.86787147517</v>
      </c>
      <c r="N47" s="271"/>
      <c r="O47" s="275"/>
      <c r="P47" s="271"/>
      <c r="Q47" s="271"/>
      <c r="R47" s="271"/>
      <c r="S47" s="271"/>
      <c r="T47" s="271"/>
    </row>
    <row r="48" spans="1:20" s="230" customFormat="1">
      <c r="A48" s="267">
        <f t="shared" si="10"/>
        <v>45808</v>
      </c>
      <c r="B48" s="269">
        <f t="shared" si="14"/>
        <v>401124.10662042513</v>
      </c>
      <c r="C48" s="269">
        <f t="shared" si="13"/>
        <v>401124.10662042513</v>
      </c>
      <c r="D48" s="269">
        <f t="shared" si="17"/>
        <v>5846.3838539926955</v>
      </c>
      <c r="E48" s="269">
        <f t="shared" si="11"/>
        <v>6685.4017770070859</v>
      </c>
      <c r="F48" s="269">
        <f t="shared" si="15"/>
        <v>-198109.34653327323</v>
      </c>
      <c r="G48" s="269">
        <f t="shared" si="15"/>
        <v>-157106.94175966663</v>
      </c>
      <c r="H48" s="269">
        <f t="shared" si="16"/>
        <v>203014.7600871519</v>
      </c>
      <c r="I48" s="269">
        <f t="shared" si="16"/>
        <v>244017.16486075849</v>
      </c>
      <c r="J48" s="269">
        <f t="shared" si="7"/>
        <v>41002.404773606599</v>
      </c>
      <c r="K48" s="269">
        <f t="shared" si="3"/>
        <v>-8610.5050024573848</v>
      </c>
      <c r="L48" s="269">
        <f t="shared" si="8"/>
        <v>-176.19376383302188</v>
      </c>
      <c r="M48" s="270">
        <f t="shared" si="9"/>
        <v>235406.65985830111</v>
      </c>
      <c r="N48" s="271"/>
      <c r="O48" s="275"/>
      <c r="P48" s="271"/>
      <c r="Q48" s="271"/>
      <c r="R48" s="271"/>
      <c r="S48" s="271"/>
      <c r="T48" s="271"/>
    </row>
    <row r="49" spans="1:20" s="230" customFormat="1">
      <c r="A49" s="267">
        <f t="shared" si="10"/>
        <v>45838</v>
      </c>
      <c r="B49" s="269">
        <f t="shared" si="14"/>
        <v>401124.10662042513</v>
      </c>
      <c r="C49" s="269">
        <f t="shared" si="13"/>
        <v>401124.10662042513</v>
      </c>
      <c r="D49" s="269">
        <f t="shared" si="17"/>
        <v>5846.3838539926955</v>
      </c>
      <c r="E49" s="269">
        <f t="shared" si="11"/>
        <v>6685.4017770070859</v>
      </c>
      <c r="F49" s="269">
        <f t="shared" si="15"/>
        <v>-203955.73038726594</v>
      </c>
      <c r="G49" s="269">
        <f t="shared" si="15"/>
        <v>-163792.34353667372</v>
      </c>
      <c r="H49" s="269">
        <f t="shared" si="16"/>
        <v>197168.37623315919</v>
      </c>
      <c r="I49" s="269">
        <f t="shared" si="16"/>
        <v>237331.7630837514</v>
      </c>
      <c r="J49" s="269">
        <f t="shared" si="7"/>
        <v>40163.386850592215</v>
      </c>
      <c r="K49" s="269">
        <f t="shared" si="3"/>
        <v>-8434.3112386243647</v>
      </c>
      <c r="L49" s="269">
        <f t="shared" si="8"/>
        <v>-176.19376383302006</v>
      </c>
      <c r="M49" s="270">
        <f t="shared" si="9"/>
        <v>228897.45184512704</v>
      </c>
      <c r="N49" s="271"/>
      <c r="O49" s="275"/>
      <c r="P49" s="271"/>
      <c r="Q49" s="271"/>
      <c r="R49" s="271"/>
      <c r="S49" s="271"/>
      <c r="T49" s="271"/>
    </row>
    <row r="50" spans="1:20" s="230" customFormat="1">
      <c r="A50" s="267">
        <f t="shared" si="10"/>
        <v>45869</v>
      </c>
      <c r="B50" s="269">
        <f t="shared" si="14"/>
        <v>401124.10662042513</v>
      </c>
      <c r="C50" s="269">
        <f t="shared" si="13"/>
        <v>401124.10662042513</v>
      </c>
      <c r="D50" s="269">
        <f t="shared" si="17"/>
        <v>5846.3838539926955</v>
      </c>
      <c r="E50" s="269">
        <f t="shared" si="11"/>
        <v>6685.4017770070859</v>
      </c>
      <c r="F50" s="269">
        <f t="shared" si="15"/>
        <v>-209802.11424125865</v>
      </c>
      <c r="G50" s="269">
        <f t="shared" si="15"/>
        <v>-170477.74531368082</v>
      </c>
      <c r="H50" s="269">
        <f t="shared" si="16"/>
        <v>191321.99237916648</v>
      </c>
      <c r="I50" s="269">
        <f t="shared" si="16"/>
        <v>230646.36130674431</v>
      </c>
      <c r="J50" s="269">
        <f t="shared" si="7"/>
        <v>39324.368927577831</v>
      </c>
      <c r="K50" s="269">
        <f t="shared" si="3"/>
        <v>-8258.1174747913446</v>
      </c>
      <c r="L50" s="269">
        <f t="shared" si="8"/>
        <v>-176.19376383302006</v>
      </c>
      <c r="M50" s="270">
        <f t="shared" si="9"/>
        <v>222388.24383195298</v>
      </c>
      <c r="N50" s="271"/>
      <c r="O50" s="275"/>
      <c r="P50" s="271"/>
      <c r="Q50" s="271"/>
      <c r="R50" s="271"/>
      <c r="S50" s="271"/>
      <c r="T50" s="271"/>
    </row>
    <row r="51" spans="1:20" s="230" customFormat="1">
      <c r="A51" s="267">
        <f t="shared" si="10"/>
        <v>45900</v>
      </c>
      <c r="B51" s="269">
        <f t="shared" si="14"/>
        <v>401124.10662042513</v>
      </c>
      <c r="C51" s="269">
        <f t="shared" si="13"/>
        <v>401124.10662042513</v>
      </c>
      <c r="D51" s="269">
        <f t="shared" si="17"/>
        <v>5846.3838539926955</v>
      </c>
      <c r="E51" s="269">
        <f t="shared" si="11"/>
        <v>6685.4017770070859</v>
      </c>
      <c r="F51" s="269">
        <f t="shared" si="15"/>
        <v>-215648.49809525136</v>
      </c>
      <c r="G51" s="269">
        <f t="shared" si="15"/>
        <v>-177163.14709068791</v>
      </c>
      <c r="H51" s="269">
        <f t="shared" si="16"/>
        <v>185475.60852517377</v>
      </c>
      <c r="I51" s="269">
        <f t="shared" si="16"/>
        <v>223960.95952973721</v>
      </c>
      <c r="J51" s="269">
        <f t="shared" si="7"/>
        <v>38485.351004563447</v>
      </c>
      <c r="K51" s="269">
        <f t="shared" si="3"/>
        <v>-8081.9237109583237</v>
      </c>
      <c r="L51" s="269">
        <f t="shared" si="8"/>
        <v>-176.19376383302097</v>
      </c>
      <c r="M51" s="270">
        <f t="shared" si="9"/>
        <v>215879.03581877888</v>
      </c>
      <c r="N51" s="271"/>
      <c r="O51" s="275"/>
      <c r="P51" s="271"/>
      <c r="Q51" s="271"/>
      <c r="R51" s="271"/>
      <c r="S51" s="271"/>
      <c r="T51" s="271"/>
    </row>
    <row r="52" spans="1:20" s="230" customFormat="1">
      <c r="A52" s="267">
        <f t="shared" si="10"/>
        <v>45930</v>
      </c>
      <c r="B52" s="269">
        <f t="shared" si="14"/>
        <v>401124.10662042513</v>
      </c>
      <c r="C52" s="269">
        <f t="shared" si="13"/>
        <v>401124.10662042513</v>
      </c>
      <c r="D52" s="269">
        <f>B52*$E$5/12</f>
        <v>4175.033409740925</v>
      </c>
      <c r="E52" s="269">
        <f t="shared" si="11"/>
        <v>6685.4017770070859</v>
      </c>
      <c r="F52" s="269">
        <f t="shared" si="15"/>
        <v>-219823.53150499228</v>
      </c>
      <c r="G52" s="269">
        <f t="shared" si="15"/>
        <v>-183848.548867695</v>
      </c>
      <c r="H52" s="269">
        <f t="shared" si="16"/>
        <v>181300.57511543285</v>
      </c>
      <c r="I52" s="269">
        <f t="shared" si="16"/>
        <v>217275.55775273012</v>
      </c>
      <c r="J52" s="269">
        <f t="shared" si="7"/>
        <v>35974.982637297275</v>
      </c>
      <c r="K52" s="269">
        <f t="shared" ref="K52:K83" si="18">-J52*$K$15</f>
        <v>-7554.7463538324273</v>
      </c>
      <c r="L52" s="269">
        <f t="shared" si="8"/>
        <v>-527.17735712589638</v>
      </c>
      <c r="M52" s="270">
        <f t="shared" si="9"/>
        <v>209720.8113988977</v>
      </c>
      <c r="N52" s="271"/>
      <c r="O52" s="275"/>
      <c r="P52" s="271"/>
      <c r="Q52" s="271"/>
      <c r="R52" s="271"/>
      <c r="S52" s="271"/>
      <c r="T52" s="271"/>
    </row>
    <row r="53" spans="1:20" s="230" customFormat="1">
      <c r="A53" s="267">
        <f t="shared" si="10"/>
        <v>45961</v>
      </c>
      <c r="B53" s="269">
        <f t="shared" si="14"/>
        <v>401124.10662042513</v>
      </c>
      <c r="C53" s="269">
        <f t="shared" si="13"/>
        <v>401124.10662042513</v>
      </c>
      <c r="D53" s="269">
        <f t="shared" ref="D53:D63" si="19">B53*$E$5/12</f>
        <v>4175.033409740925</v>
      </c>
      <c r="E53" s="269">
        <f t="shared" si="11"/>
        <v>6685.4017770070859</v>
      </c>
      <c r="F53" s="269">
        <f t="shared" ref="F53:G68" si="20">F52-D53</f>
        <v>-223998.5649147332</v>
      </c>
      <c r="G53" s="269">
        <f t="shared" si="20"/>
        <v>-190533.9506447021</v>
      </c>
      <c r="H53" s="269">
        <f t="shared" si="16"/>
        <v>177125.54170569193</v>
      </c>
      <c r="I53" s="269">
        <f t="shared" si="16"/>
        <v>210590.15597572303</v>
      </c>
      <c r="J53" s="269">
        <f t="shared" si="7"/>
        <v>33464.614270031103</v>
      </c>
      <c r="K53" s="269">
        <f t="shared" si="18"/>
        <v>-7027.5689967065309</v>
      </c>
      <c r="L53" s="269">
        <f t="shared" si="8"/>
        <v>-527.17735712589638</v>
      </c>
      <c r="M53" s="270">
        <f t="shared" si="9"/>
        <v>203562.58697901649</v>
      </c>
      <c r="N53" s="271"/>
      <c r="O53" s="275"/>
      <c r="P53" s="271"/>
      <c r="Q53" s="271"/>
      <c r="R53" s="271"/>
      <c r="S53" s="271"/>
      <c r="T53" s="271"/>
    </row>
    <row r="54" spans="1:20" s="230" customFormat="1">
      <c r="A54" s="267">
        <f t="shared" si="10"/>
        <v>45991</v>
      </c>
      <c r="B54" s="269">
        <f t="shared" si="14"/>
        <v>401124.10662042513</v>
      </c>
      <c r="C54" s="269">
        <f t="shared" si="13"/>
        <v>401124.10662042513</v>
      </c>
      <c r="D54" s="269">
        <f t="shared" si="19"/>
        <v>4175.033409740925</v>
      </c>
      <c r="E54" s="269">
        <f t="shared" si="11"/>
        <v>6685.4017770070859</v>
      </c>
      <c r="F54" s="269">
        <f t="shared" si="20"/>
        <v>-228173.59832447412</v>
      </c>
      <c r="G54" s="269">
        <f t="shared" si="20"/>
        <v>-197219.35242170919</v>
      </c>
      <c r="H54" s="269">
        <f t="shared" si="16"/>
        <v>172950.508295951</v>
      </c>
      <c r="I54" s="269">
        <f t="shared" si="16"/>
        <v>203904.75419871593</v>
      </c>
      <c r="J54" s="269">
        <f t="shared" si="7"/>
        <v>30954.245902764931</v>
      </c>
      <c r="K54" s="269">
        <f t="shared" si="18"/>
        <v>-6500.3916395806355</v>
      </c>
      <c r="L54" s="269">
        <f t="shared" si="8"/>
        <v>-527.17735712589547</v>
      </c>
      <c r="M54" s="270">
        <f t="shared" si="9"/>
        <v>197404.3625591353</v>
      </c>
      <c r="N54" s="271"/>
      <c r="O54" s="275"/>
      <c r="P54" s="271"/>
      <c r="Q54" s="271"/>
      <c r="R54" s="271"/>
      <c r="S54" s="271"/>
      <c r="T54" s="271"/>
    </row>
    <row r="55" spans="1:20" s="230" customFormat="1">
      <c r="A55" s="267">
        <f t="shared" si="10"/>
        <v>46022</v>
      </c>
      <c r="B55" s="269">
        <f t="shared" si="14"/>
        <v>401124.10662042513</v>
      </c>
      <c r="C55" s="269">
        <f t="shared" si="13"/>
        <v>401124.10662042513</v>
      </c>
      <c r="D55" s="269">
        <f t="shared" si="19"/>
        <v>4175.033409740925</v>
      </c>
      <c r="E55" s="269">
        <f t="shared" si="11"/>
        <v>6685.4017770070859</v>
      </c>
      <c r="F55" s="269">
        <f t="shared" si="20"/>
        <v>-232348.63173421504</v>
      </c>
      <c r="G55" s="269">
        <f t="shared" si="20"/>
        <v>-203904.75419871628</v>
      </c>
      <c r="H55" s="269">
        <f t="shared" si="16"/>
        <v>168775.47488621008</v>
      </c>
      <c r="I55" s="269">
        <f t="shared" si="16"/>
        <v>197219.35242170884</v>
      </c>
      <c r="J55" s="269">
        <f t="shared" si="7"/>
        <v>28443.877535498759</v>
      </c>
      <c r="K55" s="269">
        <f t="shared" si="18"/>
        <v>-5973.2142824547391</v>
      </c>
      <c r="L55" s="269">
        <f t="shared" si="8"/>
        <v>-527.17735712589638</v>
      </c>
      <c r="M55" s="270">
        <f t="shared" si="9"/>
        <v>191246.13813925409</v>
      </c>
      <c r="N55" s="271"/>
      <c r="O55" s="275"/>
      <c r="P55" s="271"/>
      <c r="Q55" s="271"/>
      <c r="R55" s="271"/>
      <c r="S55" s="271"/>
      <c r="T55" s="271"/>
    </row>
    <row r="56" spans="1:20" s="230" customFormat="1">
      <c r="A56" s="267">
        <f t="shared" si="10"/>
        <v>46053</v>
      </c>
      <c r="B56" s="269">
        <f t="shared" si="14"/>
        <v>401124.10662042513</v>
      </c>
      <c r="C56" s="269">
        <f t="shared" si="13"/>
        <v>401124.10662042513</v>
      </c>
      <c r="D56" s="269">
        <f t="shared" si="19"/>
        <v>4175.033409740925</v>
      </c>
      <c r="E56" s="269">
        <f t="shared" si="11"/>
        <v>6685.4017770070859</v>
      </c>
      <c r="F56" s="269">
        <f t="shared" si="20"/>
        <v>-236523.66514395596</v>
      </c>
      <c r="G56" s="269">
        <f t="shared" si="20"/>
        <v>-210590.15597572338</v>
      </c>
      <c r="H56" s="269">
        <f t="shared" si="16"/>
        <v>164600.44147646916</v>
      </c>
      <c r="I56" s="269">
        <f t="shared" si="16"/>
        <v>190533.95064470175</v>
      </c>
      <c r="J56" s="269">
        <f t="shared" si="7"/>
        <v>25933.509168232587</v>
      </c>
      <c r="K56" s="269">
        <f t="shared" si="18"/>
        <v>-5446.0369253288427</v>
      </c>
      <c r="L56" s="269">
        <f t="shared" si="8"/>
        <v>-527.17735712589638</v>
      </c>
      <c r="M56" s="270">
        <f t="shared" si="9"/>
        <v>185087.91371937291</v>
      </c>
      <c r="N56" s="271"/>
      <c r="O56" s="275"/>
      <c r="P56" s="271"/>
      <c r="Q56" s="271"/>
      <c r="R56" s="271"/>
      <c r="S56" s="271"/>
      <c r="T56" s="271"/>
    </row>
    <row r="57" spans="1:20" s="230" customFormat="1">
      <c r="A57" s="267">
        <f t="shared" si="10"/>
        <v>46081</v>
      </c>
      <c r="B57" s="269">
        <f t="shared" si="14"/>
        <v>401124.10662042513</v>
      </c>
      <c r="C57" s="269">
        <f t="shared" si="13"/>
        <v>401124.10662042513</v>
      </c>
      <c r="D57" s="269">
        <f t="shared" si="19"/>
        <v>4175.033409740925</v>
      </c>
      <c r="E57" s="269">
        <f t="shared" si="11"/>
        <v>6685.4017770070859</v>
      </c>
      <c r="F57" s="269">
        <f t="shared" si="20"/>
        <v>-240698.69855369689</v>
      </c>
      <c r="G57" s="269">
        <f t="shared" si="20"/>
        <v>-217275.55775273047</v>
      </c>
      <c r="H57" s="269">
        <f t="shared" si="16"/>
        <v>160425.40806672824</v>
      </c>
      <c r="I57" s="269">
        <f t="shared" si="16"/>
        <v>183848.54886769466</v>
      </c>
      <c r="J57" s="269">
        <f t="shared" si="7"/>
        <v>23423.140800966416</v>
      </c>
      <c r="K57" s="269">
        <f t="shared" si="18"/>
        <v>-4918.8595682029472</v>
      </c>
      <c r="L57" s="269">
        <f t="shared" si="8"/>
        <v>-527.17735712589547</v>
      </c>
      <c r="M57" s="270">
        <f t="shared" si="9"/>
        <v>178929.6892994917</v>
      </c>
      <c r="N57" s="271"/>
      <c r="O57" s="275"/>
      <c r="P57" s="271"/>
      <c r="Q57" s="271"/>
      <c r="R57" s="271"/>
      <c r="S57" s="271"/>
      <c r="T57" s="271"/>
    </row>
    <row r="58" spans="1:20" s="230" customFormat="1">
      <c r="A58" s="267">
        <f t="shared" si="10"/>
        <v>46112</v>
      </c>
      <c r="B58" s="269">
        <f t="shared" si="14"/>
        <v>401124.10662042513</v>
      </c>
      <c r="C58" s="269">
        <f t="shared" si="13"/>
        <v>401124.10662042513</v>
      </c>
      <c r="D58" s="269">
        <f t="shared" si="19"/>
        <v>4175.033409740925</v>
      </c>
      <c r="E58" s="269">
        <f t="shared" si="11"/>
        <v>6685.4017770070859</v>
      </c>
      <c r="F58" s="269">
        <f t="shared" si="20"/>
        <v>-244873.73196343781</v>
      </c>
      <c r="G58" s="269">
        <f t="shared" si="20"/>
        <v>-223960.95952973756</v>
      </c>
      <c r="H58" s="269">
        <f t="shared" si="16"/>
        <v>156250.37465698732</v>
      </c>
      <c r="I58" s="269">
        <f t="shared" si="16"/>
        <v>177163.14709068756</v>
      </c>
      <c r="J58" s="269">
        <f t="shared" si="7"/>
        <v>20912.772433700244</v>
      </c>
      <c r="K58" s="269">
        <f t="shared" si="18"/>
        <v>-4391.6822110770509</v>
      </c>
      <c r="L58" s="269">
        <f t="shared" si="8"/>
        <v>-527.17735712589638</v>
      </c>
      <c r="M58" s="270">
        <f t="shared" si="9"/>
        <v>172771.46487961052</v>
      </c>
      <c r="N58" s="271"/>
      <c r="O58" s="275"/>
      <c r="P58" s="271"/>
      <c r="Q58" s="271"/>
      <c r="R58" s="271"/>
      <c r="S58" s="271"/>
      <c r="T58" s="271"/>
    </row>
    <row r="59" spans="1:20" s="230" customFormat="1">
      <c r="A59" s="267">
        <f t="shared" si="10"/>
        <v>46142</v>
      </c>
      <c r="B59" s="269">
        <f t="shared" si="14"/>
        <v>401124.10662042513</v>
      </c>
      <c r="C59" s="269">
        <f t="shared" si="13"/>
        <v>401124.10662042513</v>
      </c>
      <c r="D59" s="269">
        <f t="shared" si="19"/>
        <v>4175.033409740925</v>
      </c>
      <c r="E59" s="269">
        <f t="shared" si="11"/>
        <v>6685.4017770070859</v>
      </c>
      <c r="F59" s="269">
        <f t="shared" si="20"/>
        <v>-249048.76537317873</v>
      </c>
      <c r="G59" s="269">
        <f t="shared" si="20"/>
        <v>-230646.36130674466</v>
      </c>
      <c r="H59" s="269">
        <f t="shared" si="16"/>
        <v>152075.3412472464</v>
      </c>
      <c r="I59" s="269">
        <f t="shared" si="16"/>
        <v>170477.74531368047</v>
      </c>
      <c r="J59" s="269">
        <f t="shared" si="7"/>
        <v>18402.404066434072</v>
      </c>
      <c r="K59" s="269">
        <f t="shared" si="18"/>
        <v>-3864.5048539511549</v>
      </c>
      <c r="L59" s="269">
        <f t="shared" si="8"/>
        <v>-527.17735712589592</v>
      </c>
      <c r="M59" s="270">
        <f t="shared" si="9"/>
        <v>166613.24045972931</v>
      </c>
      <c r="N59" s="271"/>
      <c r="O59" s="271"/>
      <c r="P59" s="271"/>
      <c r="Q59" s="271"/>
      <c r="R59" s="271"/>
      <c r="S59" s="271"/>
      <c r="T59" s="271"/>
    </row>
    <row r="60" spans="1:20" s="230" customFormat="1">
      <c r="A60" s="267">
        <f t="shared" si="10"/>
        <v>46173</v>
      </c>
      <c r="B60" s="269">
        <f t="shared" si="14"/>
        <v>401124.10662042513</v>
      </c>
      <c r="C60" s="269">
        <f t="shared" si="13"/>
        <v>401124.10662042513</v>
      </c>
      <c r="D60" s="269">
        <f t="shared" si="19"/>
        <v>4175.033409740925</v>
      </c>
      <c r="E60" s="269">
        <f t="shared" si="11"/>
        <v>6685.4017770070859</v>
      </c>
      <c r="F60" s="269">
        <f t="shared" si="20"/>
        <v>-253223.79878291965</v>
      </c>
      <c r="G60" s="269">
        <f t="shared" si="20"/>
        <v>-237331.76308375175</v>
      </c>
      <c r="H60" s="269">
        <f t="shared" si="16"/>
        <v>147900.30783750548</v>
      </c>
      <c r="I60" s="269">
        <f t="shared" si="16"/>
        <v>163792.34353667338</v>
      </c>
      <c r="J60" s="269">
        <f t="shared" si="7"/>
        <v>15892.0356991679</v>
      </c>
      <c r="K60" s="269">
        <f t="shared" si="18"/>
        <v>-3337.327496825259</v>
      </c>
      <c r="L60" s="269">
        <f t="shared" si="8"/>
        <v>-527.17735712589592</v>
      </c>
      <c r="M60" s="270">
        <f t="shared" si="9"/>
        <v>160455.01603984812</v>
      </c>
      <c r="N60" s="271"/>
      <c r="O60" s="271"/>
      <c r="P60" s="271"/>
      <c r="Q60" s="271"/>
      <c r="R60" s="271"/>
      <c r="S60" s="271"/>
      <c r="T60" s="271"/>
    </row>
    <row r="61" spans="1:20" s="230" customFormat="1">
      <c r="A61" s="267">
        <f t="shared" si="10"/>
        <v>46203</v>
      </c>
      <c r="B61" s="269">
        <f t="shared" si="14"/>
        <v>401124.10662042513</v>
      </c>
      <c r="C61" s="269">
        <f t="shared" si="13"/>
        <v>401124.10662042513</v>
      </c>
      <c r="D61" s="269">
        <f t="shared" si="19"/>
        <v>4175.033409740925</v>
      </c>
      <c r="E61" s="269">
        <f t="shared" si="11"/>
        <v>6685.4017770070859</v>
      </c>
      <c r="F61" s="269">
        <f t="shared" si="20"/>
        <v>-257398.83219266057</v>
      </c>
      <c r="G61" s="269">
        <f t="shared" si="20"/>
        <v>-244017.16486075884</v>
      </c>
      <c r="H61" s="269">
        <f t="shared" si="16"/>
        <v>143725.27442776455</v>
      </c>
      <c r="I61" s="269">
        <f t="shared" si="16"/>
        <v>157106.94175966628</v>
      </c>
      <c r="J61" s="269">
        <f t="shared" si="7"/>
        <v>13381.667331901728</v>
      </c>
      <c r="K61" s="269">
        <f t="shared" si="18"/>
        <v>-2810.1501396993626</v>
      </c>
      <c r="L61" s="269">
        <f t="shared" si="8"/>
        <v>-527.17735712589638</v>
      </c>
      <c r="M61" s="270">
        <f t="shared" si="9"/>
        <v>154296.79161996691</v>
      </c>
      <c r="N61" s="271"/>
      <c r="O61" s="271"/>
      <c r="P61" s="271"/>
      <c r="Q61" s="271"/>
      <c r="R61" s="271"/>
      <c r="S61" s="271"/>
      <c r="T61" s="271"/>
    </row>
    <row r="62" spans="1:20" s="230" customFormat="1" ht="15">
      <c r="A62" s="267">
        <f t="shared" si="10"/>
        <v>46234</v>
      </c>
      <c r="B62" s="269">
        <f t="shared" si="14"/>
        <v>401124.10662042513</v>
      </c>
      <c r="C62" s="269">
        <f t="shared" si="13"/>
        <v>401124.10662042513</v>
      </c>
      <c r="D62" s="269">
        <f t="shared" si="19"/>
        <v>4175.033409740925</v>
      </c>
      <c r="E62" s="269">
        <f t="shared" si="11"/>
        <v>6685.4017770070859</v>
      </c>
      <c r="F62" s="269">
        <f t="shared" si="20"/>
        <v>-261573.86560240149</v>
      </c>
      <c r="G62" s="269">
        <f t="shared" si="20"/>
        <v>-250702.56663776594</v>
      </c>
      <c r="H62" s="269">
        <f t="shared" si="16"/>
        <v>139550.24101802363</v>
      </c>
      <c r="I62" s="269">
        <f t="shared" si="16"/>
        <v>150421.53998265919</v>
      </c>
      <c r="J62" s="269">
        <f t="shared" si="7"/>
        <v>10871.298964635556</v>
      </c>
      <c r="K62" s="269">
        <f t="shared" si="18"/>
        <v>-2282.9727825734667</v>
      </c>
      <c r="L62" s="269">
        <f t="shared" si="8"/>
        <v>-527.17735712589592</v>
      </c>
      <c r="M62" s="270">
        <f t="shared" si="9"/>
        <v>148138.56720008573</v>
      </c>
      <c r="N62" s="97"/>
      <c r="O62" s="271"/>
      <c r="P62" s="271"/>
      <c r="Q62" s="271"/>
      <c r="R62" s="271"/>
      <c r="S62" s="271"/>
      <c r="T62" s="271"/>
    </row>
    <row r="63" spans="1:20" s="230" customFormat="1" ht="15">
      <c r="A63" s="267">
        <f t="shared" si="10"/>
        <v>46265</v>
      </c>
      <c r="B63" s="269">
        <f t="shared" si="14"/>
        <v>401124.10662042513</v>
      </c>
      <c r="C63" s="269">
        <f t="shared" si="13"/>
        <v>401124.10662042513</v>
      </c>
      <c r="D63" s="269">
        <f t="shared" si="19"/>
        <v>4175.033409740925</v>
      </c>
      <c r="E63" s="269">
        <f t="shared" si="11"/>
        <v>6685.4017770070859</v>
      </c>
      <c r="F63" s="269">
        <f t="shared" si="20"/>
        <v>-265748.89901214244</v>
      </c>
      <c r="G63" s="269">
        <f t="shared" si="20"/>
        <v>-257387.96841477303</v>
      </c>
      <c r="H63" s="269">
        <f t="shared" si="16"/>
        <v>135375.20760828268</v>
      </c>
      <c r="I63" s="269">
        <f t="shared" si="16"/>
        <v>143736.1382056521</v>
      </c>
      <c r="J63" s="269">
        <f t="shared" si="7"/>
        <v>8360.9305973694136</v>
      </c>
      <c r="K63" s="269">
        <f t="shared" si="18"/>
        <v>-1755.7954254475767</v>
      </c>
      <c r="L63" s="269">
        <f t="shared" si="8"/>
        <v>-527.17735712589001</v>
      </c>
      <c r="M63" s="270">
        <f t="shared" si="9"/>
        <v>141980.34278020452</v>
      </c>
      <c r="N63" s="21"/>
      <c r="O63" s="271"/>
      <c r="P63" s="271"/>
      <c r="Q63" s="271"/>
      <c r="R63" s="271"/>
      <c r="S63" s="271"/>
      <c r="T63" s="271"/>
    </row>
    <row r="64" spans="1:20" s="230" customFormat="1" ht="15">
      <c r="A64" s="267">
        <f t="shared" si="10"/>
        <v>46295</v>
      </c>
      <c r="B64" s="269">
        <f t="shared" si="14"/>
        <v>401124.10662042513</v>
      </c>
      <c r="C64" s="269">
        <f t="shared" si="13"/>
        <v>401124.10662042513</v>
      </c>
      <c r="D64" s="269">
        <f t="shared" ref="D64:D75" si="21">B64*$F$5/12</f>
        <v>2985.0318934336642</v>
      </c>
      <c r="E64" s="269">
        <f t="shared" si="11"/>
        <v>6685.4017770070859</v>
      </c>
      <c r="F64" s="269">
        <f t="shared" si="20"/>
        <v>-268733.9309055761</v>
      </c>
      <c r="G64" s="269">
        <f t="shared" si="20"/>
        <v>-264073.37019178009</v>
      </c>
      <c r="H64" s="269">
        <f t="shared" si="16"/>
        <v>132390.17571484903</v>
      </c>
      <c r="I64" s="269">
        <f t="shared" si="16"/>
        <v>137050.73642864503</v>
      </c>
      <c r="J64" s="269">
        <f t="shared" si="7"/>
        <v>4660.5607137960033</v>
      </c>
      <c r="K64" s="269">
        <f t="shared" si="18"/>
        <v>-978.71774989716062</v>
      </c>
      <c r="L64" s="269">
        <f t="shared" si="8"/>
        <v>-777.07767555041607</v>
      </c>
      <c r="M64" s="270">
        <f t="shared" si="9"/>
        <v>136072.01867874787</v>
      </c>
      <c r="N64" s="21"/>
      <c r="O64" s="271"/>
      <c r="P64" s="271"/>
      <c r="Q64" s="271"/>
      <c r="R64" s="271"/>
      <c r="S64" s="271"/>
      <c r="T64" s="271"/>
    </row>
    <row r="65" spans="1:20" s="230" customFormat="1" ht="15">
      <c r="A65" s="267">
        <f t="shared" si="10"/>
        <v>46326</v>
      </c>
      <c r="B65" s="269">
        <f t="shared" si="14"/>
        <v>401124.10662042513</v>
      </c>
      <c r="C65" s="269">
        <f t="shared" si="13"/>
        <v>401124.10662042513</v>
      </c>
      <c r="D65" s="269">
        <f t="shared" si="21"/>
        <v>2985.0318934336642</v>
      </c>
      <c r="E65" s="269">
        <f t="shared" si="11"/>
        <v>6685.4017770070859</v>
      </c>
      <c r="F65" s="269">
        <f t="shared" si="20"/>
        <v>-271718.96279900975</v>
      </c>
      <c r="G65" s="269">
        <f t="shared" si="20"/>
        <v>-270758.77196878719</v>
      </c>
      <c r="H65" s="269">
        <f t="shared" si="16"/>
        <v>129405.14382141537</v>
      </c>
      <c r="I65" s="269">
        <f t="shared" si="16"/>
        <v>130365.33465163794</v>
      </c>
      <c r="J65" s="269">
        <f t="shared" si="7"/>
        <v>960.19083022256382</v>
      </c>
      <c r="K65" s="269">
        <f t="shared" si="18"/>
        <v>-201.6400743467384</v>
      </c>
      <c r="L65" s="269">
        <f t="shared" si="8"/>
        <v>-777.07767555042221</v>
      </c>
      <c r="M65" s="270">
        <f t="shared" si="9"/>
        <v>130163.6945772912</v>
      </c>
      <c r="N65" s="21"/>
      <c r="O65" s="271"/>
      <c r="P65" s="271"/>
      <c r="Q65" s="271"/>
      <c r="R65" s="271"/>
      <c r="S65" s="271"/>
      <c r="T65" s="271"/>
    </row>
    <row r="66" spans="1:20" s="230" customFormat="1" ht="15">
      <c r="A66" s="267">
        <f t="shared" si="10"/>
        <v>46356</v>
      </c>
      <c r="B66" s="269">
        <f t="shared" si="14"/>
        <v>401124.10662042513</v>
      </c>
      <c r="C66" s="269">
        <f t="shared" si="13"/>
        <v>401124.10662042513</v>
      </c>
      <c r="D66" s="269">
        <f t="shared" si="21"/>
        <v>2985.0318934336642</v>
      </c>
      <c r="E66" s="269">
        <f t="shared" si="11"/>
        <v>6685.4017770070859</v>
      </c>
      <c r="F66" s="269">
        <f t="shared" si="20"/>
        <v>-274703.9946924434</v>
      </c>
      <c r="G66" s="269">
        <f t="shared" si="20"/>
        <v>-277444.17374579428</v>
      </c>
      <c r="H66" s="269">
        <f t="shared" si="16"/>
        <v>126420.11192798172</v>
      </c>
      <c r="I66" s="269">
        <f t="shared" si="16"/>
        <v>123679.93287463085</v>
      </c>
      <c r="J66" s="269">
        <f t="shared" si="7"/>
        <v>-2740.1790533508756</v>
      </c>
      <c r="K66" s="269">
        <f t="shared" si="18"/>
        <v>575.43760120368381</v>
      </c>
      <c r="L66" s="269">
        <f t="shared" si="8"/>
        <v>-777.07767555042221</v>
      </c>
      <c r="M66" s="270">
        <f t="shared" si="9"/>
        <v>124255.37047583453</v>
      </c>
      <c r="N66" s="21"/>
      <c r="O66" s="271"/>
      <c r="P66" s="271"/>
      <c r="Q66" s="271"/>
      <c r="R66" s="271"/>
      <c r="S66" s="271"/>
      <c r="T66" s="271"/>
    </row>
    <row r="67" spans="1:20" s="230" customFormat="1" ht="15">
      <c r="A67" s="267">
        <f t="shared" si="10"/>
        <v>46387</v>
      </c>
      <c r="B67" s="269">
        <f t="shared" si="14"/>
        <v>401124.10662042513</v>
      </c>
      <c r="C67" s="269">
        <f t="shared" si="13"/>
        <v>401124.10662042513</v>
      </c>
      <c r="D67" s="269">
        <f t="shared" si="21"/>
        <v>2985.0318934336642</v>
      </c>
      <c r="E67" s="269">
        <f t="shared" si="11"/>
        <v>6685.4017770070859</v>
      </c>
      <c r="F67" s="269">
        <f t="shared" si="20"/>
        <v>-277689.02658587706</v>
      </c>
      <c r="G67" s="269">
        <f t="shared" si="20"/>
        <v>-284129.57552280137</v>
      </c>
      <c r="H67" s="269">
        <f t="shared" si="16"/>
        <v>123435.08003454807</v>
      </c>
      <c r="I67" s="269">
        <f t="shared" si="16"/>
        <v>116994.53109762375</v>
      </c>
      <c r="J67" s="269">
        <f t="shared" si="7"/>
        <v>-6440.5489369243151</v>
      </c>
      <c r="K67" s="269">
        <f t="shared" si="18"/>
        <v>1352.515276754106</v>
      </c>
      <c r="L67" s="269">
        <f t="shared" si="8"/>
        <v>-777.07767555042221</v>
      </c>
      <c r="M67" s="270">
        <f t="shared" si="9"/>
        <v>118347.04637437785</v>
      </c>
      <c r="N67" s="21"/>
      <c r="O67" s="271"/>
      <c r="P67" s="271"/>
      <c r="Q67" s="271"/>
      <c r="R67" s="271"/>
      <c r="S67" s="271"/>
      <c r="T67" s="271"/>
    </row>
    <row r="68" spans="1:20" s="230" customFormat="1" ht="15">
      <c r="A68" s="267">
        <f t="shared" si="10"/>
        <v>46418</v>
      </c>
      <c r="B68" s="269">
        <f t="shared" si="14"/>
        <v>401124.10662042513</v>
      </c>
      <c r="C68" s="269">
        <f t="shared" si="13"/>
        <v>401124.10662042513</v>
      </c>
      <c r="D68" s="269">
        <f t="shared" si="21"/>
        <v>2985.0318934336642</v>
      </c>
      <c r="E68" s="269">
        <f t="shared" si="11"/>
        <v>6685.4017770070859</v>
      </c>
      <c r="F68" s="269">
        <f t="shared" si="20"/>
        <v>-280674.05847931071</v>
      </c>
      <c r="G68" s="269">
        <f t="shared" si="20"/>
        <v>-290814.97729980847</v>
      </c>
      <c r="H68" s="269">
        <f t="shared" si="16"/>
        <v>120450.04814111441</v>
      </c>
      <c r="I68" s="269">
        <f t="shared" si="16"/>
        <v>110309.12932061666</v>
      </c>
      <c r="J68" s="269">
        <f t="shared" si="7"/>
        <v>-10140.918820497754</v>
      </c>
      <c r="K68" s="269">
        <f t="shared" si="18"/>
        <v>2129.5929523045284</v>
      </c>
      <c r="L68" s="269">
        <f t="shared" si="8"/>
        <v>-777.07767555042233</v>
      </c>
      <c r="M68" s="270">
        <f t="shared" si="9"/>
        <v>112438.72227292119</v>
      </c>
      <c r="N68" s="21"/>
      <c r="O68" s="271"/>
      <c r="P68" s="271"/>
      <c r="Q68" s="271"/>
      <c r="R68" s="271"/>
      <c r="S68" s="271"/>
      <c r="T68" s="271"/>
    </row>
    <row r="69" spans="1:20" s="230" customFormat="1" ht="15">
      <c r="A69" s="267">
        <f t="shared" si="10"/>
        <v>46446</v>
      </c>
      <c r="B69" s="269">
        <f t="shared" si="14"/>
        <v>401124.10662042513</v>
      </c>
      <c r="C69" s="269">
        <f t="shared" si="13"/>
        <v>401124.10662042513</v>
      </c>
      <c r="D69" s="269">
        <f t="shared" si="21"/>
        <v>2985.0318934336642</v>
      </c>
      <c r="E69" s="269">
        <f t="shared" si="11"/>
        <v>6685.4017770070859</v>
      </c>
      <c r="F69" s="269">
        <f t="shared" ref="F69:G84" si="22">F68-D69</f>
        <v>-283659.09037274437</v>
      </c>
      <c r="G69" s="269">
        <f t="shared" si="22"/>
        <v>-297500.37907681556</v>
      </c>
      <c r="H69" s="269">
        <f t="shared" si="16"/>
        <v>117465.01624768076</v>
      </c>
      <c r="I69" s="269">
        <f t="shared" si="16"/>
        <v>103623.72754360957</v>
      </c>
      <c r="J69" s="269">
        <f t="shared" si="7"/>
        <v>-13841.288704071194</v>
      </c>
      <c r="K69" s="269">
        <f t="shared" si="18"/>
        <v>2906.6706278549505</v>
      </c>
      <c r="L69" s="269">
        <f t="shared" si="8"/>
        <v>-777.0776755504221</v>
      </c>
      <c r="M69" s="270">
        <f t="shared" si="9"/>
        <v>106530.39817146452</v>
      </c>
      <c r="N69" s="21"/>
      <c r="O69" s="271"/>
      <c r="P69" s="271"/>
      <c r="Q69" s="271"/>
      <c r="R69" s="271"/>
      <c r="S69" s="271"/>
      <c r="T69" s="271"/>
    </row>
    <row r="70" spans="1:20" s="230" customFormat="1" ht="15">
      <c r="A70" s="267">
        <f t="shared" si="10"/>
        <v>46477</v>
      </c>
      <c r="B70" s="269">
        <f t="shared" si="14"/>
        <v>401124.10662042513</v>
      </c>
      <c r="C70" s="269">
        <f t="shared" si="13"/>
        <v>401124.10662042513</v>
      </c>
      <c r="D70" s="269">
        <f t="shared" si="21"/>
        <v>2985.0318934336642</v>
      </c>
      <c r="E70" s="269">
        <f t="shared" si="11"/>
        <v>6685.4017770070859</v>
      </c>
      <c r="F70" s="269">
        <f t="shared" si="22"/>
        <v>-286644.12226617802</v>
      </c>
      <c r="G70" s="269">
        <f t="shared" si="22"/>
        <v>-304185.78085382265</v>
      </c>
      <c r="H70" s="269">
        <f t="shared" si="16"/>
        <v>114479.98435424711</v>
      </c>
      <c r="I70" s="269">
        <f t="shared" si="16"/>
        <v>96938.325766602473</v>
      </c>
      <c r="J70" s="269">
        <f t="shared" si="7"/>
        <v>-17541.658587644633</v>
      </c>
      <c r="K70" s="269">
        <f t="shared" si="18"/>
        <v>3683.748303405373</v>
      </c>
      <c r="L70" s="269">
        <f t="shared" si="8"/>
        <v>-777.07767555042255</v>
      </c>
      <c r="M70" s="270">
        <f t="shared" si="9"/>
        <v>100622.07407000785</v>
      </c>
      <c r="N70" s="21"/>
      <c r="O70" s="271"/>
      <c r="P70" s="271"/>
      <c r="Q70" s="271"/>
      <c r="R70" s="271"/>
      <c r="S70" s="271"/>
      <c r="T70" s="271"/>
    </row>
    <row r="71" spans="1:20" s="230" customFormat="1" ht="15">
      <c r="A71" s="267">
        <f t="shared" si="10"/>
        <v>46507</v>
      </c>
      <c r="B71" s="269">
        <f t="shared" si="14"/>
        <v>401124.10662042513</v>
      </c>
      <c r="C71" s="269">
        <f t="shared" si="13"/>
        <v>401124.10662042513</v>
      </c>
      <c r="D71" s="269">
        <f t="shared" si="21"/>
        <v>2985.0318934336642</v>
      </c>
      <c r="E71" s="269">
        <f t="shared" si="11"/>
        <v>6685.4017770070859</v>
      </c>
      <c r="F71" s="269">
        <f t="shared" si="22"/>
        <v>-289629.15415961167</v>
      </c>
      <c r="G71" s="269">
        <f t="shared" si="22"/>
        <v>-310871.18263082975</v>
      </c>
      <c r="H71" s="269">
        <f t="shared" si="16"/>
        <v>111494.95246081345</v>
      </c>
      <c r="I71" s="269">
        <f t="shared" si="16"/>
        <v>90252.92398959538</v>
      </c>
      <c r="J71" s="269">
        <f t="shared" si="7"/>
        <v>-21242.028471218073</v>
      </c>
      <c r="K71" s="269">
        <f t="shared" si="18"/>
        <v>4460.8259789557951</v>
      </c>
      <c r="L71" s="269">
        <f t="shared" si="8"/>
        <v>-777.0776755504221</v>
      </c>
      <c r="M71" s="270">
        <f t="shared" si="9"/>
        <v>94713.749968551172</v>
      </c>
      <c r="N71" s="21"/>
      <c r="O71" s="271"/>
      <c r="P71" s="271"/>
      <c r="Q71" s="271"/>
      <c r="R71" s="271"/>
      <c r="S71" s="271"/>
      <c r="T71" s="271"/>
    </row>
    <row r="72" spans="1:20" s="230" customFormat="1" ht="15">
      <c r="A72" s="267">
        <f t="shared" si="10"/>
        <v>46538</v>
      </c>
      <c r="B72" s="269">
        <f t="shared" si="14"/>
        <v>401124.10662042513</v>
      </c>
      <c r="C72" s="269">
        <f t="shared" si="13"/>
        <v>401124.10662042513</v>
      </c>
      <c r="D72" s="269">
        <f t="shared" si="21"/>
        <v>2985.0318934336642</v>
      </c>
      <c r="E72" s="269">
        <f t="shared" si="11"/>
        <v>6685.4017770070859</v>
      </c>
      <c r="F72" s="269">
        <f t="shared" si="22"/>
        <v>-292614.18605304533</v>
      </c>
      <c r="G72" s="269">
        <f t="shared" si="22"/>
        <v>-317556.58440783684</v>
      </c>
      <c r="H72" s="269">
        <f t="shared" si="16"/>
        <v>108509.9205673798</v>
      </c>
      <c r="I72" s="269">
        <f t="shared" si="16"/>
        <v>83567.522212588286</v>
      </c>
      <c r="J72" s="269">
        <f t="shared" si="7"/>
        <v>-24942.398354791512</v>
      </c>
      <c r="K72" s="269">
        <f t="shared" si="18"/>
        <v>5237.9036545062172</v>
      </c>
      <c r="L72" s="269">
        <f t="shared" si="8"/>
        <v>-777.0776755504221</v>
      </c>
      <c r="M72" s="270">
        <f t="shared" si="9"/>
        <v>88805.425867094498</v>
      </c>
      <c r="N72" s="21"/>
      <c r="O72" s="271"/>
      <c r="P72" s="271"/>
      <c r="Q72" s="271"/>
      <c r="R72" s="271"/>
      <c r="S72" s="271"/>
      <c r="T72" s="271"/>
    </row>
    <row r="73" spans="1:20" s="230" customFormat="1" ht="15">
      <c r="A73" s="267">
        <f t="shared" si="10"/>
        <v>46568</v>
      </c>
      <c r="B73" s="269">
        <f t="shared" si="14"/>
        <v>401124.10662042513</v>
      </c>
      <c r="C73" s="269">
        <f t="shared" si="13"/>
        <v>401124.10662042513</v>
      </c>
      <c r="D73" s="269">
        <f t="shared" si="21"/>
        <v>2985.0318934336642</v>
      </c>
      <c r="E73" s="269">
        <f t="shared" si="11"/>
        <v>6685.4017770070859</v>
      </c>
      <c r="F73" s="269">
        <f t="shared" si="22"/>
        <v>-295599.21794647898</v>
      </c>
      <c r="G73" s="269">
        <f t="shared" si="22"/>
        <v>-324241.98618484393</v>
      </c>
      <c r="H73" s="269">
        <f t="shared" si="16"/>
        <v>105524.88867394614</v>
      </c>
      <c r="I73" s="269">
        <f t="shared" si="16"/>
        <v>76882.120435581193</v>
      </c>
      <c r="J73" s="269">
        <f t="shared" si="7"/>
        <v>-28642.768238364952</v>
      </c>
      <c r="K73" s="269">
        <f t="shared" si="18"/>
        <v>6014.9813300566393</v>
      </c>
      <c r="L73" s="269">
        <f t="shared" si="8"/>
        <v>-777.0776755504221</v>
      </c>
      <c r="M73" s="270">
        <f t="shared" si="9"/>
        <v>82897.101765637839</v>
      </c>
      <c r="N73" s="21"/>
      <c r="O73" s="271"/>
      <c r="P73" s="271"/>
      <c r="Q73" s="271"/>
      <c r="R73" s="271"/>
      <c r="S73" s="271"/>
      <c r="T73" s="271"/>
    </row>
    <row r="74" spans="1:20" s="230" customFormat="1" ht="15">
      <c r="A74" s="267">
        <f t="shared" si="10"/>
        <v>46599</v>
      </c>
      <c r="B74" s="269">
        <f t="shared" si="14"/>
        <v>401124.10662042513</v>
      </c>
      <c r="C74" s="269">
        <f t="shared" si="13"/>
        <v>401124.10662042513</v>
      </c>
      <c r="D74" s="269">
        <f t="shared" si="21"/>
        <v>2985.0318934336642</v>
      </c>
      <c r="E74" s="269">
        <f t="shared" si="11"/>
        <v>6685.4017770070859</v>
      </c>
      <c r="F74" s="269">
        <f t="shared" si="22"/>
        <v>-298584.24983991263</v>
      </c>
      <c r="G74" s="269">
        <f t="shared" si="22"/>
        <v>-330927.38796185103</v>
      </c>
      <c r="H74" s="269">
        <f t="shared" si="16"/>
        <v>102539.85678051249</v>
      </c>
      <c r="I74" s="269">
        <f t="shared" si="16"/>
        <v>70196.7186585741</v>
      </c>
      <c r="J74" s="269">
        <f t="shared" si="7"/>
        <v>-32343.138121938391</v>
      </c>
      <c r="K74" s="269">
        <f t="shared" si="18"/>
        <v>6792.0590056070623</v>
      </c>
      <c r="L74" s="269">
        <f t="shared" si="8"/>
        <v>-777.07767555042301</v>
      </c>
      <c r="M74" s="270">
        <f t="shared" si="9"/>
        <v>76988.777664181165</v>
      </c>
      <c r="N74" s="21"/>
      <c r="O74" s="271"/>
      <c r="P74" s="271"/>
      <c r="Q74" s="271"/>
      <c r="R74" s="271"/>
      <c r="S74" s="271"/>
      <c r="T74" s="271"/>
    </row>
    <row r="75" spans="1:20" s="230" customFormat="1" ht="15">
      <c r="A75" s="267">
        <f t="shared" si="10"/>
        <v>46630</v>
      </c>
      <c r="B75" s="269">
        <f t="shared" si="14"/>
        <v>401124.10662042513</v>
      </c>
      <c r="C75" s="269">
        <f t="shared" si="13"/>
        <v>401124.10662042513</v>
      </c>
      <c r="D75" s="269">
        <f t="shared" si="21"/>
        <v>2985.0318934336642</v>
      </c>
      <c r="E75" s="269">
        <f>C75*E$12/12</f>
        <v>6685.4017770070859</v>
      </c>
      <c r="F75" s="269">
        <f t="shared" si="22"/>
        <v>-301569.28173334629</v>
      </c>
      <c r="G75" s="269">
        <f t="shared" si="22"/>
        <v>-337612.78973885812</v>
      </c>
      <c r="H75" s="269">
        <f t="shared" ref="H75:I90" si="23">B75+F75</f>
        <v>99554.824887078837</v>
      </c>
      <c r="I75" s="269">
        <f t="shared" si="23"/>
        <v>63511.316881567007</v>
      </c>
      <c r="J75" s="269">
        <f t="shared" si="7"/>
        <v>-36043.508005511831</v>
      </c>
      <c r="K75" s="269">
        <f t="shared" si="18"/>
        <v>7569.1366811574844</v>
      </c>
      <c r="L75" s="269">
        <f t="shared" si="8"/>
        <v>-777.0776755504221</v>
      </c>
      <c r="M75" s="270">
        <f t="shared" si="9"/>
        <v>71080.453562724491</v>
      </c>
      <c r="N75" s="21"/>
      <c r="O75" s="271"/>
      <c r="P75" s="271"/>
      <c r="Q75" s="271"/>
      <c r="R75" s="271"/>
      <c r="S75" s="271"/>
      <c r="T75" s="271"/>
    </row>
    <row r="76" spans="1:20" s="230" customFormat="1" ht="15">
      <c r="A76" s="267">
        <f t="shared" si="10"/>
        <v>46660</v>
      </c>
      <c r="B76" s="269">
        <f t="shared" si="14"/>
        <v>401124.10662042513</v>
      </c>
      <c r="C76" s="269">
        <f t="shared" si="13"/>
        <v>401124.10662042513</v>
      </c>
      <c r="D76" s="269">
        <f t="shared" ref="D76:D87" si="24">B76*$G$5/12</f>
        <v>2981.68919254516</v>
      </c>
      <c r="E76" s="269">
        <f>C76*E$12/12</f>
        <v>6685.4017770070859</v>
      </c>
      <c r="F76" s="269">
        <f t="shared" si="22"/>
        <v>-304550.97092589142</v>
      </c>
      <c r="G76" s="269">
        <f t="shared" si="22"/>
        <v>-344298.19151586521</v>
      </c>
      <c r="H76" s="269">
        <f t="shared" si="23"/>
        <v>96573.135694533703</v>
      </c>
      <c r="I76" s="269">
        <f t="shared" si="23"/>
        <v>56825.915104559914</v>
      </c>
      <c r="J76" s="269">
        <f t="shared" si="7"/>
        <v>-39747.220589973789</v>
      </c>
      <c r="K76" s="269">
        <f t="shared" si="18"/>
        <v>8346.9163238944948</v>
      </c>
      <c r="L76" s="269">
        <f t="shared" si="8"/>
        <v>-777.77964273701036</v>
      </c>
      <c r="M76" s="270">
        <f t="shared" si="9"/>
        <v>65172.83142845441</v>
      </c>
      <c r="N76" s="21"/>
      <c r="O76" s="271"/>
      <c r="P76" s="271"/>
      <c r="Q76" s="271"/>
      <c r="R76" s="271"/>
      <c r="S76" s="271"/>
      <c r="T76" s="271"/>
    </row>
    <row r="77" spans="1:20" s="230" customFormat="1" ht="15">
      <c r="A77" s="267">
        <f t="shared" si="10"/>
        <v>46691</v>
      </c>
      <c r="B77" s="269">
        <f t="shared" si="14"/>
        <v>401124.10662042513</v>
      </c>
      <c r="C77" s="269">
        <f t="shared" si="13"/>
        <v>401124.10662042513</v>
      </c>
      <c r="D77" s="269">
        <f t="shared" si="24"/>
        <v>2981.68919254516</v>
      </c>
      <c r="E77" s="269">
        <f>C77*E$12/12</f>
        <v>6685.4017770070859</v>
      </c>
      <c r="F77" s="269">
        <f t="shared" si="22"/>
        <v>-307532.66011843656</v>
      </c>
      <c r="G77" s="269">
        <f t="shared" si="22"/>
        <v>-350983.59329287231</v>
      </c>
      <c r="H77" s="269">
        <f t="shared" si="23"/>
        <v>93591.446501988568</v>
      </c>
      <c r="I77" s="269">
        <f t="shared" si="23"/>
        <v>50140.513327552821</v>
      </c>
      <c r="J77" s="269">
        <f t="shared" si="7"/>
        <v>-43450.933174435748</v>
      </c>
      <c r="K77" s="269">
        <f t="shared" si="18"/>
        <v>9124.695966631507</v>
      </c>
      <c r="L77" s="269">
        <f t="shared" si="8"/>
        <v>-777.77964273701218</v>
      </c>
      <c r="M77" s="270">
        <f t="shared" si="9"/>
        <v>59265.209294184329</v>
      </c>
      <c r="N77" s="21"/>
      <c r="O77" s="271"/>
      <c r="P77" s="271"/>
      <c r="Q77" s="271"/>
      <c r="R77" s="271"/>
      <c r="S77" s="271"/>
      <c r="T77" s="271"/>
    </row>
    <row r="78" spans="1:20" s="230" customFormat="1" ht="15">
      <c r="A78" s="267">
        <f t="shared" si="10"/>
        <v>46721</v>
      </c>
      <c r="B78" s="269">
        <f t="shared" si="14"/>
        <v>401124.10662042513</v>
      </c>
      <c r="C78" s="269">
        <f t="shared" si="13"/>
        <v>401124.10662042513</v>
      </c>
      <c r="D78" s="269">
        <f t="shared" si="24"/>
        <v>2981.68919254516</v>
      </c>
      <c r="E78" s="269">
        <f>C78*E$12/12</f>
        <v>6685.4017770070859</v>
      </c>
      <c r="F78" s="269">
        <f t="shared" si="22"/>
        <v>-310514.34931098169</v>
      </c>
      <c r="G78" s="269">
        <f t="shared" si="22"/>
        <v>-357668.9950698794</v>
      </c>
      <c r="H78" s="269">
        <f t="shared" si="23"/>
        <v>90609.757309443434</v>
      </c>
      <c r="I78" s="269">
        <f t="shared" si="23"/>
        <v>43455.111550545727</v>
      </c>
      <c r="J78" s="269">
        <f t="shared" si="7"/>
        <v>-47154.645758897706</v>
      </c>
      <c r="K78" s="269">
        <f t="shared" si="18"/>
        <v>9902.4756093685173</v>
      </c>
      <c r="L78" s="269">
        <f t="shared" si="8"/>
        <v>-777.77964273701036</v>
      </c>
      <c r="M78" s="270">
        <f t="shared" si="9"/>
        <v>53357.587159914241</v>
      </c>
      <c r="N78" s="21"/>
      <c r="O78" s="271"/>
      <c r="P78" s="271"/>
      <c r="Q78" s="271"/>
      <c r="R78" s="271"/>
      <c r="S78" s="271"/>
      <c r="T78" s="271"/>
    </row>
    <row r="79" spans="1:20" s="230" customFormat="1" ht="15">
      <c r="A79" s="267">
        <f t="shared" si="10"/>
        <v>46752</v>
      </c>
      <c r="B79" s="269">
        <f t="shared" si="14"/>
        <v>401124.10662042513</v>
      </c>
      <c r="C79" s="269">
        <f t="shared" si="13"/>
        <v>401124.10662042513</v>
      </c>
      <c r="D79" s="269">
        <f t="shared" si="24"/>
        <v>2981.68919254516</v>
      </c>
      <c r="E79" s="269">
        <f>C79*E$12/12</f>
        <v>6685.4017770070859</v>
      </c>
      <c r="F79" s="269">
        <f t="shared" si="22"/>
        <v>-313496.03850352683</v>
      </c>
      <c r="G79" s="269">
        <f t="shared" si="22"/>
        <v>-364354.39684688649</v>
      </c>
      <c r="H79" s="269">
        <f t="shared" si="23"/>
        <v>87628.068116898299</v>
      </c>
      <c r="I79" s="269">
        <f t="shared" si="23"/>
        <v>36769.709773538634</v>
      </c>
      <c r="J79" s="269">
        <f t="shared" si="7"/>
        <v>-50858.358343359665</v>
      </c>
      <c r="K79" s="269">
        <f t="shared" si="18"/>
        <v>10680.25525210553</v>
      </c>
      <c r="L79" s="269">
        <f t="shared" si="8"/>
        <v>-777.77964273701218</v>
      </c>
      <c r="M79" s="270">
        <f t="shared" si="9"/>
        <v>47449.965025644167</v>
      </c>
      <c r="N79" s="21"/>
      <c r="O79" s="271"/>
      <c r="P79" s="271"/>
      <c r="Q79" s="271"/>
      <c r="R79" s="271"/>
      <c r="S79" s="271"/>
      <c r="T79" s="271"/>
    </row>
    <row r="80" spans="1:20" s="230" customFormat="1" ht="15">
      <c r="A80" s="267">
        <f t="shared" si="10"/>
        <v>46783</v>
      </c>
      <c r="B80" s="269">
        <f t="shared" si="14"/>
        <v>401124.10662042513</v>
      </c>
      <c r="C80" s="269">
        <f t="shared" si="13"/>
        <v>401124.10662042513</v>
      </c>
      <c r="D80" s="269">
        <f t="shared" si="24"/>
        <v>2981.68919254516</v>
      </c>
      <c r="E80" s="269">
        <f t="shared" ref="E80:E84" si="25">C80*E$12/12</f>
        <v>6685.4017770070859</v>
      </c>
      <c r="F80" s="269">
        <f t="shared" si="22"/>
        <v>-316477.72769607196</v>
      </c>
      <c r="G80" s="269">
        <f t="shared" si="22"/>
        <v>-371039.79862389358</v>
      </c>
      <c r="H80" s="269">
        <f t="shared" si="23"/>
        <v>84646.378924353165</v>
      </c>
      <c r="I80" s="269">
        <f t="shared" si="23"/>
        <v>30084.307996531541</v>
      </c>
      <c r="J80" s="269">
        <f t="shared" si="7"/>
        <v>-54562.070927821624</v>
      </c>
      <c r="K80" s="269">
        <f t="shared" si="18"/>
        <v>11458.03489484254</v>
      </c>
      <c r="L80" s="269">
        <f t="shared" si="8"/>
        <v>-777.77964273701036</v>
      </c>
      <c r="M80" s="270">
        <f t="shared" si="9"/>
        <v>41542.342891374079</v>
      </c>
      <c r="N80" s="21"/>
      <c r="O80" s="271"/>
      <c r="P80" s="271"/>
      <c r="Q80" s="271"/>
      <c r="R80" s="271"/>
      <c r="S80" s="271"/>
      <c r="T80" s="271"/>
    </row>
    <row r="81" spans="1:20" s="230" customFormat="1" ht="15">
      <c r="A81" s="267">
        <f t="shared" si="10"/>
        <v>46812</v>
      </c>
      <c r="B81" s="269">
        <f t="shared" si="14"/>
        <v>401124.10662042513</v>
      </c>
      <c r="C81" s="269">
        <f t="shared" si="13"/>
        <v>401124.10662042513</v>
      </c>
      <c r="D81" s="269">
        <f t="shared" si="24"/>
        <v>2981.68919254516</v>
      </c>
      <c r="E81" s="269">
        <f t="shared" si="25"/>
        <v>6685.4017770070859</v>
      </c>
      <c r="F81" s="269">
        <f t="shared" si="22"/>
        <v>-319459.4168886171</v>
      </c>
      <c r="G81" s="269">
        <f t="shared" si="22"/>
        <v>-377725.20040090068</v>
      </c>
      <c r="H81" s="269">
        <f t="shared" si="23"/>
        <v>81664.68973180803</v>
      </c>
      <c r="I81" s="269">
        <f t="shared" si="23"/>
        <v>23398.906219524448</v>
      </c>
      <c r="J81" s="269">
        <f t="shared" si="7"/>
        <v>-58265.783512283582</v>
      </c>
      <c r="K81" s="269">
        <f t="shared" si="18"/>
        <v>12235.814537579552</v>
      </c>
      <c r="L81" s="269">
        <f t="shared" si="8"/>
        <v>-777.77964273701218</v>
      </c>
      <c r="M81" s="270">
        <f t="shared" si="9"/>
        <v>35634.720757103998</v>
      </c>
      <c r="N81" s="21"/>
      <c r="O81" s="271"/>
      <c r="P81" s="271"/>
      <c r="Q81" s="271"/>
      <c r="R81" s="271"/>
      <c r="S81" s="271"/>
      <c r="T81" s="271"/>
    </row>
    <row r="82" spans="1:20" s="230" customFormat="1" ht="15">
      <c r="A82" s="267">
        <f t="shared" si="10"/>
        <v>46843</v>
      </c>
      <c r="B82" s="269">
        <f t="shared" si="14"/>
        <v>401124.10662042513</v>
      </c>
      <c r="C82" s="269">
        <f t="shared" si="13"/>
        <v>401124.10662042513</v>
      </c>
      <c r="D82" s="269">
        <f t="shared" si="24"/>
        <v>2981.68919254516</v>
      </c>
      <c r="E82" s="269">
        <f t="shared" si="25"/>
        <v>6685.4017770070859</v>
      </c>
      <c r="F82" s="269">
        <f t="shared" si="22"/>
        <v>-322441.10608116223</v>
      </c>
      <c r="G82" s="269">
        <f t="shared" si="22"/>
        <v>-384410.60217790777</v>
      </c>
      <c r="H82" s="269">
        <f t="shared" si="23"/>
        <v>78683.000539262895</v>
      </c>
      <c r="I82" s="269">
        <f t="shared" si="23"/>
        <v>16713.504442517355</v>
      </c>
      <c r="J82" s="269">
        <f t="shared" si="7"/>
        <v>-61969.496096745541</v>
      </c>
      <c r="K82" s="269">
        <f t="shared" si="18"/>
        <v>13013.594180316562</v>
      </c>
      <c r="L82" s="269">
        <f t="shared" si="8"/>
        <v>-777.77964273701036</v>
      </c>
      <c r="M82" s="270">
        <f t="shared" si="9"/>
        <v>29727.098622833917</v>
      </c>
      <c r="N82" s="21"/>
      <c r="O82" s="271"/>
      <c r="P82" s="271"/>
      <c r="Q82" s="271"/>
      <c r="R82" s="271"/>
      <c r="S82" s="271"/>
      <c r="T82" s="271"/>
    </row>
    <row r="83" spans="1:20" s="230" customFormat="1" ht="15">
      <c r="A83" s="267">
        <f t="shared" si="10"/>
        <v>46873</v>
      </c>
      <c r="B83" s="269">
        <f t="shared" si="14"/>
        <v>401124.10662042513</v>
      </c>
      <c r="C83" s="269">
        <f t="shared" si="13"/>
        <v>401124.10662042513</v>
      </c>
      <c r="D83" s="269">
        <f t="shared" si="24"/>
        <v>2981.68919254516</v>
      </c>
      <c r="E83" s="269">
        <f t="shared" si="25"/>
        <v>6685.4017770070859</v>
      </c>
      <c r="F83" s="269">
        <f t="shared" si="22"/>
        <v>-325422.79527370736</v>
      </c>
      <c r="G83" s="269">
        <f t="shared" si="22"/>
        <v>-391096.00395491486</v>
      </c>
      <c r="H83" s="269">
        <f t="shared" si="23"/>
        <v>75701.311346717761</v>
      </c>
      <c r="I83" s="269">
        <f t="shared" si="23"/>
        <v>10028.102665510261</v>
      </c>
      <c r="J83" s="269">
        <f t="shared" si="7"/>
        <v>-65673.208681207499</v>
      </c>
      <c r="K83" s="269">
        <f t="shared" si="18"/>
        <v>13791.373823053575</v>
      </c>
      <c r="L83" s="269">
        <f t="shared" si="8"/>
        <v>-777.77964273701218</v>
      </c>
      <c r="M83" s="270">
        <f t="shared" si="9"/>
        <v>23819.476488563836</v>
      </c>
      <c r="N83" s="21"/>
      <c r="O83" s="271"/>
      <c r="P83" s="271"/>
      <c r="Q83" s="271"/>
      <c r="R83" s="271"/>
      <c r="S83" s="271"/>
      <c r="T83" s="271"/>
    </row>
    <row r="84" spans="1:20" s="230" customFormat="1" ht="15">
      <c r="A84" s="267">
        <f t="shared" si="10"/>
        <v>46904</v>
      </c>
      <c r="B84" s="269">
        <f t="shared" si="14"/>
        <v>401124.10662042513</v>
      </c>
      <c r="C84" s="269">
        <f t="shared" si="13"/>
        <v>401124.10662042513</v>
      </c>
      <c r="D84" s="269">
        <f t="shared" si="24"/>
        <v>2981.68919254516</v>
      </c>
      <c r="E84" s="269">
        <f t="shared" si="25"/>
        <v>6685.4017770070859</v>
      </c>
      <c r="F84" s="269">
        <f t="shared" si="22"/>
        <v>-328404.4844662525</v>
      </c>
      <c r="G84" s="269">
        <f t="shared" si="22"/>
        <v>-397781.40573192196</v>
      </c>
      <c r="H84" s="269">
        <f t="shared" si="23"/>
        <v>72719.622154172626</v>
      </c>
      <c r="I84" s="269">
        <f t="shared" si="23"/>
        <v>3342.7008885031682</v>
      </c>
      <c r="J84" s="269">
        <f t="shared" si="7"/>
        <v>-69376.921265669458</v>
      </c>
      <c r="K84" s="269">
        <f t="shared" ref="K84:K115" si="26">-J84*$K$15</f>
        <v>14569.153465790585</v>
      </c>
      <c r="L84" s="269">
        <f t="shared" si="8"/>
        <v>-777.77964273701036</v>
      </c>
      <c r="M84" s="270">
        <f t="shared" si="9"/>
        <v>17911.854354293755</v>
      </c>
      <c r="N84" s="21"/>
      <c r="O84" s="271"/>
      <c r="P84" s="271"/>
      <c r="Q84" s="271"/>
      <c r="R84" s="271"/>
      <c r="S84" s="271"/>
      <c r="T84" s="271"/>
    </row>
    <row r="85" spans="1:20" s="230" customFormat="1" ht="15">
      <c r="A85" s="267">
        <f t="shared" si="10"/>
        <v>46934</v>
      </c>
      <c r="B85" s="269">
        <f t="shared" si="14"/>
        <v>401124.10662042513</v>
      </c>
      <c r="C85" s="269">
        <f t="shared" si="13"/>
        <v>401124.10662042513</v>
      </c>
      <c r="D85" s="269">
        <f t="shared" si="24"/>
        <v>2981.68919254516</v>
      </c>
      <c r="E85" s="269">
        <f>C84+G84</f>
        <v>3342.7008885031682</v>
      </c>
      <c r="F85" s="269">
        <f t="shared" ref="F85:G100" si="27">F84-D85</f>
        <v>-331386.17365879763</v>
      </c>
      <c r="G85" s="269">
        <f t="shared" si="27"/>
        <v>-401124.10662042513</v>
      </c>
      <c r="H85" s="269">
        <f t="shared" si="23"/>
        <v>69737.932961627492</v>
      </c>
      <c r="I85" s="269">
        <f t="shared" si="23"/>
        <v>0</v>
      </c>
      <c r="J85" s="269">
        <f t="shared" ref="J85:J142" si="28">I85-H85</f>
        <v>-69737.932961627492</v>
      </c>
      <c r="K85" s="269">
        <f t="shared" si="26"/>
        <v>14644.965921941774</v>
      </c>
      <c r="L85" s="269">
        <f t="shared" ref="L85:L143" si="29">-K85+K84</f>
        <v>-75.812456151188599</v>
      </c>
      <c r="M85" s="270">
        <f t="shared" ref="M85:M143" si="30">I85+K85</f>
        <v>14644.965921941774</v>
      </c>
      <c r="N85" s="21"/>
      <c r="O85" s="271"/>
      <c r="P85" s="271"/>
      <c r="Q85" s="271"/>
      <c r="R85" s="271"/>
      <c r="S85" s="271"/>
      <c r="T85" s="271"/>
    </row>
    <row r="86" spans="1:20" s="230" customFormat="1" ht="15">
      <c r="A86" s="267">
        <f t="shared" ref="A86:A142" si="31">EOMONTH(A85,1)</f>
        <v>46965</v>
      </c>
      <c r="B86" s="269">
        <f t="shared" si="14"/>
        <v>401124.10662042513</v>
      </c>
      <c r="C86" s="269">
        <f t="shared" si="13"/>
        <v>401124.10662042513</v>
      </c>
      <c r="D86" s="269">
        <f t="shared" si="24"/>
        <v>2981.68919254516</v>
      </c>
      <c r="E86" s="269"/>
      <c r="F86" s="269">
        <f t="shared" si="27"/>
        <v>-334367.86285134277</v>
      </c>
      <c r="G86" s="269">
        <f t="shared" si="27"/>
        <v>-401124.10662042513</v>
      </c>
      <c r="H86" s="269">
        <f t="shared" si="23"/>
        <v>66756.243769082357</v>
      </c>
      <c r="I86" s="269">
        <f t="shared" si="23"/>
        <v>0</v>
      </c>
      <c r="J86" s="269">
        <f t="shared" si="28"/>
        <v>-66756.243769082357</v>
      </c>
      <c r="K86" s="269">
        <f t="shared" si="26"/>
        <v>14018.811191507295</v>
      </c>
      <c r="L86" s="269">
        <f t="shared" si="29"/>
        <v>626.15473043447855</v>
      </c>
      <c r="M86" s="270">
        <f t="shared" si="30"/>
        <v>14018.811191507295</v>
      </c>
      <c r="N86" s="21"/>
      <c r="O86" s="271"/>
      <c r="P86" s="271"/>
      <c r="Q86" s="271"/>
      <c r="R86" s="271"/>
      <c r="S86" s="271"/>
      <c r="T86" s="271"/>
    </row>
    <row r="87" spans="1:20" s="230" customFormat="1" ht="15">
      <c r="A87" s="267">
        <f t="shared" si="31"/>
        <v>46996</v>
      </c>
      <c r="B87" s="269">
        <f t="shared" si="14"/>
        <v>401124.10662042513</v>
      </c>
      <c r="C87" s="269">
        <f t="shared" si="13"/>
        <v>401124.10662042513</v>
      </c>
      <c r="D87" s="269">
        <f t="shared" si="24"/>
        <v>2981.68919254516</v>
      </c>
      <c r="E87" s="269"/>
      <c r="F87" s="269">
        <f t="shared" si="27"/>
        <v>-337349.5520438879</v>
      </c>
      <c r="G87" s="269">
        <f t="shared" si="27"/>
        <v>-401124.10662042513</v>
      </c>
      <c r="H87" s="269">
        <f t="shared" si="23"/>
        <v>63774.554576537223</v>
      </c>
      <c r="I87" s="269">
        <f t="shared" si="23"/>
        <v>0</v>
      </c>
      <c r="J87" s="269">
        <f t="shared" si="28"/>
        <v>-63774.554576537223</v>
      </c>
      <c r="K87" s="269">
        <f t="shared" si="26"/>
        <v>13392.656461072816</v>
      </c>
      <c r="L87" s="269">
        <f t="shared" si="29"/>
        <v>626.15473043447855</v>
      </c>
      <c r="M87" s="270">
        <f t="shared" si="30"/>
        <v>13392.656461072816</v>
      </c>
      <c r="N87" s="21"/>
      <c r="O87" s="271"/>
      <c r="P87" s="271"/>
      <c r="Q87" s="271"/>
      <c r="R87" s="271"/>
      <c r="S87" s="271"/>
      <c r="T87" s="271"/>
    </row>
    <row r="88" spans="1:20" s="230" customFormat="1" ht="15">
      <c r="A88" s="267">
        <f t="shared" si="31"/>
        <v>47026</v>
      </c>
      <c r="B88" s="269">
        <f t="shared" si="14"/>
        <v>401124.10662042513</v>
      </c>
      <c r="C88" s="269">
        <f t="shared" si="13"/>
        <v>401124.10662042513</v>
      </c>
      <c r="D88" s="269">
        <f t="shared" ref="D88:D99" si="32">B88*$H$5/12</f>
        <v>2985.0318934336642</v>
      </c>
      <c r="E88" s="269"/>
      <c r="F88" s="269">
        <f t="shared" si="27"/>
        <v>-340334.58393732156</v>
      </c>
      <c r="G88" s="269">
        <f t="shared" si="27"/>
        <v>-401124.10662042513</v>
      </c>
      <c r="H88" s="269">
        <f t="shared" si="23"/>
        <v>60789.522683103569</v>
      </c>
      <c r="I88" s="269">
        <f t="shared" si="23"/>
        <v>0</v>
      </c>
      <c r="J88" s="269">
        <f t="shared" si="28"/>
        <v>-60789.522683103569</v>
      </c>
      <c r="K88" s="269">
        <f t="shared" si="26"/>
        <v>12765.799763451749</v>
      </c>
      <c r="L88" s="269">
        <f t="shared" si="29"/>
        <v>626.85669762106772</v>
      </c>
      <c r="M88" s="270">
        <f t="shared" si="30"/>
        <v>12765.799763451749</v>
      </c>
      <c r="N88" s="21"/>
      <c r="O88" s="271"/>
      <c r="P88" s="271"/>
      <c r="Q88" s="271"/>
      <c r="R88" s="271"/>
      <c r="S88" s="271"/>
      <c r="T88" s="271"/>
    </row>
    <row r="89" spans="1:20" s="230" customFormat="1" ht="15">
      <c r="A89" s="267">
        <f t="shared" si="31"/>
        <v>47057</v>
      </c>
      <c r="B89" s="269">
        <f t="shared" si="14"/>
        <v>401124.10662042513</v>
      </c>
      <c r="C89" s="269">
        <f t="shared" si="13"/>
        <v>401124.10662042513</v>
      </c>
      <c r="D89" s="269">
        <f t="shared" si="32"/>
        <v>2985.0318934336642</v>
      </c>
      <c r="E89" s="269"/>
      <c r="F89" s="269">
        <f t="shared" si="27"/>
        <v>-343319.61583075521</v>
      </c>
      <c r="G89" s="269">
        <f t="shared" si="27"/>
        <v>-401124.10662042513</v>
      </c>
      <c r="H89" s="269">
        <f t="shared" si="23"/>
        <v>57804.490789669915</v>
      </c>
      <c r="I89" s="269">
        <f t="shared" si="23"/>
        <v>0</v>
      </c>
      <c r="J89" s="269">
        <f t="shared" si="28"/>
        <v>-57804.490789669915</v>
      </c>
      <c r="K89" s="269">
        <f t="shared" si="26"/>
        <v>12138.943065830681</v>
      </c>
      <c r="L89" s="269">
        <f t="shared" si="29"/>
        <v>626.85669762106772</v>
      </c>
      <c r="M89" s="270">
        <f t="shared" si="30"/>
        <v>12138.943065830681</v>
      </c>
      <c r="N89" s="21"/>
      <c r="O89" s="271"/>
      <c r="P89" s="271"/>
      <c r="Q89" s="271"/>
      <c r="R89" s="271"/>
      <c r="S89" s="271"/>
      <c r="T89" s="271"/>
    </row>
    <row r="90" spans="1:20" s="230" customFormat="1" ht="15">
      <c r="A90" s="267">
        <f t="shared" si="31"/>
        <v>47087</v>
      </c>
      <c r="B90" s="269">
        <f t="shared" si="14"/>
        <v>401124.10662042513</v>
      </c>
      <c r="C90" s="269">
        <f t="shared" si="13"/>
        <v>401124.10662042513</v>
      </c>
      <c r="D90" s="269">
        <f t="shared" si="32"/>
        <v>2985.0318934336642</v>
      </c>
      <c r="E90" s="269"/>
      <c r="F90" s="269">
        <f t="shared" si="27"/>
        <v>-346304.64772418886</v>
      </c>
      <c r="G90" s="269">
        <f t="shared" si="27"/>
        <v>-401124.10662042513</v>
      </c>
      <c r="H90" s="269">
        <f t="shared" si="23"/>
        <v>54819.458896236261</v>
      </c>
      <c r="I90" s="269">
        <f t="shared" si="23"/>
        <v>0</v>
      </c>
      <c r="J90" s="269">
        <f t="shared" si="28"/>
        <v>-54819.458896236261</v>
      </c>
      <c r="K90" s="269">
        <f t="shared" si="26"/>
        <v>11512.086368209615</v>
      </c>
      <c r="L90" s="269">
        <f t="shared" si="29"/>
        <v>626.8566976210659</v>
      </c>
      <c r="M90" s="270">
        <f t="shared" si="30"/>
        <v>11512.086368209615</v>
      </c>
      <c r="N90" s="21"/>
      <c r="O90" s="271"/>
      <c r="P90" s="271"/>
      <c r="Q90" s="271"/>
      <c r="R90" s="271"/>
      <c r="S90" s="271"/>
      <c r="T90" s="271"/>
    </row>
    <row r="91" spans="1:20" s="230" customFormat="1" ht="15">
      <c r="A91" s="267">
        <f t="shared" si="31"/>
        <v>47118</v>
      </c>
      <c r="B91" s="269">
        <f t="shared" si="14"/>
        <v>401124.10662042513</v>
      </c>
      <c r="C91" s="269">
        <f t="shared" si="13"/>
        <v>401124.10662042513</v>
      </c>
      <c r="D91" s="269">
        <f t="shared" si="32"/>
        <v>2985.0318934336642</v>
      </c>
      <c r="E91" s="269"/>
      <c r="F91" s="269">
        <f t="shared" si="27"/>
        <v>-349289.67961762252</v>
      </c>
      <c r="G91" s="269">
        <f t="shared" si="27"/>
        <v>-401124.10662042513</v>
      </c>
      <c r="H91" s="269">
        <f t="shared" ref="H91:I111" si="33">B91+F91</f>
        <v>51834.427002802608</v>
      </c>
      <c r="I91" s="269">
        <f t="shared" si="33"/>
        <v>0</v>
      </c>
      <c r="J91" s="269">
        <f t="shared" si="28"/>
        <v>-51834.427002802608</v>
      </c>
      <c r="K91" s="269">
        <f t="shared" si="26"/>
        <v>10885.229670588547</v>
      </c>
      <c r="L91" s="269">
        <f t="shared" si="29"/>
        <v>626.85669762106772</v>
      </c>
      <c r="M91" s="270">
        <f t="shared" si="30"/>
        <v>10885.229670588547</v>
      </c>
      <c r="N91" s="21"/>
      <c r="O91" s="271"/>
      <c r="P91" s="271"/>
      <c r="Q91" s="271"/>
      <c r="R91" s="271"/>
      <c r="S91" s="271"/>
      <c r="T91" s="271"/>
    </row>
    <row r="92" spans="1:20" s="230" customFormat="1" ht="15">
      <c r="A92" s="267">
        <f t="shared" si="31"/>
        <v>47149</v>
      </c>
      <c r="B92" s="269">
        <f t="shared" si="14"/>
        <v>401124.10662042513</v>
      </c>
      <c r="C92" s="269">
        <f t="shared" si="13"/>
        <v>401124.10662042513</v>
      </c>
      <c r="D92" s="269">
        <f t="shared" si="32"/>
        <v>2985.0318934336642</v>
      </c>
      <c r="E92" s="269"/>
      <c r="F92" s="269">
        <f t="shared" si="27"/>
        <v>-352274.71151105617</v>
      </c>
      <c r="G92" s="269">
        <f t="shared" si="27"/>
        <v>-401124.10662042513</v>
      </c>
      <c r="H92" s="269">
        <f t="shared" si="33"/>
        <v>48849.395109368954</v>
      </c>
      <c r="I92" s="269">
        <f t="shared" si="33"/>
        <v>0</v>
      </c>
      <c r="J92" s="269">
        <f t="shared" si="28"/>
        <v>-48849.395109368954</v>
      </c>
      <c r="K92" s="269">
        <f t="shared" si="26"/>
        <v>10258.37297296748</v>
      </c>
      <c r="L92" s="269">
        <f t="shared" si="29"/>
        <v>626.85669762106772</v>
      </c>
      <c r="M92" s="270">
        <f t="shared" si="30"/>
        <v>10258.37297296748</v>
      </c>
      <c r="N92" s="21"/>
      <c r="O92" s="271"/>
      <c r="P92" s="271"/>
      <c r="Q92" s="271"/>
      <c r="R92" s="271"/>
      <c r="S92" s="271"/>
      <c r="T92" s="271"/>
    </row>
    <row r="93" spans="1:20" s="230" customFormat="1" ht="15">
      <c r="A93" s="267">
        <f t="shared" si="31"/>
        <v>47177</v>
      </c>
      <c r="B93" s="269">
        <f t="shared" si="14"/>
        <v>401124.10662042513</v>
      </c>
      <c r="C93" s="269">
        <f t="shared" si="13"/>
        <v>401124.10662042513</v>
      </c>
      <c r="D93" s="269">
        <f t="shared" si="32"/>
        <v>2985.0318934336642</v>
      </c>
      <c r="E93" s="269"/>
      <c r="F93" s="269">
        <f t="shared" si="27"/>
        <v>-355259.74340448983</v>
      </c>
      <c r="G93" s="269">
        <f t="shared" si="27"/>
        <v>-401124.10662042513</v>
      </c>
      <c r="H93" s="269">
        <f t="shared" si="33"/>
        <v>45864.3632159353</v>
      </c>
      <c r="I93" s="269">
        <f t="shared" si="33"/>
        <v>0</v>
      </c>
      <c r="J93" s="269">
        <f t="shared" si="28"/>
        <v>-45864.3632159353</v>
      </c>
      <c r="K93" s="269">
        <f t="shared" si="26"/>
        <v>9631.5162753464119</v>
      </c>
      <c r="L93" s="269">
        <f t="shared" si="29"/>
        <v>626.85669762106772</v>
      </c>
      <c r="M93" s="270">
        <f t="shared" si="30"/>
        <v>9631.5162753464119</v>
      </c>
      <c r="N93" s="21"/>
      <c r="O93" s="271"/>
      <c r="P93" s="271"/>
      <c r="Q93" s="271"/>
      <c r="R93" s="271"/>
      <c r="S93" s="271"/>
      <c r="T93" s="271"/>
    </row>
    <row r="94" spans="1:20" s="230" customFormat="1" ht="15">
      <c r="A94" s="267">
        <f t="shared" si="31"/>
        <v>47208</v>
      </c>
      <c r="B94" s="269">
        <f t="shared" si="14"/>
        <v>401124.10662042513</v>
      </c>
      <c r="C94" s="269">
        <f t="shared" si="13"/>
        <v>401124.10662042513</v>
      </c>
      <c r="D94" s="269">
        <f t="shared" si="32"/>
        <v>2985.0318934336642</v>
      </c>
      <c r="E94" s="269"/>
      <c r="F94" s="269">
        <f t="shared" si="27"/>
        <v>-358244.77529792348</v>
      </c>
      <c r="G94" s="269">
        <f t="shared" si="27"/>
        <v>-401124.10662042513</v>
      </c>
      <c r="H94" s="269">
        <f t="shared" si="33"/>
        <v>42879.331322501646</v>
      </c>
      <c r="I94" s="269">
        <f t="shared" si="33"/>
        <v>0</v>
      </c>
      <c r="J94" s="269">
        <f t="shared" si="28"/>
        <v>-42879.331322501646</v>
      </c>
      <c r="K94" s="269">
        <f t="shared" si="26"/>
        <v>9004.659577725346</v>
      </c>
      <c r="L94" s="269">
        <f t="shared" si="29"/>
        <v>626.8566976210659</v>
      </c>
      <c r="M94" s="270">
        <f t="shared" si="30"/>
        <v>9004.659577725346</v>
      </c>
      <c r="N94" s="21"/>
      <c r="O94" s="271"/>
      <c r="P94" s="271"/>
      <c r="Q94" s="271"/>
      <c r="R94" s="271"/>
      <c r="S94" s="271"/>
      <c r="T94" s="271"/>
    </row>
    <row r="95" spans="1:20" s="230" customFormat="1" ht="15">
      <c r="A95" s="267">
        <f t="shared" si="31"/>
        <v>47238</v>
      </c>
      <c r="B95" s="269">
        <f t="shared" si="14"/>
        <v>401124.10662042513</v>
      </c>
      <c r="C95" s="269">
        <f t="shared" si="13"/>
        <v>401124.10662042513</v>
      </c>
      <c r="D95" s="269">
        <f t="shared" si="32"/>
        <v>2985.0318934336642</v>
      </c>
      <c r="E95" s="269"/>
      <c r="F95" s="269">
        <f t="shared" si="27"/>
        <v>-361229.80719135713</v>
      </c>
      <c r="G95" s="269">
        <f t="shared" si="27"/>
        <v>-401124.10662042513</v>
      </c>
      <c r="H95" s="269">
        <f t="shared" si="33"/>
        <v>39894.299429067993</v>
      </c>
      <c r="I95" s="269">
        <f t="shared" si="33"/>
        <v>0</v>
      </c>
      <c r="J95" s="269">
        <f t="shared" si="28"/>
        <v>-39894.299429067993</v>
      </c>
      <c r="K95" s="269">
        <f t="shared" si="26"/>
        <v>8377.8028801042783</v>
      </c>
      <c r="L95" s="269">
        <f t="shared" si="29"/>
        <v>626.85669762106772</v>
      </c>
      <c r="M95" s="270">
        <f t="shared" si="30"/>
        <v>8377.8028801042783</v>
      </c>
      <c r="N95" s="21"/>
      <c r="O95" s="271"/>
      <c r="P95" s="271"/>
      <c r="Q95" s="271"/>
      <c r="R95" s="271"/>
      <c r="S95" s="271"/>
      <c r="T95" s="271"/>
    </row>
    <row r="96" spans="1:20" s="230" customFormat="1" ht="15">
      <c r="A96" s="267">
        <f t="shared" si="31"/>
        <v>47269</v>
      </c>
      <c r="B96" s="269">
        <f t="shared" si="14"/>
        <v>401124.10662042513</v>
      </c>
      <c r="C96" s="269">
        <f t="shared" si="14"/>
        <v>401124.10662042513</v>
      </c>
      <c r="D96" s="269">
        <f t="shared" si="32"/>
        <v>2985.0318934336642</v>
      </c>
      <c r="E96" s="269"/>
      <c r="F96" s="269">
        <f t="shared" si="27"/>
        <v>-364214.83908479079</v>
      </c>
      <c r="G96" s="269">
        <f t="shared" si="27"/>
        <v>-401124.10662042513</v>
      </c>
      <c r="H96" s="269">
        <f t="shared" si="33"/>
        <v>36909.267535634339</v>
      </c>
      <c r="I96" s="269">
        <f t="shared" si="33"/>
        <v>0</v>
      </c>
      <c r="J96" s="269">
        <f t="shared" si="28"/>
        <v>-36909.267535634339</v>
      </c>
      <c r="K96" s="269">
        <f t="shared" si="26"/>
        <v>7750.9461824832106</v>
      </c>
      <c r="L96" s="269">
        <f t="shared" si="29"/>
        <v>626.85669762106772</v>
      </c>
      <c r="M96" s="270">
        <f t="shared" si="30"/>
        <v>7750.9461824832106</v>
      </c>
      <c r="N96" s="21"/>
      <c r="O96" s="271"/>
      <c r="P96" s="271"/>
      <c r="Q96" s="271"/>
      <c r="R96" s="271"/>
      <c r="S96" s="271"/>
      <c r="T96" s="271"/>
    </row>
    <row r="97" spans="1:20" s="230" customFormat="1" ht="15">
      <c r="A97" s="267">
        <f t="shared" si="31"/>
        <v>47299</v>
      </c>
      <c r="B97" s="269">
        <f t="shared" ref="B97:C118" si="34">B96</f>
        <v>401124.10662042513</v>
      </c>
      <c r="C97" s="269">
        <f t="shared" si="34"/>
        <v>401124.10662042513</v>
      </c>
      <c r="D97" s="269">
        <f t="shared" si="32"/>
        <v>2985.0318934336642</v>
      </c>
      <c r="E97" s="269"/>
      <c r="F97" s="269">
        <f t="shared" si="27"/>
        <v>-367199.87097822444</v>
      </c>
      <c r="G97" s="269">
        <f t="shared" si="27"/>
        <v>-401124.10662042513</v>
      </c>
      <c r="H97" s="269">
        <f t="shared" si="33"/>
        <v>33924.235642200685</v>
      </c>
      <c r="I97" s="269">
        <f t="shared" si="33"/>
        <v>0</v>
      </c>
      <c r="J97" s="269">
        <f t="shared" si="28"/>
        <v>-33924.235642200685</v>
      </c>
      <c r="K97" s="269">
        <f t="shared" si="26"/>
        <v>7124.0894848621438</v>
      </c>
      <c r="L97" s="269">
        <f t="shared" si="29"/>
        <v>626.85669762106681</v>
      </c>
      <c r="M97" s="270">
        <f t="shared" si="30"/>
        <v>7124.0894848621438</v>
      </c>
      <c r="N97" s="21"/>
      <c r="O97" s="271"/>
      <c r="P97" s="271"/>
      <c r="Q97" s="271"/>
      <c r="R97" s="271"/>
      <c r="S97" s="271"/>
      <c r="T97" s="271"/>
    </row>
    <row r="98" spans="1:20" s="230" customFormat="1" ht="15">
      <c r="A98" s="267">
        <f t="shared" si="31"/>
        <v>47330</v>
      </c>
      <c r="B98" s="269">
        <f t="shared" si="34"/>
        <v>401124.10662042513</v>
      </c>
      <c r="C98" s="269">
        <f t="shared" si="34"/>
        <v>401124.10662042513</v>
      </c>
      <c r="D98" s="269">
        <f t="shared" si="32"/>
        <v>2985.0318934336642</v>
      </c>
      <c r="E98" s="269"/>
      <c r="F98" s="269">
        <f t="shared" si="27"/>
        <v>-370184.90287165809</v>
      </c>
      <c r="G98" s="269">
        <f t="shared" si="27"/>
        <v>-401124.10662042513</v>
      </c>
      <c r="H98" s="269">
        <f t="shared" si="33"/>
        <v>30939.203748767031</v>
      </c>
      <c r="I98" s="269">
        <f t="shared" si="33"/>
        <v>0</v>
      </c>
      <c r="J98" s="269">
        <f t="shared" si="28"/>
        <v>-30939.203748767031</v>
      </c>
      <c r="K98" s="269">
        <f t="shared" si="26"/>
        <v>6497.232787241076</v>
      </c>
      <c r="L98" s="269">
        <f t="shared" si="29"/>
        <v>626.85669762106772</v>
      </c>
      <c r="M98" s="270">
        <f t="shared" si="30"/>
        <v>6497.232787241076</v>
      </c>
      <c r="N98" s="21"/>
      <c r="O98" s="271"/>
      <c r="P98" s="271"/>
      <c r="Q98" s="271"/>
      <c r="R98" s="271"/>
      <c r="S98" s="271"/>
      <c r="T98" s="271"/>
    </row>
    <row r="99" spans="1:20" s="230" customFormat="1" ht="15">
      <c r="A99" s="267">
        <f t="shared" si="31"/>
        <v>47361</v>
      </c>
      <c r="B99" s="269">
        <f t="shared" si="34"/>
        <v>401124.10662042513</v>
      </c>
      <c r="C99" s="269">
        <f t="shared" si="34"/>
        <v>401124.10662042513</v>
      </c>
      <c r="D99" s="269">
        <f t="shared" si="32"/>
        <v>2985.0318934336642</v>
      </c>
      <c r="E99" s="269"/>
      <c r="F99" s="269">
        <f t="shared" si="27"/>
        <v>-373169.93476509175</v>
      </c>
      <c r="G99" s="269">
        <f t="shared" si="27"/>
        <v>-401124.10662042513</v>
      </c>
      <c r="H99" s="269">
        <f t="shared" si="33"/>
        <v>27954.171855333378</v>
      </c>
      <c r="I99" s="269">
        <f t="shared" si="33"/>
        <v>0</v>
      </c>
      <c r="J99" s="269">
        <f t="shared" si="28"/>
        <v>-27954.171855333378</v>
      </c>
      <c r="K99" s="269">
        <f t="shared" si="26"/>
        <v>5870.3760896200092</v>
      </c>
      <c r="L99" s="269">
        <f t="shared" si="29"/>
        <v>626.85669762106681</v>
      </c>
      <c r="M99" s="270">
        <f t="shared" si="30"/>
        <v>5870.3760896200092</v>
      </c>
      <c r="N99" s="21"/>
      <c r="O99" s="271"/>
      <c r="P99" s="271"/>
      <c r="Q99" s="271"/>
      <c r="R99" s="271"/>
      <c r="S99" s="271"/>
      <c r="T99" s="271"/>
    </row>
    <row r="100" spans="1:20" s="230" customFormat="1" ht="15">
      <c r="A100" s="267">
        <f t="shared" si="31"/>
        <v>47391</v>
      </c>
      <c r="B100" s="269">
        <f t="shared" si="34"/>
        <v>401124.10662042513</v>
      </c>
      <c r="C100" s="269">
        <f t="shared" si="34"/>
        <v>401124.10662042513</v>
      </c>
      <c r="D100" s="269">
        <f t="shared" ref="D100:D117" si="35">B100*$I$5/12</f>
        <v>1490.84459627258</v>
      </c>
      <c r="E100" s="269"/>
      <c r="F100" s="269">
        <f t="shared" si="27"/>
        <v>-374660.77936136432</v>
      </c>
      <c r="G100" s="269">
        <f t="shared" si="27"/>
        <v>-401124.10662042513</v>
      </c>
      <c r="H100" s="269">
        <f t="shared" si="33"/>
        <v>26463.32725906081</v>
      </c>
      <c r="I100" s="269">
        <f t="shared" si="33"/>
        <v>0</v>
      </c>
      <c r="J100" s="269">
        <f t="shared" si="28"/>
        <v>-26463.32725906081</v>
      </c>
      <c r="K100" s="269">
        <f t="shared" si="26"/>
        <v>5557.2987244027699</v>
      </c>
      <c r="L100" s="269">
        <f t="shared" si="29"/>
        <v>313.07736521723928</v>
      </c>
      <c r="M100" s="270">
        <f t="shared" si="30"/>
        <v>5557.2987244027699</v>
      </c>
      <c r="N100" s="21"/>
      <c r="O100" s="271"/>
      <c r="P100" s="271"/>
      <c r="Q100" s="271"/>
      <c r="R100" s="271"/>
      <c r="S100" s="271"/>
      <c r="T100" s="271"/>
    </row>
    <row r="101" spans="1:20" s="230" customFormat="1" ht="15">
      <c r="A101" s="267">
        <f t="shared" si="31"/>
        <v>47422</v>
      </c>
      <c r="B101" s="269">
        <f t="shared" si="34"/>
        <v>401124.10662042513</v>
      </c>
      <c r="C101" s="269">
        <f t="shared" si="34"/>
        <v>401124.10662042513</v>
      </c>
      <c r="D101" s="269">
        <f t="shared" si="35"/>
        <v>1490.84459627258</v>
      </c>
      <c r="E101" s="269"/>
      <c r="F101" s="269">
        <f t="shared" ref="F101:G116" si="36">F100-D101</f>
        <v>-376151.62395763688</v>
      </c>
      <c r="G101" s="269">
        <f t="shared" si="36"/>
        <v>-401124.10662042513</v>
      </c>
      <c r="H101" s="269">
        <f t="shared" si="33"/>
        <v>24972.482662788243</v>
      </c>
      <c r="I101" s="269">
        <f t="shared" si="33"/>
        <v>0</v>
      </c>
      <c r="J101" s="269">
        <f t="shared" si="28"/>
        <v>-24972.482662788243</v>
      </c>
      <c r="K101" s="269">
        <f t="shared" si="26"/>
        <v>5244.2213591855307</v>
      </c>
      <c r="L101" s="269">
        <f t="shared" si="29"/>
        <v>313.07736521723928</v>
      </c>
      <c r="M101" s="270">
        <f t="shared" si="30"/>
        <v>5244.2213591855307</v>
      </c>
      <c r="N101" s="21"/>
      <c r="O101" s="271"/>
      <c r="P101" s="271"/>
      <c r="Q101" s="271"/>
      <c r="R101" s="271"/>
      <c r="S101" s="271"/>
      <c r="T101" s="271"/>
    </row>
    <row r="102" spans="1:20" s="230" customFormat="1" ht="15">
      <c r="A102" s="267">
        <f t="shared" si="31"/>
        <v>47452</v>
      </c>
      <c r="B102" s="269">
        <f t="shared" si="34"/>
        <v>401124.10662042513</v>
      </c>
      <c r="C102" s="269">
        <f t="shared" si="34"/>
        <v>401124.10662042513</v>
      </c>
      <c r="D102" s="269">
        <f t="shared" si="35"/>
        <v>1490.84459627258</v>
      </c>
      <c r="E102" s="269"/>
      <c r="F102" s="269">
        <f t="shared" si="36"/>
        <v>-377642.46855390945</v>
      </c>
      <c r="G102" s="269">
        <f t="shared" si="36"/>
        <v>-401124.10662042513</v>
      </c>
      <c r="H102" s="269">
        <f t="shared" si="33"/>
        <v>23481.638066515676</v>
      </c>
      <c r="I102" s="269">
        <f t="shared" si="33"/>
        <v>0</v>
      </c>
      <c r="J102" s="269">
        <f t="shared" si="28"/>
        <v>-23481.638066515676</v>
      </c>
      <c r="K102" s="269">
        <f t="shared" si="26"/>
        <v>4931.1439939682914</v>
      </c>
      <c r="L102" s="269">
        <f t="shared" si="29"/>
        <v>313.07736521723928</v>
      </c>
      <c r="M102" s="270">
        <f t="shared" si="30"/>
        <v>4931.1439939682914</v>
      </c>
      <c r="N102" s="21"/>
      <c r="O102" s="271"/>
      <c r="P102" s="271"/>
      <c r="Q102" s="271"/>
      <c r="R102" s="271"/>
      <c r="S102" s="271"/>
      <c r="T102" s="271"/>
    </row>
    <row r="103" spans="1:20" s="230" customFormat="1" ht="15">
      <c r="A103" s="267">
        <f t="shared" si="31"/>
        <v>47483</v>
      </c>
      <c r="B103" s="269">
        <f t="shared" si="34"/>
        <v>401124.10662042513</v>
      </c>
      <c r="C103" s="269">
        <f t="shared" si="34"/>
        <v>401124.10662042513</v>
      </c>
      <c r="D103" s="269">
        <f t="shared" si="35"/>
        <v>1490.84459627258</v>
      </c>
      <c r="E103" s="269"/>
      <c r="F103" s="269">
        <f t="shared" si="36"/>
        <v>-379133.31315018202</v>
      </c>
      <c r="G103" s="269">
        <f t="shared" si="36"/>
        <v>-401124.10662042513</v>
      </c>
      <c r="H103" s="269">
        <f t="shared" si="33"/>
        <v>21990.793470243108</v>
      </c>
      <c r="I103" s="269">
        <f t="shared" si="33"/>
        <v>0</v>
      </c>
      <c r="J103" s="269">
        <f t="shared" si="28"/>
        <v>-21990.793470243108</v>
      </c>
      <c r="K103" s="269">
        <f t="shared" si="26"/>
        <v>4618.066628751053</v>
      </c>
      <c r="L103" s="269">
        <f t="shared" si="29"/>
        <v>313.07736521723837</v>
      </c>
      <c r="M103" s="270">
        <f t="shared" si="30"/>
        <v>4618.066628751053</v>
      </c>
      <c r="N103" s="21"/>
      <c r="O103" s="271"/>
      <c r="P103" s="271"/>
      <c r="Q103" s="271"/>
      <c r="R103" s="271"/>
      <c r="S103" s="271"/>
      <c r="T103" s="271"/>
    </row>
    <row r="104" spans="1:20" s="230" customFormat="1" ht="15">
      <c r="A104" s="267">
        <f t="shared" si="31"/>
        <v>47514</v>
      </c>
      <c r="B104" s="269">
        <f t="shared" si="34"/>
        <v>401124.10662042513</v>
      </c>
      <c r="C104" s="269">
        <f t="shared" si="34"/>
        <v>401124.10662042513</v>
      </c>
      <c r="D104" s="269">
        <f t="shared" si="35"/>
        <v>1490.84459627258</v>
      </c>
      <c r="E104" s="269"/>
      <c r="F104" s="269">
        <f t="shared" si="36"/>
        <v>-380624.15774645458</v>
      </c>
      <c r="G104" s="269">
        <f t="shared" si="36"/>
        <v>-401124.10662042513</v>
      </c>
      <c r="H104" s="269">
        <f t="shared" si="33"/>
        <v>20499.948873970541</v>
      </c>
      <c r="I104" s="269">
        <f t="shared" si="33"/>
        <v>0</v>
      </c>
      <c r="J104" s="269">
        <f t="shared" si="28"/>
        <v>-20499.948873970541</v>
      </c>
      <c r="K104" s="269">
        <f t="shared" si="26"/>
        <v>4304.9892635338138</v>
      </c>
      <c r="L104" s="269">
        <f t="shared" si="29"/>
        <v>313.07736521723928</v>
      </c>
      <c r="M104" s="270">
        <f t="shared" si="30"/>
        <v>4304.9892635338138</v>
      </c>
      <c r="N104" s="21"/>
      <c r="O104" s="271"/>
      <c r="P104" s="271"/>
      <c r="Q104" s="271"/>
      <c r="R104" s="271"/>
      <c r="S104" s="271"/>
      <c r="T104" s="271"/>
    </row>
    <row r="105" spans="1:20" s="230" customFormat="1" ht="15">
      <c r="A105" s="267">
        <f t="shared" si="31"/>
        <v>47542</v>
      </c>
      <c r="B105" s="269">
        <f t="shared" si="34"/>
        <v>401124.10662042513</v>
      </c>
      <c r="C105" s="269">
        <f t="shared" si="34"/>
        <v>401124.10662042513</v>
      </c>
      <c r="D105" s="269">
        <f t="shared" si="35"/>
        <v>1490.84459627258</v>
      </c>
      <c r="E105" s="269"/>
      <c r="F105" s="269">
        <f t="shared" si="36"/>
        <v>-382115.00234272715</v>
      </c>
      <c r="G105" s="269">
        <f t="shared" si="36"/>
        <v>-401124.10662042513</v>
      </c>
      <c r="H105" s="269">
        <f t="shared" si="33"/>
        <v>19009.104277697974</v>
      </c>
      <c r="I105" s="269">
        <f t="shared" si="33"/>
        <v>0</v>
      </c>
      <c r="J105" s="269">
        <f t="shared" si="28"/>
        <v>-19009.104277697974</v>
      </c>
      <c r="K105" s="269">
        <f t="shared" si="26"/>
        <v>3991.9118983165745</v>
      </c>
      <c r="L105" s="269">
        <f t="shared" si="29"/>
        <v>313.07736521723928</v>
      </c>
      <c r="M105" s="270">
        <f t="shared" si="30"/>
        <v>3991.9118983165745</v>
      </c>
      <c r="N105" s="21"/>
      <c r="O105" s="271"/>
      <c r="P105" s="271"/>
      <c r="Q105" s="271"/>
      <c r="R105" s="271"/>
      <c r="S105" s="271"/>
      <c r="T105" s="271"/>
    </row>
    <row r="106" spans="1:20" s="230" customFormat="1" ht="15">
      <c r="A106" s="267">
        <f t="shared" si="31"/>
        <v>47573</v>
      </c>
      <c r="B106" s="269">
        <f t="shared" si="34"/>
        <v>401124.10662042513</v>
      </c>
      <c r="C106" s="269">
        <f t="shared" si="34"/>
        <v>401124.10662042513</v>
      </c>
      <c r="D106" s="269">
        <f t="shared" si="35"/>
        <v>1490.84459627258</v>
      </c>
      <c r="E106" s="269"/>
      <c r="F106" s="269">
        <f t="shared" si="36"/>
        <v>-383605.84693899972</v>
      </c>
      <c r="G106" s="269">
        <f t="shared" si="36"/>
        <v>-401124.10662042513</v>
      </c>
      <c r="H106" s="269">
        <f t="shared" si="33"/>
        <v>17518.259681425407</v>
      </c>
      <c r="I106" s="269">
        <f t="shared" si="33"/>
        <v>0</v>
      </c>
      <c r="J106" s="269">
        <f t="shared" si="28"/>
        <v>-17518.259681425407</v>
      </c>
      <c r="K106" s="269">
        <f t="shared" si="26"/>
        <v>3678.8345330993352</v>
      </c>
      <c r="L106" s="269">
        <f t="shared" si="29"/>
        <v>313.07736521723928</v>
      </c>
      <c r="M106" s="270">
        <f t="shared" si="30"/>
        <v>3678.8345330993352</v>
      </c>
      <c r="N106" s="21"/>
      <c r="O106" s="271"/>
      <c r="P106" s="271"/>
      <c r="Q106" s="271"/>
      <c r="R106" s="271"/>
      <c r="S106" s="271"/>
      <c r="T106" s="271"/>
    </row>
    <row r="107" spans="1:20" s="230" customFormat="1" ht="15">
      <c r="A107" s="267">
        <f t="shared" si="31"/>
        <v>47603</v>
      </c>
      <c r="B107" s="269">
        <f t="shared" si="34"/>
        <v>401124.10662042513</v>
      </c>
      <c r="C107" s="269">
        <f t="shared" si="34"/>
        <v>401124.10662042513</v>
      </c>
      <c r="D107" s="269">
        <f t="shared" si="35"/>
        <v>1490.84459627258</v>
      </c>
      <c r="E107" s="269"/>
      <c r="F107" s="269">
        <f t="shared" si="36"/>
        <v>-385096.69153527229</v>
      </c>
      <c r="G107" s="269">
        <f t="shared" si="36"/>
        <v>-401124.10662042513</v>
      </c>
      <c r="H107" s="269">
        <f t="shared" si="33"/>
        <v>16027.415085152839</v>
      </c>
      <c r="I107" s="269">
        <f t="shared" si="33"/>
        <v>0</v>
      </c>
      <c r="J107" s="269">
        <f t="shared" si="28"/>
        <v>-16027.415085152839</v>
      </c>
      <c r="K107" s="269">
        <f t="shared" si="26"/>
        <v>3365.7571678820959</v>
      </c>
      <c r="L107" s="269">
        <f t="shared" si="29"/>
        <v>313.07736521723928</v>
      </c>
      <c r="M107" s="270">
        <f t="shared" si="30"/>
        <v>3365.7571678820959</v>
      </c>
      <c r="N107" s="21"/>
      <c r="O107" s="271"/>
      <c r="P107" s="271"/>
      <c r="Q107" s="271"/>
      <c r="R107" s="271"/>
      <c r="S107" s="271"/>
      <c r="T107" s="271"/>
    </row>
    <row r="108" spans="1:20" s="230" customFormat="1" ht="15">
      <c r="A108" s="267">
        <f t="shared" si="31"/>
        <v>47634</v>
      </c>
      <c r="B108" s="269">
        <f t="shared" si="34"/>
        <v>401124.10662042513</v>
      </c>
      <c r="C108" s="269">
        <f t="shared" si="34"/>
        <v>401124.10662042513</v>
      </c>
      <c r="D108" s="269">
        <f t="shared" si="35"/>
        <v>1490.84459627258</v>
      </c>
      <c r="E108" s="269"/>
      <c r="F108" s="269">
        <f t="shared" si="36"/>
        <v>-386587.53613154485</v>
      </c>
      <c r="G108" s="269">
        <f t="shared" si="36"/>
        <v>-401124.10662042513</v>
      </c>
      <c r="H108" s="269">
        <f t="shared" si="33"/>
        <v>14536.570488880272</v>
      </c>
      <c r="I108" s="269">
        <f t="shared" si="33"/>
        <v>0</v>
      </c>
      <c r="J108" s="269">
        <f t="shared" si="28"/>
        <v>-14536.570488880272</v>
      </c>
      <c r="K108" s="269">
        <f t="shared" si="26"/>
        <v>3052.6798026648571</v>
      </c>
      <c r="L108" s="269">
        <f t="shared" si="29"/>
        <v>313.07736521723882</v>
      </c>
      <c r="M108" s="270">
        <f t="shared" si="30"/>
        <v>3052.6798026648571</v>
      </c>
      <c r="N108" s="21"/>
      <c r="O108" s="271"/>
      <c r="P108" s="271"/>
      <c r="Q108" s="271"/>
      <c r="R108" s="271"/>
      <c r="S108" s="271"/>
      <c r="T108" s="271"/>
    </row>
    <row r="109" spans="1:20" s="230" customFormat="1" ht="15">
      <c r="A109" s="267">
        <f t="shared" si="31"/>
        <v>47664</v>
      </c>
      <c r="B109" s="269">
        <f t="shared" si="34"/>
        <v>401124.10662042513</v>
      </c>
      <c r="C109" s="269">
        <f t="shared" si="34"/>
        <v>401124.10662042513</v>
      </c>
      <c r="D109" s="269">
        <f t="shared" si="35"/>
        <v>1490.84459627258</v>
      </c>
      <c r="E109" s="269"/>
      <c r="F109" s="269">
        <f t="shared" si="36"/>
        <v>-388078.38072781742</v>
      </c>
      <c r="G109" s="269">
        <f t="shared" si="36"/>
        <v>-401124.10662042513</v>
      </c>
      <c r="H109" s="269">
        <f t="shared" si="33"/>
        <v>13045.725892607705</v>
      </c>
      <c r="I109" s="269">
        <f t="shared" si="33"/>
        <v>0</v>
      </c>
      <c r="J109" s="269">
        <f t="shared" si="28"/>
        <v>-13045.725892607705</v>
      </c>
      <c r="K109" s="269">
        <f t="shared" si="26"/>
        <v>2739.6024374476178</v>
      </c>
      <c r="L109" s="269">
        <f t="shared" si="29"/>
        <v>313.07736521723928</v>
      </c>
      <c r="M109" s="270">
        <f t="shared" si="30"/>
        <v>2739.6024374476178</v>
      </c>
      <c r="N109" s="97"/>
      <c r="O109" s="271"/>
      <c r="P109" s="271"/>
      <c r="Q109" s="271"/>
      <c r="R109" s="271"/>
      <c r="S109" s="271"/>
      <c r="T109" s="271"/>
    </row>
    <row r="110" spans="1:20" s="230" customFormat="1" ht="15">
      <c r="A110" s="267">
        <f t="shared" si="31"/>
        <v>47695</v>
      </c>
      <c r="B110" s="269">
        <f t="shared" si="34"/>
        <v>401124.10662042513</v>
      </c>
      <c r="C110" s="269">
        <f t="shared" si="34"/>
        <v>401124.10662042513</v>
      </c>
      <c r="D110" s="269">
        <f t="shared" si="35"/>
        <v>1490.84459627258</v>
      </c>
      <c r="E110" s="269"/>
      <c r="F110" s="269">
        <f t="shared" si="36"/>
        <v>-389569.22532408999</v>
      </c>
      <c r="G110" s="269">
        <f t="shared" si="36"/>
        <v>-401124.10662042513</v>
      </c>
      <c r="H110" s="269">
        <f t="shared" si="33"/>
        <v>11554.881296335137</v>
      </c>
      <c r="I110" s="269">
        <f t="shared" si="33"/>
        <v>0</v>
      </c>
      <c r="J110" s="269">
        <f t="shared" si="28"/>
        <v>-11554.881296335137</v>
      </c>
      <c r="K110" s="269">
        <f t="shared" si="26"/>
        <v>2426.5250722303786</v>
      </c>
      <c r="L110" s="269">
        <f t="shared" si="29"/>
        <v>313.07736521723928</v>
      </c>
      <c r="M110" s="270">
        <f t="shared" si="30"/>
        <v>2426.5250722303786</v>
      </c>
      <c r="N110" s="97"/>
      <c r="O110" s="271"/>
      <c r="P110" s="271"/>
      <c r="Q110" s="271"/>
      <c r="R110" s="271"/>
      <c r="S110" s="271"/>
      <c r="T110" s="271"/>
    </row>
    <row r="111" spans="1:20" s="230" customFormat="1" ht="15">
      <c r="A111" s="267">
        <f t="shared" si="31"/>
        <v>47726</v>
      </c>
      <c r="B111" s="269">
        <f t="shared" si="34"/>
        <v>401124.10662042513</v>
      </c>
      <c r="C111" s="269">
        <f t="shared" si="34"/>
        <v>401124.10662042513</v>
      </c>
      <c r="D111" s="269">
        <f t="shared" si="35"/>
        <v>1490.84459627258</v>
      </c>
      <c r="E111" s="269"/>
      <c r="F111" s="269">
        <f t="shared" si="36"/>
        <v>-391060.06992036256</v>
      </c>
      <c r="G111" s="269">
        <f t="shared" si="36"/>
        <v>-401124.10662042513</v>
      </c>
      <c r="H111" s="269">
        <f t="shared" si="33"/>
        <v>10064.03670006257</v>
      </c>
      <c r="I111" s="269">
        <f t="shared" si="33"/>
        <v>0</v>
      </c>
      <c r="J111" s="269">
        <f t="shared" si="28"/>
        <v>-10064.03670006257</v>
      </c>
      <c r="K111" s="269">
        <f t="shared" si="26"/>
        <v>2113.4477070131397</v>
      </c>
      <c r="L111" s="269">
        <f t="shared" si="29"/>
        <v>313.07736521723882</v>
      </c>
      <c r="M111" s="270">
        <f t="shared" si="30"/>
        <v>2113.4477070131397</v>
      </c>
      <c r="N111" s="97"/>
      <c r="O111" s="271"/>
      <c r="P111" s="271"/>
      <c r="Q111" s="271"/>
      <c r="R111" s="271"/>
      <c r="S111" s="271"/>
      <c r="T111" s="271"/>
    </row>
    <row r="112" spans="1:20" s="230" customFormat="1" ht="15">
      <c r="A112" s="267">
        <f t="shared" si="31"/>
        <v>47756</v>
      </c>
      <c r="B112" s="269">
        <f t="shared" si="34"/>
        <v>401124.10662042513</v>
      </c>
      <c r="C112" s="269">
        <f t="shared" si="34"/>
        <v>401124.10662042513</v>
      </c>
      <c r="D112" s="269">
        <f t="shared" si="35"/>
        <v>1490.84459627258</v>
      </c>
      <c r="E112" s="269"/>
      <c r="F112" s="269">
        <f t="shared" si="36"/>
        <v>-392550.91451663512</v>
      </c>
      <c r="G112" s="269">
        <f t="shared" si="36"/>
        <v>-401124.10662042513</v>
      </c>
      <c r="H112" s="269">
        <f t="shared" ref="H112:I127" si="37">B112+F112</f>
        <v>8573.1921037900029</v>
      </c>
      <c r="I112" s="269">
        <f t="shared" si="37"/>
        <v>0</v>
      </c>
      <c r="J112" s="269">
        <f t="shared" si="28"/>
        <v>-8573.1921037900029</v>
      </c>
      <c r="K112" s="269">
        <f t="shared" si="26"/>
        <v>1800.3703417959005</v>
      </c>
      <c r="L112" s="269">
        <f t="shared" si="29"/>
        <v>313.07736521723928</v>
      </c>
      <c r="M112" s="270">
        <f t="shared" si="30"/>
        <v>1800.3703417959005</v>
      </c>
      <c r="N112" s="97"/>
      <c r="O112" s="271"/>
      <c r="P112" s="271"/>
      <c r="Q112" s="271"/>
      <c r="R112" s="271"/>
      <c r="S112" s="271"/>
      <c r="T112" s="271"/>
    </row>
    <row r="113" spans="1:20" s="230" customFormat="1" ht="15">
      <c r="A113" s="267">
        <f t="shared" si="31"/>
        <v>47787</v>
      </c>
      <c r="B113" s="269">
        <f t="shared" si="34"/>
        <v>401124.10662042513</v>
      </c>
      <c r="C113" s="269">
        <f t="shared" si="34"/>
        <v>401124.10662042513</v>
      </c>
      <c r="D113" s="269">
        <f t="shared" si="35"/>
        <v>1490.84459627258</v>
      </c>
      <c r="E113" s="269"/>
      <c r="F113" s="269">
        <f t="shared" si="36"/>
        <v>-394041.75911290769</v>
      </c>
      <c r="G113" s="269">
        <f t="shared" si="36"/>
        <v>-401124.10662042513</v>
      </c>
      <c r="H113" s="269">
        <f t="shared" si="37"/>
        <v>7082.3475075174356</v>
      </c>
      <c r="I113" s="269">
        <f t="shared" si="37"/>
        <v>0</v>
      </c>
      <c r="J113" s="269">
        <f t="shared" si="28"/>
        <v>-7082.3475075174356</v>
      </c>
      <c r="K113" s="269">
        <f t="shared" si="26"/>
        <v>1487.2929765786614</v>
      </c>
      <c r="L113" s="269">
        <f t="shared" si="29"/>
        <v>313.07736521723905</v>
      </c>
      <c r="M113" s="270">
        <f t="shared" si="30"/>
        <v>1487.2929765786614</v>
      </c>
      <c r="N113" s="97"/>
      <c r="O113" s="271"/>
      <c r="P113" s="271"/>
      <c r="Q113" s="271"/>
      <c r="R113" s="271"/>
      <c r="S113" s="271"/>
      <c r="T113" s="271"/>
    </row>
    <row r="114" spans="1:20" s="230" customFormat="1" ht="15">
      <c r="A114" s="267">
        <f t="shared" si="31"/>
        <v>47817</v>
      </c>
      <c r="B114" s="269">
        <f t="shared" si="34"/>
        <v>401124.10662042513</v>
      </c>
      <c r="C114" s="269">
        <f t="shared" si="34"/>
        <v>401124.10662042513</v>
      </c>
      <c r="D114" s="269">
        <f t="shared" si="35"/>
        <v>1490.84459627258</v>
      </c>
      <c r="E114" s="269"/>
      <c r="F114" s="269">
        <f t="shared" si="36"/>
        <v>-395532.60370918026</v>
      </c>
      <c r="G114" s="269">
        <f t="shared" si="36"/>
        <v>-401124.10662042513</v>
      </c>
      <c r="H114" s="269">
        <f t="shared" si="37"/>
        <v>5591.5029112448683</v>
      </c>
      <c r="I114" s="269">
        <f t="shared" si="37"/>
        <v>0</v>
      </c>
      <c r="J114" s="269">
        <f t="shared" si="28"/>
        <v>-5591.5029112448683</v>
      </c>
      <c r="K114" s="269">
        <f t="shared" si="26"/>
        <v>1174.2156113614224</v>
      </c>
      <c r="L114" s="269">
        <f t="shared" si="29"/>
        <v>313.07736521723905</v>
      </c>
      <c r="M114" s="270">
        <f t="shared" si="30"/>
        <v>1174.2156113614224</v>
      </c>
      <c r="N114" s="97"/>
      <c r="O114" s="271"/>
      <c r="P114" s="271"/>
      <c r="Q114" s="271"/>
      <c r="R114" s="271"/>
      <c r="S114" s="271"/>
      <c r="T114" s="271"/>
    </row>
    <row r="115" spans="1:20" s="230" customFormat="1" ht="15">
      <c r="A115" s="267">
        <f t="shared" si="31"/>
        <v>47848</v>
      </c>
      <c r="B115" s="269">
        <f t="shared" si="34"/>
        <v>401124.10662042513</v>
      </c>
      <c r="C115" s="269">
        <f t="shared" si="34"/>
        <v>401124.10662042513</v>
      </c>
      <c r="D115" s="269">
        <f t="shared" si="35"/>
        <v>1490.84459627258</v>
      </c>
      <c r="E115" s="269"/>
      <c r="F115" s="269">
        <f t="shared" si="36"/>
        <v>-397023.44830545282</v>
      </c>
      <c r="G115" s="269">
        <f t="shared" si="36"/>
        <v>-401124.10662042513</v>
      </c>
      <c r="H115" s="269">
        <f t="shared" si="37"/>
        <v>4100.658314972301</v>
      </c>
      <c r="I115" s="269">
        <f t="shared" si="37"/>
        <v>0</v>
      </c>
      <c r="J115" s="269">
        <f t="shared" si="28"/>
        <v>-4100.658314972301</v>
      </c>
      <c r="K115" s="269">
        <f t="shared" si="26"/>
        <v>861.1382461441832</v>
      </c>
      <c r="L115" s="269">
        <f t="shared" si="29"/>
        <v>313.07736521723916</v>
      </c>
      <c r="M115" s="270">
        <f t="shared" si="30"/>
        <v>861.1382461441832</v>
      </c>
      <c r="N115" s="97"/>
      <c r="O115" s="271"/>
      <c r="P115" s="271"/>
      <c r="Q115" s="271"/>
      <c r="R115" s="271"/>
      <c r="S115" s="271"/>
      <c r="T115" s="271"/>
    </row>
    <row r="116" spans="1:20" s="230" customFormat="1" ht="15">
      <c r="A116" s="267">
        <f t="shared" si="31"/>
        <v>47879</v>
      </c>
      <c r="B116" s="269">
        <f t="shared" si="34"/>
        <v>401124.10662042513</v>
      </c>
      <c r="C116" s="269">
        <f t="shared" si="34"/>
        <v>401124.10662042513</v>
      </c>
      <c r="D116" s="269">
        <f t="shared" si="35"/>
        <v>1490.84459627258</v>
      </c>
      <c r="E116" s="269"/>
      <c r="F116" s="269">
        <f t="shared" si="36"/>
        <v>-398514.29290172539</v>
      </c>
      <c r="G116" s="269">
        <f t="shared" si="36"/>
        <v>-401124.10662042513</v>
      </c>
      <c r="H116" s="269">
        <f t="shared" si="37"/>
        <v>2609.8137186997337</v>
      </c>
      <c r="I116" s="269">
        <f t="shared" si="37"/>
        <v>0</v>
      </c>
      <c r="J116" s="269">
        <f t="shared" si="28"/>
        <v>-2609.8137186997337</v>
      </c>
      <c r="K116" s="269">
        <f t="shared" ref="K116:K142" si="38">-J116*$K$15</f>
        <v>548.06088092694404</v>
      </c>
      <c r="L116" s="269">
        <f t="shared" si="29"/>
        <v>313.07736521723916</v>
      </c>
      <c r="M116" s="270">
        <f t="shared" si="30"/>
        <v>548.06088092694404</v>
      </c>
      <c r="N116" s="97"/>
      <c r="O116" s="271"/>
      <c r="P116" s="271"/>
      <c r="Q116" s="271"/>
      <c r="R116" s="271"/>
      <c r="S116" s="271"/>
      <c r="T116" s="271"/>
    </row>
    <row r="117" spans="1:20" s="230" customFormat="1" ht="15">
      <c r="A117" s="267">
        <f t="shared" si="31"/>
        <v>47907</v>
      </c>
      <c r="B117" s="269">
        <f t="shared" si="34"/>
        <v>401124.10662042513</v>
      </c>
      <c r="C117" s="269">
        <f t="shared" si="34"/>
        <v>401124.10662042513</v>
      </c>
      <c r="D117" s="269">
        <f t="shared" si="35"/>
        <v>1490.84459627258</v>
      </c>
      <c r="E117" s="269"/>
      <c r="F117" s="269">
        <f t="shared" ref="F117:G132" si="39">F116-D117</f>
        <v>-400005.13749799796</v>
      </c>
      <c r="G117" s="269">
        <f t="shared" si="39"/>
        <v>-401124.10662042513</v>
      </c>
      <c r="H117" s="269">
        <f t="shared" si="37"/>
        <v>1118.9691224271664</v>
      </c>
      <c r="I117" s="269">
        <f t="shared" si="37"/>
        <v>0</v>
      </c>
      <c r="J117" s="269">
        <f t="shared" si="28"/>
        <v>-1118.9691224271664</v>
      </c>
      <c r="K117" s="269">
        <f t="shared" si="38"/>
        <v>234.98351570970493</v>
      </c>
      <c r="L117" s="269">
        <f t="shared" si="29"/>
        <v>313.07736521723911</v>
      </c>
      <c r="M117" s="270">
        <f t="shared" si="30"/>
        <v>234.98351570970493</v>
      </c>
      <c r="N117" s="97"/>
      <c r="O117" s="271"/>
      <c r="P117" s="271"/>
      <c r="Q117" s="271"/>
      <c r="R117" s="271"/>
      <c r="S117" s="271"/>
      <c r="T117" s="271"/>
    </row>
    <row r="118" spans="1:20" s="230" customFormat="1" ht="15">
      <c r="A118" s="267">
        <f t="shared" si="31"/>
        <v>47938</v>
      </c>
      <c r="B118" s="269">
        <f t="shared" si="34"/>
        <v>401124.10662042513</v>
      </c>
      <c r="C118" s="269">
        <f t="shared" si="34"/>
        <v>401124.10662042513</v>
      </c>
      <c r="D118" s="269">
        <f>B117+F117</f>
        <v>1118.9691224271664</v>
      </c>
      <c r="E118" s="269"/>
      <c r="F118" s="269">
        <f t="shared" si="39"/>
        <v>-401124.10662042513</v>
      </c>
      <c r="G118" s="269">
        <f t="shared" si="39"/>
        <v>-401124.10662042513</v>
      </c>
      <c r="H118" s="269">
        <f t="shared" si="37"/>
        <v>0</v>
      </c>
      <c r="I118" s="269">
        <f t="shared" si="37"/>
        <v>0</v>
      </c>
      <c r="J118" s="269">
        <f t="shared" si="28"/>
        <v>0</v>
      </c>
      <c r="K118" s="269">
        <f t="shared" si="38"/>
        <v>0</v>
      </c>
      <c r="L118" s="269">
        <f t="shared" si="29"/>
        <v>234.98351570970493</v>
      </c>
      <c r="M118" s="270">
        <f t="shared" si="30"/>
        <v>0</v>
      </c>
      <c r="N118" s="97"/>
      <c r="O118" s="271"/>
      <c r="P118" s="271"/>
      <c r="Q118" s="271"/>
      <c r="R118" s="271"/>
      <c r="S118" s="271"/>
      <c r="T118" s="271"/>
    </row>
    <row r="119" spans="1:20" s="230" customFormat="1" ht="15">
      <c r="A119" s="267">
        <f t="shared" si="31"/>
        <v>47968</v>
      </c>
      <c r="B119" s="269">
        <f t="shared" ref="B119:C134" si="40">B118</f>
        <v>401124.10662042513</v>
      </c>
      <c r="C119" s="269">
        <f t="shared" si="40"/>
        <v>401124.10662042513</v>
      </c>
      <c r="D119" s="269"/>
      <c r="E119" s="269"/>
      <c r="F119" s="269">
        <f t="shared" si="39"/>
        <v>-401124.10662042513</v>
      </c>
      <c r="G119" s="269">
        <f t="shared" si="39"/>
        <v>-401124.10662042513</v>
      </c>
      <c r="H119" s="269">
        <f t="shared" si="37"/>
        <v>0</v>
      </c>
      <c r="I119" s="269">
        <f t="shared" si="37"/>
        <v>0</v>
      </c>
      <c r="J119" s="269">
        <f t="shared" si="28"/>
        <v>0</v>
      </c>
      <c r="K119" s="269">
        <f t="shared" si="38"/>
        <v>0</v>
      </c>
      <c r="L119" s="269">
        <f t="shared" si="29"/>
        <v>0</v>
      </c>
      <c r="M119" s="270">
        <f t="shared" si="30"/>
        <v>0</v>
      </c>
      <c r="N119" s="97"/>
      <c r="O119" s="271"/>
      <c r="P119" s="271"/>
      <c r="Q119" s="271"/>
      <c r="R119" s="271"/>
      <c r="S119" s="271"/>
      <c r="T119" s="271"/>
    </row>
    <row r="120" spans="1:20" s="230" customFormat="1" ht="15">
      <c r="A120" s="267">
        <f t="shared" si="31"/>
        <v>47999</v>
      </c>
      <c r="B120" s="269">
        <f t="shared" si="40"/>
        <v>401124.10662042513</v>
      </c>
      <c r="C120" s="269">
        <f t="shared" si="40"/>
        <v>401124.10662042513</v>
      </c>
      <c r="D120" s="269"/>
      <c r="E120" s="269"/>
      <c r="F120" s="269">
        <f t="shared" si="39"/>
        <v>-401124.10662042513</v>
      </c>
      <c r="G120" s="269">
        <f t="shared" si="39"/>
        <v>-401124.10662042513</v>
      </c>
      <c r="H120" s="269">
        <f t="shared" si="37"/>
        <v>0</v>
      </c>
      <c r="I120" s="269">
        <f t="shared" si="37"/>
        <v>0</v>
      </c>
      <c r="J120" s="269">
        <f t="shared" si="28"/>
        <v>0</v>
      </c>
      <c r="K120" s="269">
        <f t="shared" si="38"/>
        <v>0</v>
      </c>
      <c r="L120" s="269">
        <f t="shared" si="29"/>
        <v>0</v>
      </c>
      <c r="M120" s="270">
        <f t="shared" si="30"/>
        <v>0</v>
      </c>
      <c r="N120" s="97"/>
      <c r="O120" s="271"/>
      <c r="P120" s="271"/>
      <c r="Q120" s="271"/>
      <c r="R120" s="271"/>
      <c r="S120" s="271"/>
      <c r="T120" s="271"/>
    </row>
    <row r="121" spans="1:20" s="230" customFormat="1" ht="15">
      <c r="A121" s="267">
        <f t="shared" si="31"/>
        <v>48029</v>
      </c>
      <c r="B121" s="269">
        <f t="shared" si="40"/>
        <v>401124.10662042513</v>
      </c>
      <c r="C121" s="269">
        <f t="shared" si="40"/>
        <v>401124.10662042513</v>
      </c>
      <c r="D121" s="269"/>
      <c r="E121" s="269"/>
      <c r="F121" s="269">
        <f t="shared" si="39"/>
        <v>-401124.10662042513</v>
      </c>
      <c r="G121" s="269">
        <f t="shared" si="39"/>
        <v>-401124.10662042513</v>
      </c>
      <c r="H121" s="269">
        <f t="shared" si="37"/>
        <v>0</v>
      </c>
      <c r="I121" s="269">
        <f t="shared" si="37"/>
        <v>0</v>
      </c>
      <c r="J121" s="269">
        <f t="shared" si="28"/>
        <v>0</v>
      </c>
      <c r="K121" s="269">
        <f t="shared" si="38"/>
        <v>0</v>
      </c>
      <c r="L121" s="269">
        <f t="shared" si="29"/>
        <v>0</v>
      </c>
      <c r="M121" s="270">
        <f t="shared" si="30"/>
        <v>0</v>
      </c>
      <c r="N121" s="97"/>
      <c r="O121" s="271"/>
      <c r="P121" s="271"/>
      <c r="Q121" s="271"/>
      <c r="R121" s="271"/>
      <c r="S121" s="271"/>
      <c r="T121" s="271"/>
    </row>
    <row r="122" spans="1:20" s="230" customFormat="1" ht="15">
      <c r="A122" s="267">
        <f t="shared" si="31"/>
        <v>48060</v>
      </c>
      <c r="B122" s="269">
        <f t="shared" si="40"/>
        <v>401124.10662042513</v>
      </c>
      <c r="C122" s="269">
        <f t="shared" si="40"/>
        <v>401124.10662042513</v>
      </c>
      <c r="D122" s="269"/>
      <c r="E122" s="269"/>
      <c r="F122" s="269">
        <f t="shared" si="39"/>
        <v>-401124.10662042513</v>
      </c>
      <c r="G122" s="269">
        <f t="shared" si="39"/>
        <v>-401124.10662042513</v>
      </c>
      <c r="H122" s="269">
        <f t="shared" si="37"/>
        <v>0</v>
      </c>
      <c r="I122" s="269">
        <f t="shared" si="37"/>
        <v>0</v>
      </c>
      <c r="J122" s="269">
        <f t="shared" si="28"/>
        <v>0</v>
      </c>
      <c r="K122" s="269">
        <f t="shared" si="38"/>
        <v>0</v>
      </c>
      <c r="L122" s="269">
        <f t="shared" si="29"/>
        <v>0</v>
      </c>
      <c r="M122" s="270">
        <f t="shared" si="30"/>
        <v>0</v>
      </c>
      <c r="N122" s="97"/>
      <c r="O122" s="271"/>
      <c r="P122" s="271"/>
      <c r="Q122" s="271"/>
      <c r="R122" s="271"/>
      <c r="S122" s="271"/>
      <c r="T122" s="271"/>
    </row>
    <row r="123" spans="1:20" s="230" customFormat="1" ht="15">
      <c r="A123" s="267">
        <f t="shared" si="31"/>
        <v>48091</v>
      </c>
      <c r="B123" s="269">
        <f t="shared" si="40"/>
        <v>401124.10662042513</v>
      </c>
      <c r="C123" s="269">
        <f t="shared" si="40"/>
        <v>401124.10662042513</v>
      </c>
      <c r="D123" s="269"/>
      <c r="E123" s="269"/>
      <c r="F123" s="269">
        <f t="shared" si="39"/>
        <v>-401124.10662042513</v>
      </c>
      <c r="G123" s="269">
        <f t="shared" si="39"/>
        <v>-401124.10662042513</v>
      </c>
      <c r="H123" s="269">
        <f t="shared" si="37"/>
        <v>0</v>
      </c>
      <c r="I123" s="269">
        <f t="shared" si="37"/>
        <v>0</v>
      </c>
      <c r="J123" s="269">
        <f t="shared" si="28"/>
        <v>0</v>
      </c>
      <c r="K123" s="269">
        <f t="shared" si="38"/>
        <v>0</v>
      </c>
      <c r="L123" s="269">
        <f t="shared" si="29"/>
        <v>0</v>
      </c>
      <c r="M123" s="270">
        <f t="shared" si="30"/>
        <v>0</v>
      </c>
      <c r="N123" s="97"/>
      <c r="O123" s="271"/>
      <c r="P123" s="271"/>
      <c r="Q123" s="271"/>
      <c r="R123" s="271"/>
      <c r="S123" s="271"/>
      <c r="T123" s="271"/>
    </row>
    <row r="124" spans="1:20" s="230" customFormat="1" ht="15">
      <c r="A124" s="267">
        <f t="shared" si="31"/>
        <v>48121</v>
      </c>
      <c r="B124" s="269">
        <f t="shared" si="40"/>
        <v>401124.10662042513</v>
      </c>
      <c r="C124" s="269">
        <f t="shared" si="40"/>
        <v>401124.10662042513</v>
      </c>
      <c r="D124" s="269"/>
      <c r="E124" s="269"/>
      <c r="F124" s="269">
        <f t="shared" si="39"/>
        <v>-401124.10662042513</v>
      </c>
      <c r="G124" s="269">
        <f t="shared" si="39"/>
        <v>-401124.10662042513</v>
      </c>
      <c r="H124" s="269">
        <f t="shared" si="37"/>
        <v>0</v>
      </c>
      <c r="I124" s="269">
        <f t="shared" si="37"/>
        <v>0</v>
      </c>
      <c r="J124" s="269">
        <f t="shared" si="28"/>
        <v>0</v>
      </c>
      <c r="K124" s="269">
        <f t="shared" si="38"/>
        <v>0</v>
      </c>
      <c r="L124" s="269">
        <f t="shared" si="29"/>
        <v>0</v>
      </c>
      <c r="M124" s="270">
        <f t="shared" si="30"/>
        <v>0</v>
      </c>
      <c r="N124" s="97"/>
      <c r="O124" s="271"/>
      <c r="P124" s="271"/>
      <c r="Q124" s="271"/>
      <c r="R124" s="271"/>
      <c r="S124" s="271"/>
      <c r="T124" s="271"/>
    </row>
    <row r="125" spans="1:20" s="230" customFormat="1" ht="15">
      <c r="A125" s="267">
        <f t="shared" si="31"/>
        <v>48152</v>
      </c>
      <c r="B125" s="269">
        <f t="shared" si="40"/>
        <v>401124.10662042513</v>
      </c>
      <c r="C125" s="269">
        <f t="shared" si="40"/>
        <v>401124.10662042513</v>
      </c>
      <c r="D125" s="269"/>
      <c r="E125" s="269"/>
      <c r="F125" s="269">
        <f t="shared" si="39"/>
        <v>-401124.10662042513</v>
      </c>
      <c r="G125" s="269">
        <f t="shared" si="39"/>
        <v>-401124.10662042513</v>
      </c>
      <c r="H125" s="269">
        <f t="shared" si="37"/>
        <v>0</v>
      </c>
      <c r="I125" s="269">
        <f t="shared" si="37"/>
        <v>0</v>
      </c>
      <c r="J125" s="269">
        <f t="shared" si="28"/>
        <v>0</v>
      </c>
      <c r="K125" s="269">
        <f t="shared" si="38"/>
        <v>0</v>
      </c>
      <c r="L125" s="269">
        <f t="shared" si="29"/>
        <v>0</v>
      </c>
      <c r="M125" s="270">
        <f t="shared" si="30"/>
        <v>0</v>
      </c>
      <c r="N125" s="97"/>
      <c r="O125" s="271"/>
      <c r="P125" s="271"/>
      <c r="Q125" s="271"/>
      <c r="R125" s="271"/>
      <c r="S125" s="271"/>
      <c r="T125" s="271"/>
    </row>
    <row r="126" spans="1:20" s="230" customFormat="1" ht="15">
      <c r="A126" s="267">
        <f t="shared" si="31"/>
        <v>48182</v>
      </c>
      <c r="B126" s="269">
        <f t="shared" si="40"/>
        <v>401124.10662042513</v>
      </c>
      <c r="C126" s="269">
        <f t="shared" si="40"/>
        <v>401124.10662042513</v>
      </c>
      <c r="D126" s="269"/>
      <c r="E126" s="269"/>
      <c r="F126" s="269">
        <f t="shared" si="39"/>
        <v>-401124.10662042513</v>
      </c>
      <c r="G126" s="269">
        <f t="shared" si="39"/>
        <v>-401124.10662042513</v>
      </c>
      <c r="H126" s="269">
        <f t="shared" si="37"/>
        <v>0</v>
      </c>
      <c r="I126" s="269">
        <f t="shared" si="37"/>
        <v>0</v>
      </c>
      <c r="J126" s="269">
        <f t="shared" si="28"/>
        <v>0</v>
      </c>
      <c r="K126" s="269">
        <f t="shared" si="38"/>
        <v>0</v>
      </c>
      <c r="L126" s="269">
        <f t="shared" si="29"/>
        <v>0</v>
      </c>
      <c r="M126" s="270">
        <f t="shared" si="30"/>
        <v>0</v>
      </c>
      <c r="N126" s="97"/>
      <c r="O126" s="271"/>
      <c r="P126" s="271"/>
      <c r="Q126" s="271"/>
      <c r="R126" s="271"/>
      <c r="S126" s="271"/>
      <c r="T126" s="271"/>
    </row>
    <row r="127" spans="1:20" s="230" customFormat="1" ht="15">
      <c r="A127" s="267">
        <f t="shared" si="31"/>
        <v>48213</v>
      </c>
      <c r="B127" s="269">
        <f t="shared" si="40"/>
        <v>401124.10662042513</v>
      </c>
      <c r="C127" s="269">
        <f t="shared" si="40"/>
        <v>401124.10662042513</v>
      </c>
      <c r="D127" s="269"/>
      <c r="E127" s="269"/>
      <c r="F127" s="269">
        <f t="shared" si="39"/>
        <v>-401124.10662042513</v>
      </c>
      <c r="G127" s="269">
        <f t="shared" si="39"/>
        <v>-401124.10662042513</v>
      </c>
      <c r="H127" s="269">
        <f t="shared" si="37"/>
        <v>0</v>
      </c>
      <c r="I127" s="269">
        <f t="shared" si="37"/>
        <v>0</v>
      </c>
      <c r="J127" s="269">
        <f t="shared" si="28"/>
        <v>0</v>
      </c>
      <c r="K127" s="269">
        <f t="shared" si="38"/>
        <v>0</v>
      </c>
      <c r="L127" s="269">
        <f t="shared" si="29"/>
        <v>0</v>
      </c>
      <c r="M127" s="270">
        <f t="shared" si="30"/>
        <v>0</v>
      </c>
      <c r="N127" s="97"/>
      <c r="O127" s="271"/>
      <c r="P127" s="271"/>
      <c r="Q127" s="271"/>
      <c r="R127" s="271"/>
      <c r="S127" s="271"/>
      <c r="T127" s="271"/>
    </row>
    <row r="128" spans="1:20" s="230" customFormat="1" ht="15">
      <c r="A128" s="267">
        <f t="shared" si="31"/>
        <v>48244</v>
      </c>
      <c r="B128" s="269">
        <f t="shared" si="40"/>
        <v>401124.10662042513</v>
      </c>
      <c r="C128" s="269">
        <f t="shared" si="40"/>
        <v>401124.10662042513</v>
      </c>
      <c r="D128" s="269"/>
      <c r="E128" s="269"/>
      <c r="F128" s="269">
        <f t="shared" si="39"/>
        <v>-401124.10662042513</v>
      </c>
      <c r="G128" s="269">
        <f t="shared" si="39"/>
        <v>-401124.10662042513</v>
      </c>
      <c r="H128" s="269">
        <f t="shared" ref="H128:I142" si="41">B128+F128</f>
        <v>0</v>
      </c>
      <c r="I128" s="269">
        <f t="shared" si="41"/>
        <v>0</v>
      </c>
      <c r="J128" s="269">
        <f t="shared" si="28"/>
        <v>0</v>
      </c>
      <c r="K128" s="269">
        <f t="shared" si="38"/>
        <v>0</v>
      </c>
      <c r="L128" s="269">
        <f t="shared" si="29"/>
        <v>0</v>
      </c>
      <c r="M128" s="270">
        <f t="shared" si="30"/>
        <v>0</v>
      </c>
      <c r="N128" s="97"/>
      <c r="O128" s="271"/>
      <c r="P128" s="271"/>
      <c r="Q128" s="271"/>
      <c r="R128" s="271"/>
      <c r="S128" s="271"/>
      <c r="T128" s="271"/>
    </row>
    <row r="129" spans="1:20" s="230" customFormat="1" ht="15">
      <c r="A129" s="267">
        <f t="shared" si="31"/>
        <v>48273</v>
      </c>
      <c r="B129" s="269">
        <f t="shared" si="40"/>
        <v>401124.10662042513</v>
      </c>
      <c r="C129" s="269">
        <f t="shared" si="40"/>
        <v>401124.10662042513</v>
      </c>
      <c r="D129" s="269"/>
      <c r="E129" s="269"/>
      <c r="F129" s="269">
        <f t="shared" si="39"/>
        <v>-401124.10662042513</v>
      </c>
      <c r="G129" s="269">
        <f t="shared" si="39"/>
        <v>-401124.10662042513</v>
      </c>
      <c r="H129" s="269">
        <f t="shared" si="41"/>
        <v>0</v>
      </c>
      <c r="I129" s="269">
        <f t="shared" si="41"/>
        <v>0</v>
      </c>
      <c r="J129" s="269">
        <f t="shared" si="28"/>
        <v>0</v>
      </c>
      <c r="K129" s="269">
        <f t="shared" si="38"/>
        <v>0</v>
      </c>
      <c r="L129" s="269">
        <f t="shared" si="29"/>
        <v>0</v>
      </c>
      <c r="M129" s="270">
        <f t="shared" si="30"/>
        <v>0</v>
      </c>
      <c r="N129" s="97"/>
      <c r="O129" s="271"/>
      <c r="P129" s="271"/>
      <c r="Q129" s="271"/>
      <c r="R129" s="271"/>
      <c r="S129" s="271"/>
      <c r="T129" s="271"/>
    </row>
    <row r="130" spans="1:20" s="230" customFormat="1" ht="15">
      <c r="A130" s="267">
        <f t="shared" si="31"/>
        <v>48304</v>
      </c>
      <c r="B130" s="269">
        <f t="shared" si="40"/>
        <v>401124.10662042513</v>
      </c>
      <c r="C130" s="269">
        <f t="shared" si="40"/>
        <v>401124.10662042513</v>
      </c>
      <c r="D130" s="269"/>
      <c r="E130" s="269"/>
      <c r="F130" s="269">
        <f t="shared" si="39"/>
        <v>-401124.10662042513</v>
      </c>
      <c r="G130" s="269">
        <f t="shared" si="39"/>
        <v>-401124.10662042513</v>
      </c>
      <c r="H130" s="269">
        <f t="shared" si="41"/>
        <v>0</v>
      </c>
      <c r="I130" s="269">
        <f t="shared" si="41"/>
        <v>0</v>
      </c>
      <c r="J130" s="269">
        <f t="shared" si="28"/>
        <v>0</v>
      </c>
      <c r="K130" s="269">
        <f t="shared" si="38"/>
        <v>0</v>
      </c>
      <c r="L130" s="269">
        <f t="shared" si="29"/>
        <v>0</v>
      </c>
      <c r="M130" s="270">
        <f t="shared" si="30"/>
        <v>0</v>
      </c>
      <c r="N130" s="97"/>
      <c r="O130" s="271"/>
      <c r="P130" s="271"/>
      <c r="Q130" s="271"/>
      <c r="R130" s="271"/>
      <c r="S130" s="271"/>
      <c r="T130" s="271"/>
    </row>
    <row r="131" spans="1:20" s="230" customFormat="1" ht="15">
      <c r="A131" s="267">
        <f t="shared" si="31"/>
        <v>48334</v>
      </c>
      <c r="B131" s="269">
        <f t="shared" si="40"/>
        <v>401124.10662042513</v>
      </c>
      <c r="C131" s="269">
        <f t="shared" si="40"/>
        <v>401124.10662042513</v>
      </c>
      <c r="D131" s="269"/>
      <c r="E131" s="269"/>
      <c r="F131" s="269">
        <f t="shared" si="39"/>
        <v>-401124.10662042513</v>
      </c>
      <c r="G131" s="269">
        <f t="shared" si="39"/>
        <v>-401124.10662042513</v>
      </c>
      <c r="H131" s="269">
        <f t="shared" si="41"/>
        <v>0</v>
      </c>
      <c r="I131" s="269">
        <f t="shared" si="41"/>
        <v>0</v>
      </c>
      <c r="J131" s="269">
        <f t="shared" si="28"/>
        <v>0</v>
      </c>
      <c r="K131" s="269">
        <f t="shared" si="38"/>
        <v>0</v>
      </c>
      <c r="L131" s="269">
        <f t="shared" si="29"/>
        <v>0</v>
      </c>
      <c r="M131" s="270">
        <f t="shared" si="30"/>
        <v>0</v>
      </c>
      <c r="N131" s="97"/>
      <c r="O131" s="271"/>
      <c r="P131" s="271"/>
      <c r="Q131" s="271"/>
      <c r="R131" s="271"/>
      <c r="S131" s="271"/>
      <c r="T131" s="271"/>
    </row>
    <row r="132" spans="1:20" s="230" customFormat="1" ht="15">
      <c r="A132" s="267">
        <f t="shared" si="31"/>
        <v>48365</v>
      </c>
      <c r="B132" s="269">
        <f t="shared" si="40"/>
        <v>401124.10662042513</v>
      </c>
      <c r="C132" s="269">
        <f t="shared" si="40"/>
        <v>401124.10662042513</v>
      </c>
      <c r="D132" s="269"/>
      <c r="E132" s="269"/>
      <c r="F132" s="269">
        <f t="shared" si="39"/>
        <v>-401124.10662042513</v>
      </c>
      <c r="G132" s="269">
        <f t="shared" si="39"/>
        <v>-401124.10662042513</v>
      </c>
      <c r="H132" s="269">
        <f t="shared" si="41"/>
        <v>0</v>
      </c>
      <c r="I132" s="269">
        <f t="shared" si="41"/>
        <v>0</v>
      </c>
      <c r="J132" s="269">
        <f t="shared" si="28"/>
        <v>0</v>
      </c>
      <c r="K132" s="269">
        <f t="shared" si="38"/>
        <v>0</v>
      </c>
      <c r="L132" s="269">
        <f t="shared" si="29"/>
        <v>0</v>
      </c>
      <c r="M132" s="270">
        <f t="shared" si="30"/>
        <v>0</v>
      </c>
      <c r="N132" s="97"/>
      <c r="O132" s="271"/>
      <c r="P132" s="271"/>
      <c r="Q132" s="271"/>
      <c r="R132" s="271"/>
      <c r="S132" s="271"/>
      <c r="T132" s="271"/>
    </row>
    <row r="133" spans="1:20" s="230" customFormat="1" ht="15">
      <c r="A133" s="267">
        <f t="shared" si="31"/>
        <v>48395</v>
      </c>
      <c r="B133" s="269">
        <f t="shared" si="40"/>
        <v>401124.10662042513</v>
      </c>
      <c r="C133" s="269">
        <f t="shared" si="40"/>
        <v>401124.10662042513</v>
      </c>
      <c r="D133" s="269"/>
      <c r="E133" s="269"/>
      <c r="F133" s="269">
        <f t="shared" ref="F133:G142" si="42">F132-D133</f>
        <v>-401124.10662042513</v>
      </c>
      <c r="G133" s="269">
        <f t="shared" si="42"/>
        <v>-401124.10662042513</v>
      </c>
      <c r="H133" s="269">
        <f t="shared" si="41"/>
        <v>0</v>
      </c>
      <c r="I133" s="269">
        <f t="shared" si="41"/>
        <v>0</v>
      </c>
      <c r="J133" s="269">
        <f t="shared" si="28"/>
        <v>0</v>
      </c>
      <c r="K133" s="269">
        <f t="shared" si="38"/>
        <v>0</v>
      </c>
      <c r="L133" s="269">
        <f t="shared" si="29"/>
        <v>0</v>
      </c>
      <c r="M133" s="270">
        <f t="shared" si="30"/>
        <v>0</v>
      </c>
      <c r="N133" s="97"/>
      <c r="O133" s="271"/>
      <c r="P133" s="271"/>
      <c r="Q133" s="271"/>
      <c r="R133" s="271"/>
      <c r="S133" s="271"/>
      <c r="T133" s="271"/>
    </row>
    <row r="134" spans="1:20" s="230" customFormat="1" ht="15">
      <c r="A134" s="267">
        <f t="shared" si="31"/>
        <v>48426</v>
      </c>
      <c r="B134" s="269">
        <f t="shared" si="40"/>
        <v>401124.10662042513</v>
      </c>
      <c r="C134" s="269">
        <f t="shared" si="40"/>
        <v>401124.10662042513</v>
      </c>
      <c r="D134" s="269"/>
      <c r="E134" s="269"/>
      <c r="F134" s="269">
        <f t="shared" si="42"/>
        <v>-401124.10662042513</v>
      </c>
      <c r="G134" s="269">
        <f t="shared" si="42"/>
        <v>-401124.10662042513</v>
      </c>
      <c r="H134" s="269">
        <f t="shared" si="41"/>
        <v>0</v>
      </c>
      <c r="I134" s="269">
        <f t="shared" si="41"/>
        <v>0</v>
      </c>
      <c r="J134" s="269">
        <f t="shared" si="28"/>
        <v>0</v>
      </c>
      <c r="K134" s="269">
        <f t="shared" si="38"/>
        <v>0</v>
      </c>
      <c r="L134" s="269">
        <f t="shared" si="29"/>
        <v>0</v>
      </c>
      <c r="M134" s="270">
        <f t="shared" si="30"/>
        <v>0</v>
      </c>
      <c r="N134" s="97"/>
      <c r="O134" s="271"/>
      <c r="P134" s="271"/>
      <c r="Q134" s="271"/>
      <c r="R134" s="271"/>
      <c r="S134" s="271"/>
      <c r="T134" s="271"/>
    </row>
    <row r="135" spans="1:20" s="230" customFormat="1" ht="15">
      <c r="A135" s="267">
        <f t="shared" si="31"/>
        <v>48457</v>
      </c>
      <c r="B135" s="269">
        <f t="shared" ref="B135:C142" si="43">B134</f>
        <v>401124.10662042513</v>
      </c>
      <c r="C135" s="269">
        <f t="shared" si="43"/>
        <v>401124.10662042513</v>
      </c>
      <c r="D135" s="269"/>
      <c r="E135" s="269"/>
      <c r="F135" s="269">
        <f t="shared" si="42"/>
        <v>-401124.10662042513</v>
      </c>
      <c r="G135" s="269">
        <f t="shared" si="42"/>
        <v>-401124.10662042513</v>
      </c>
      <c r="H135" s="269">
        <f t="shared" si="41"/>
        <v>0</v>
      </c>
      <c r="I135" s="269">
        <f t="shared" si="41"/>
        <v>0</v>
      </c>
      <c r="J135" s="269">
        <f t="shared" si="28"/>
        <v>0</v>
      </c>
      <c r="K135" s="269">
        <f t="shared" si="38"/>
        <v>0</v>
      </c>
      <c r="L135" s="269">
        <f t="shared" si="29"/>
        <v>0</v>
      </c>
      <c r="M135" s="270">
        <f t="shared" si="30"/>
        <v>0</v>
      </c>
      <c r="N135" s="97"/>
      <c r="O135" s="271"/>
      <c r="P135" s="271"/>
      <c r="Q135" s="271"/>
      <c r="R135" s="271"/>
      <c r="S135" s="271"/>
      <c r="T135" s="271"/>
    </row>
    <row r="136" spans="1:20" s="230" customFormat="1" ht="15">
      <c r="A136" s="267">
        <f t="shared" si="31"/>
        <v>48487</v>
      </c>
      <c r="B136" s="269">
        <f t="shared" si="43"/>
        <v>401124.10662042513</v>
      </c>
      <c r="C136" s="269">
        <f t="shared" si="43"/>
        <v>401124.10662042513</v>
      </c>
      <c r="D136" s="269"/>
      <c r="E136" s="269"/>
      <c r="F136" s="269">
        <f t="shared" si="42"/>
        <v>-401124.10662042513</v>
      </c>
      <c r="G136" s="269">
        <f t="shared" si="42"/>
        <v>-401124.10662042513</v>
      </c>
      <c r="H136" s="269">
        <f t="shared" si="41"/>
        <v>0</v>
      </c>
      <c r="I136" s="269">
        <f t="shared" si="41"/>
        <v>0</v>
      </c>
      <c r="J136" s="269">
        <f t="shared" si="28"/>
        <v>0</v>
      </c>
      <c r="K136" s="269">
        <f t="shared" si="38"/>
        <v>0</v>
      </c>
      <c r="L136" s="269">
        <f t="shared" si="29"/>
        <v>0</v>
      </c>
      <c r="M136" s="270">
        <f t="shared" si="30"/>
        <v>0</v>
      </c>
      <c r="N136" s="97"/>
      <c r="O136" s="271"/>
      <c r="P136" s="271"/>
      <c r="Q136" s="271"/>
      <c r="R136" s="271"/>
      <c r="S136" s="271"/>
      <c r="T136" s="271"/>
    </row>
    <row r="137" spans="1:20" s="230" customFormat="1" ht="15">
      <c r="A137" s="267">
        <f t="shared" si="31"/>
        <v>48518</v>
      </c>
      <c r="B137" s="269">
        <f t="shared" si="43"/>
        <v>401124.10662042513</v>
      </c>
      <c r="C137" s="269">
        <f t="shared" si="43"/>
        <v>401124.10662042513</v>
      </c>
      <c r="D137" s="269"/>
      <c r="E137" s="269"/>
      <c r="F137" s="269">
        <f t="shared" si="42"/>
        <v>-401124.10662042513</v>
      </c>
      <c r="G137" s="269">
        <f t="shared" si="42"/>
        <v>-401124.10662042513</v>
      </c>
      <c r="H137" s="269">
        <f t="shared" si="41"/>
        <v>0</v>
      </c>
      <c r="I137" s="269">
        <f t="shared" si="41"/>
        <v>0</v>
      </c>
      <c r="J137" s="269">
        <f t="shared" si="28"/>
        <v>0</v>
      </c>
      <c r="K137" s="269">
        <f t="shared" si="38"/>
        <v>0</v>
      </c>
      <c r="L137" s="269">
        <f t="shared" si="29"/>
        <v>0</v>
      </c>
      <c r="M137" s="270">
        <f t="shared" si="30"/>
        <v>0</v>
      </c>
      <c r="N137" s="97"/>
      <c r="O137" s="271"/>
      <c r="P137" s="271"/>
      <c r="Q137" s="271"/>
      <c r="R137" s="271"/>
      <c r="S137" s="271"/>
      <c r="T137" s="271"/>
    </row>
    <row r="138" spans="1:20" s="230" customFormat="1" ht="15">
      <c r="A138" s="267">
        <f t="shared" si="31"/>
        <v>48548</v>
      </c>
      <c r="B138" s="269">
        <f t="shared" si="43"/>
        <v>401124.10662042513</v>
      </c>
      <c r="C138" s="269">
        <f t="shared" si="43"/>
        <v>401124.10662042513</v>
      </c>
      <c r="D138" s="269"/>
      <c r="E138" s="269"/>
      <c r="F138" s="269">
        <f t="shared" si="42"/>
        <v>-401124.10662042513</v>
      </c>
      <c r="G138" s="269">
        <f t="shared" si="42"/>
        <v>-401124.10662042513</v>
      </c>
      <c r="H138" s="269">
        <f t="shared" si="41"/>
        <v>0</v>
      </c>
      <c r="I138" s="269">
        <f t="shared" si="41"/>
        <v>0</v>
      </c>
      <c r="J138" s="269">
        <f t="shared" si="28"/>
        <v>0</v>
      </c>
      <c r="K138" s="269">
        <f t="shared" si="38"/>
        <v>0</v>
      </c>
      <c r="L138" s="269">
        <f t="shared" si="29"/>
        <v>0</v>
      </c>
      <c r="M138" s="270">
        <f t="shared" si="30"/>
        <v>0</v>
      </c>
      <c r="N138" s="97"/>
      <c r="O138" s="271"/>
      <c r="P138" s="271"/>
      <c r="Q138" s="271"/>
      <c r="R138" s="271"/>
      <c r="S138" s="271"/>
      <c r="T138" s="271"/>
    </row>
    <row r="139" spans="1:20" s="230" customFormat="1" ht="15">
      <c r="A139" s="267">
        <f t="shared" si="31"/>
        <v>48579</v>
      </c>
      <c r="B139" s="269">
        <f t="shared" si="43"/>
        <v>401124.10662042513</v>
      </c>
      <c r="C139" s="269">
        <f t="shared" si="43"/>
        <v>401124.10662042513</v>
      </c>
      <c r="D139" s="269"/>
      <c r="E139" s="269"/>
      <c r="F139" s="269">
        <f t="shared" si="42"/>
        <v>-401124.10662042513</v>
      </c>
      <c r="G139" s="269">
        <f t="shared" si="42"/>
        <v>-401124.10662042513</v>
      </c>
      <c r="H139" s="269">
        <f t="shared" si="41"/>
        <v>0</v>
      </c>
      <c r="I139" s="269">
        <f t="shared" si="41"/>
        <v>0</v>
      </c>
      <c r="J139" s="269">
        <f t="shared" si="28"/>
        <v>0</v>
      </c>
      <c r="K139" s="269">
        <f t="shared" si="38"/>
        <v>0</v>
      </c>
      <c r="L139" s="269">
        <f t="shared" si="29"/>
        <v>0</v>
      </c>
      <c r="M139" s="270">
        <f t="shared" si="30"/>
        <v>0</v>
      </c>
      <c r="N139" s="97"/>
      <c r="O139" s="271"/>
      <c r="P139" s="271"/>
      <c r="Q139" s="271"/>
      <c r="R139" s="271"/>
      <c r="S139" s="271"/>
      <c r="T139" s="271"/>
    </row>
    <row r="140" spans="1:20" s="230" customFormat="1" ht="15">
      <c r="A140" s="267">
        <f t="shared" si="31"/>
        <v>48610</v>
      </c>
      <c r="B140" s="269">
        <f t="shared" si="43"/>
        <v>401124.10662042513</v>
      </c>
      <c r="C140" s="269">
        <f t="shared" si="43"/>
        <v>401124.10662042513</v>
      </c>
      <c r="D140" s="269"/>
      <c r="E140" s="269"/>
      <c r="F140" s="269">
        <f t="shared" si="42"/>
        <v>-401124.10662042513</v>
      </c>
      <c r="G140" s="269">
        <f t="shared" si="42"/>
        <v>-401124.10662042513</v>
      </c>
      <c r="H140" s="269">
        <f t="shared" si="41"/>
        <v>0</v>
      </c>
      <c r="I140" s="269">
        <f t="shared" si="41"/>
        <v>0</v>
      </c>
      <c r="J140" s="269">
        <f t="shared" si="28"/>
        <v>0</v>
      </c>
      <c r="K140" s="269">
        <f t="shared" si="38"/>
        <v>0</v>
      </c>
      <c r="L140" s="269">
        <f t="shared" si="29"/>
        <v>0</v>
      </c>
      <c r="M140" s="270">
        <f t="shared" si="30"/>
        <v>0</v>
      </c>
      <c r="N140" s="97"/>
      <c r="O140" s="271"/>
      <c r="P140" s="271"/>
      <c r="Q140" s="271"/>
      <c r="R140" s="271"/>
      <c r="S140" s="271"/>
      <c r="T140" s="271"/>
    </row>
    <row r="141" spans="1:20" s="230" customFormat="1" ht="15">
      <c r="A141" s="267">
        <f t="shared" si="31"/>
        <v>48638</v>
      </c>
      <c r="B141" s="269">
        <f t="shared" si="43"/>
        <v>401124.10662042513</v>
      </c>
      <c r="C141" s="269">
        <f t="shared" si="43"/>
        <v>401124.10662042513</v>
      </c>
      <c r="D141" s="269"/>
      <c r="E141" s="269"/>
      <c r="F141" s="269">
        <f t="shared" si="42"/>
        <v>-401124.10662042513</v>
      </c>
      <c r="G141" s="269">
        <f t="shared" si="42"/>
        <v>-401124.10662042513</v>
      </c>
      <c r="H141" s="269">
        <f t="shared" si="41"/>
        <v>0</v>
      </c>
      <c r="I141" s="269">
        <f t="shared" si="41"/>
        <v>0</v>
      </c>
      <c r="J141" s="269">
        <f t="shared" si="28"/>
        <v>0</v>
      </c>
      <c r="K141" s="269">
        <f t="shared" si="38"/>
        <v>0</v>
      </c>
      <c r="L141" s="269">
        <f t="shared" si="29"/>
        <v>0</v>
      </c>
      <c r="M141" s="270">
        <f t="shared" si="30"/>
        <v>0</v>
      </c>
      <c r="N141" s="97"/>
      <c r="O141" s="271"/>
      <c r="P141" s="271"/>
      <c r="Q141" s="271"/>
      <c r="R141" s="271"/>
      <c r="S141" s="271"/>
      <c r="T141" s="271"/>
    </row>
    <row r="142" spans="1:20" s="230" customFormat="1" ht="15">
      <c r="A142" s="267">
        <f t="shared" si="31"/>
        <v>48669</v>
      </c>
      <c r="B142" s="269">
        <f t="shared" si="43"/>
        <v>401124.10662042513</v>
      </c>
      <c r="C142" s="269">
        <f t="shared" si="43"/>
        <v>401124.10662042513</v>
      </c>
      <c r="D142" s="269"/>
      <c r="E142" s="269"/>
      <c r="F142" s="269">
        <f t="shared" si="42"/>
        <v>-401124.10662042513</v>
      </c>
      <c r="G142" s="269">
        <f t="shared" si="42"/>
        <v>-401124.10662042513</v>
      </c>
      <c r="H142" s="269">
        <f t="shared" si="41"/>
        <v>0</v>
      </c>
      <c r="I142" s="269">
        <f t="shared" si="41"/>
        <v>0</v>
      </c>
      <c r="J142" s="269">
        <f t="shared" si="28"/>
        <v>0</v>
      </c>
      <c r="K142" s="269">
        <f t="shared" si="38"/>
        <v>0</v>
      </c>
      <c r="L142" s="269">
        <f t="shared" si="29"/>
        <v>0</v>
      </c>
      <c r="M142" s="270">
        <f t="shared" si="30"/>
        <v>0</v>
      </c>
      <c r="N142" s="97"/>
      <c r="O142" s="271"/>
      <c r="P142" s="271"/>
      <c r="Q142" s="271"/>
      <c r="R142" s="271"/>
      <c r="S142" s="271"/>
      <c r="T142" s="271"/>
    </row>
    <row r="143" spans="1:20" ht="6" customHeight="1" thickBot="1">
      <c r="A143" s="276"/>
      <c r="B143" s="277"/>
      <c r="C143" s="277"/>
      <c r="D143" s="277"/>
      <c r="E143" s="277"/>
      <c r="F143" s="277"/>
      <c r="G143" s="277"/>
      <c r="H143" s="277"/>
      <c r="I143" s="277"/>
      <c r="J143" s="277"/>
      <c r="K143" s="277"/>
      <c r="L143" s="290">
        <f t="shared" si="29"/>
        <v>0</v>
      </c>
      <c r="M143" s="291">
        <f t="shared" si="30"/>
        <v>0</v>
      </c>
      <c r="N143" s="97"/>
      <c r="O143" s="279"/>
      <c r="P143" s="279"/>
      <c r="Q143" s="279"/>
      <c r="R143" s="279"/>
      <c r="S143" s="279"/>
      <c r="T143" s="279"/>
    </row>
    <row r="144" spans="1:20" s="230" customFormat="1" ht="15">
      <c r="A144" s="280"/>
      <c r="B144" s="281"/>
      <c r="C144" s="281"/>
      <c r="D144" s="282"/>
      <c r="E144" s="282"/>
      <c r="F144" s="283"/>
      <c r="G144" s="281"/>
      <c r="H144" s="281"/>
      <c r="I144" s="281"/>
      <c r="J144" s="281"/>
      <c r="K144" s="281"/>
      <c r="L144" s="281"/>
      <c r="M144" s="97"/>
      <c r="N144" s="97"/>
      <c r="O144" s="97"/>
    </row>
    <row r="145" spans="1:17" ht="15">
      <c r="A145" s="97"/>
      <c r="B145" s="97"/>
      <c r="C145" s="97"/>
      <c r="D145" s="227"/>
      <c r="E145" s="97"/>
      <c r="F145" s="97"/>
      <c r="G145" s="227"/>
      <c r="H145" s="97"/>
      <c r="I145" s="97"/>
      <c r="J145" s="97"/>
      <c r="K145" s="97"/>
      <c r="L145" s="97"/>
      <c r="M145" s="97"/>
      <c r="N145" s="97"/>
      <c r="O145" s="97"/>
    </row>
    <row r="146" spans="1:17" ht="15">
      <c r="A146" s="97"/>
      <c r="B146" s="97"/>
      <c r="C146" s="97"/>
      <c r="D146" s="227"/>
      <c r="E146" s="97"/>
      <c r="F146" s="97"/>
      <c r="G146" s="97"/>
      <c r="H146" s="97"/>
      <c r="I146" s="97"/>
      <c r="J146" s="97"/>
      <c r="K146" s="97"/>
      <c r="L146" s="97"/>
      <c r="M146" s="97"/>
      <c r="N146" s="97"/>
      <c r="O146" s="97"/>
      <c r="P146" s="97"/>
      <c r="Q146" s="97"/>
    </row>
    <row r="147" spans="1:17" ht="15">
      <c r="A147" s="284"/>
      <c r="B147" s="97"/>
      <c r="C147" s="97"/>
      <c r="D147" s="97"/>
      <c r="E147" s="97"/>
      <c r="F147" s="97"/>
      <c r="G147" s="97"/>
      <c r="H147" s="97"/>
      <c r="I147" s="97"/>
      <c r="J147" s="97"/>
      <c r="K147" s="97"/>
      <c r="L147" s="97"/>
      <c r="M147" s="97"/>
      <c r="N147" s="97"/>
      <c r="O147" s="97"/>
      <c r="P147" s="97"/>
      <c r="Q147" s="97"/>
    </row>
    <row r="148" spans="1:17" ht="15">
      <c r="A148" s="97"/>
      <c r="B148" s="97"/>
      <c r="C148" s="97"/>
      <c r="D148" s="97"/>
      <c r="E148" s="97"/>
      <c r="F148" s="97"/>
      <c r="G148" s="97"/>
      <c r="H148" s="97"/>
      <c r="I148" s="97"/>
      <c r="J148" s="97"/>
      <c r="K148" s="97"/>
      <c r="L148" s="97"/>
      <c r="M148" s="97"/>
      <c r="N148" s="97"/>
    </row>
    <row r="149" spans="1:17" ht="15">
      <c r="A149" s="97"/>
      <c r="B149" s="97"/>
      <c r="C149" s="97"/>
      <c r="D149" s="97"/>
      <c r="E149" s="97"/>
      <c r="F149" s="97"/>
      <c r="G149" s="97"/>
      <c r="H149" s="97"/>
      <c r="I149" s="97"/>
      <c r="J149" s="97"/>
      <c r="K149" s="97"/>
      <c r="L149" s="97"/>
      <c r="M149" s="97"/>
      <c r="N149" s="97"/>
      <c r="O149"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137"/>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2024</v>
      </c>
      <c r="C4" s="222">
        <f>+B4+1</f>
        <v>2025</v>
      </c>
      <c r="D4" s="222">
        <f t="shared" ref="D4:E4" si="0">+C4+1</f>
        <v>2026</v>
      </c>
      <c r="E4" s="222">
        <f t="shared" si="0"/>
        <v>2027</v>
      </c>
      <c r="F4" s="222">
        <f>+E4+1</f>
        <v>2028</v>
      </c>
      <c r="G4" s="222">
        <f t="shared" ref="G4:P4" si="1">+F4+1</f>
        <v>2029</v>
      </c>
      <c r="H4" s="222">
        <f t="shared" si="1"/>
        <v>2030</v>
      </c>
      <c r="I4" s="222">
        <f t="shared" si="1"/>
        <v>2031</v>
      </c>
      <c r="J4" s="222">
        <f t="shared" si="1"/>
        <v>2032</v>
      </c>
      <c r="K4" s="222">
        <f t="shared" si="1"/>
        <v>2033</v>
      </c>
      <c r="L4" s="222">
        <f t="shared" si="1"/>
        <v>2034</v>
      </c>
      <c r="M4" s="222">
        <f t="shared" si="1"/>
        <v>2035</v>
      </c>
      <c r="N4" s="222">
        <f t="shared" si="1"/>
        <v>2036</v>
      </c>
      <c r="O4" s="222">
        <f t="shared" si="1"/>
        <v>2037</v>
      </c>
      <c r="P4" s="222">
        <f t="shared" si="1"/>
        <v>2038</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2039</v>
      </c>
      <c r="C7" s="222">
        <f>+B7+1</f>
        <v>2040</v>
      </c>
      <c r="D7" s="222">
        <f>+C7+1</f>
        <v>2041</v>
      </c>
      <c r="E7" s="222">
        <f>+D7+1</f>
        <v>2042</v>
      </c>
      <c r="F7" s="222">
        <f>+E7+1</f>
        <v>2043</v>
      </c>
      <c r="G7" s="222">
        <f>+F7+1</f>
        <v>2044</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3" t="s">
        <v>356</v>
      </c>
      <c r="M17" s="263" t="s">
        <v>357</v>
      </c>
    </row>
    <row r="18" spans="1:20" ht="7.5" customHeight="1">
      <c r="A18" s="264"/>
      <c r="B18" s="265"/>
      <c r="C18" s="265"/>
      <c r="D18" s="265"/>
      <c r="E18" s="265"/>
      <c r="F18" s="265"/>
      <c r="G18" s="265"/>
      <c r="H18" s="265"/>
      <c r="I18" s="265"/>
      <c r="J18" s="265"/>
      <c r="K18" s="265"/>
      <c r="L18" s="292"/>
      <c r="M18" s="293"/>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45322</v>
      </c>
      <c r="B20" s="269">
        <f>C20</f>
        <v>96112.876312246735</v>
      </c>
      <c r="C20" s="269">
        <f>'EV Capex Summary'!$K$57/12</f>
        <v>96112.876312246735</v>
      </c>
      <c r="D20" s="269">
        <f>B27*$B$5/8</f>
        <v>13734.53002502006</v>
      </c>
      <c r="E20" s="269">
        <f>C20*E$12/12</f>
        <v>1601.8812718707788</v>
      </c>
      <c r="F20" s="269">
        <f>-D20</f>
        <v>-13734.53002502006</v>
      </c>
      <c r="G20" s="269">
        <f>-E20</f>
        <v>-1601.8812718707788</v>
      </c>
      <c r="H20" s="269">
        <f t="shared" ref="H20:I38" si="2">B20+F20</f>
        <v>82378.346287226683</v>
      </c>
      <c r="I20" s="269">
        <f t="shared" si="2"/>
        <v>94510.995040375958</v>
      </c>
      <c r="J20" s="269">
        <f>I20-H20</f>
        <v>12132.648753149275</v>
      </c>
      <c r="K20" s="269">
        <f t="shared" ref="K20:K51" si="3">-J20*$K$15</f>
        <v>-2547.8562381613478</v>
      </c>
      <c r="L20" s="269">
        <f>-K20</f>
        <v>2547.8562381613478</v>
      </c>
      <c r="M20" s="270">
        <f>I20+K20</f>
        <v>91963.138802214613</v>
      </c>
      <c r="N20" s="271"/>
      <c r="O20" s="271"/>
      <c r="P20" s="271"/>
      <c r="Q20" s="271"/>
      <c r="R20" s="271"/>
      <c r="S20" s="271"/>
      <c r="T20" s="271"/>
    </row>
    <row r="21" spans="1:20" s="230" customFormat="1">
      <c r="A21" s="267">
        <f>EOMONTH(A20,1)</f>
        <v>45351</v>
      </c>
      <c r="B21" s="269">
        <f t="shared" ref="B21:B31" si="4">C21</f>
        <v>192225.75262449347</v>
      </c>
      <c r="C21" s="269">
        <f>'EV Capex Summary'!$K$57/12+C20</f>
        <v>192225.75262449347</v>
      </c>
      <c r="D21" s="269">
        <f t="shared" ref="D21:D27" si="5">B28*$B$5/8</f>
        <v>15451.346278147568</v>
      </c>
      <c r="E21" s="269">
        <f>C21*E$12/12</f>
        <v>3203.7625437415577</v>
      </c>
      <c r="F21" s="269">
        <f t="shared" ref="F21:G36" si="6">F20-D21</f>
        <v>-29185.876303167628</v>
      </c>
      <c r="G21" s="269">
        <f t="shared" si="6"/>
        <v>-4805.6438156123368</v>
      </c>
      <c r="H21" s="269">
        <f t="shared" si="2"/>
        <v>163039.87632132584</v>
      </c>
      <c r="I21" s="269">
        <f t="shared" si="2"/>
        <v>187420.10880888114</v>
      </c>
      <c r="J21" s="269">
        <f t="shared" ref="J21:J84" si="7">I21-H21</f>
        <v>24380.232487555302</v>
      </c>
      <c r="K21" s="269">
        <f t="shared" si="3"/>
        <v>-5119.8488223866134</v>
      </c>
      <c r="L21" s="269">
        <f t="shared" ref="L21:L84" si="8">-K21+K20</f>
        <v>2571.9925842252655</v>
      </c>
      <c r="M21" s="270">
        <f t="shared" ref="M21:M84" si="9">I21+K21</f>
        <v>182300.25998649452</v>
      </c>
      <c r="N21" s="271"/>
      <c r="O21" s="271"/>
      <c r="P21" s="271"/>
      <c r="Q21" s="271"/>
      <c r="R21" s="271"/>
      <c r="S21" s="271"/>
      <c r="T21" s="271"/>
    </row>
    <row r="22" spans="1:20" s="230" customFormat="1">
      <c r="A22" s="267">
        <f t="shared" ref="A22:A85" si="10">EOMONTH(A21,1)</f>
        <v>45382</v>
      </c>
      <c r="B22" s="269">
        <f t="shared" si="4"/>
        <v>288338.62893674022</v>
      </c>
      <c r="C22" s="269">
        <f>'EV Capex Summary'!$K$57/12+C21</f>
        <v>288338.62893674022</v>
      </c>
      <c r="D22" s="269">
        <f t="shared" si="5"/>
        <v>17168.162531275077</v>
      </c>
      <c r="E22" s="269">
        <f t="shared" ref="E22:E74" si="11">C22*E$12/12</f>
        <v>4805.6438156123377</v>
      </c>
      <c r="F22" s="269">
        <f t="shared" si="6"/>
        <v>-46354.038834442705</v>
      </c>
      <c r="G22" s="269">
        <f t="shared" si="6"/>
        <v>-9611.2876312246735</v>
      </c>
      <c r="H22" s="269">
        <f t="shared" si="2"/>
        <v>241984.59010229752</v>
      </c>
      <c r="I22" s="269">
        <f t="shared" si="2"/>
        <v>278727.34130551555</v>
      </c>
      <c r="J22" s="269">
        <f t="shared" si="7"/>
        <v>36742.751203218038</v>
      </c>
      <c r="K22" s="269">
        <f t="shared" si="3"/>
        <v>-7715.977752675788</v>
      </c>
      <c r="L22" s="269">
        <f t="shared" si="8"/>
        <v>2596.1289302891746</v>
      </c>
      <c r="M22" s="270">
        <f t="shared" si="9"/>
        <v>271011.36355283979</v>
      </c>
      <c r="N22" s="271"/>
      <c r="O22" s="271"/>
      <c r="P22" s="271"/>
      <c r="Q22" s="271"/>
      <c r="R22" s="271"/>
      <c r="S22" s="271"/>
      <c r="T22" s="271"/>
    </row>
    <row r="23" spans="1:20" s="230" customFormat="1">
      <c r="A23" s="267">
        <f t="shared" si="10"/>
        <v>45412</v>
      </c>
      <c r="B23" s="269">
        <f t="shared" si="4"/>
        <v>384451.50524898694</v>
      </c>
      <c r="C23" s="269">
        <f>'EV Capex Summary'!$K$57/12+C22</f>
        <v>384451.50524898694</v>
      </c>
      <c r="D23" s="269">
        <f t="shared" si="5"/>
        <v>18884.978784402585</v>
      </c>
      <c r="E23" s="269">
        <f t="shared" si="11"/>
        <v>6407.5250874831154</v>
      </c>
      <c r="F23" s="269">
        <f t="shared" si="6"/>
        <v>-65239.01761884529</v>
      </c>
      <c r="G23" s="269">
        <f t="shared" si="6"/>
        <v>-16018.812718707788</v>
      </c>
      <c r="H23" s="269">
        <f t="shared" si="2"/>
        <v>319212.48763014167</v>
      </c>
      <c r="I23" s="269">
        <f t="shared" si="2"/>
        <v>368432.69253027916</v>
      </c>
      <c r="J23" s="269">
        <f t="shared" si="7"/>
        <v>49220.204900137498</v>
      </c>
      <c r="K23" s="269">
        <f t="shared" si="3"/>
        <v>-10336.243029028874</v>
      </c>
      <c r="L23" s="269">
        <f t="shared" si="8"/>
        <v>2620.2652763530859</v>
      </c>
      <c r="M23" s="270">
        <f t="shared" si="9"/>
        <v>358096.44950125029</v>
      </c>
      <c r="N23" s="272"/>
      <c r="O23" s="273"/>
      <c r="P23" s="271"/>
      <c r="Q23" s="271"/>
      <c r="R23" s="271"/>
      <c r="S23" s="271"/>
      <c r="T23" s="271"/>
    </row>
    <row r="24" spans="1:20" s="230" customFormat="1">
      <c r="A24" s="267">
        <f t="shared" si="10"/>
        <v>45443</v>
      </c>
      <c r="B24" s="269">
        <f t="shared" si="4"/>
        <v>480564.38156123366</v>
      </c>
      <c r="C24" s="269">
        <f>'EV Capex Summary'!$K$57/12+C23</f>
        <v>480564.38156123366</v>
      </c>
      <c r="D24" s="269">
        <f t="shared" si="5"/>
        <v>20601.795037530093</v>
      </c>
      <c r="E24" s="269">
        <f t="shared" si="11"/>
        <v>8009.4063593538949</v>
      </c>
      <c r="F24" s="269">
        <f t="shared" si="6"/>
        <v>-85840.812656375376</v>
      </c>
      <c r="G24" s="269">
        <f t="shared" si="6"/>
        <v>-24028.219078061684</v>
      </c>
      <c r="H24" s="269">
        <f t="shared" si="2"/>
        <v>394723.56890485832</v>
      </c>
      <c r="I24" s="269">
        <f t="shared" si="2"/>
        <v>456536.16248317197</v>
      </c>
      <c r="J24" s="269">
        <f t="shared" si="7"/>
        <v>61812.593578313652</v>
      </c>
      <c r="K24" s="269">
        <f t="shared" si="3"/>
        <v>-12980.644651445866</v>
      </c>
      <c r="L24" s="269">
        <f t="shared" si="8"/>
        <v>2644.4016224169918</v>
      </c>
      <c r="M24" s="270">
        <f t="shared" si="9"/>
        <v>443555.51783172612</v>
      </c>
      <c r="N24" s="271"/>
      <c r="O24" s="271"/>
      <c r="P24" s="271"/>
      <c r="Q24" s="271"/>
      <c r="R24" s="271"/>
      <c r="S24" s="271"/>
      <c r="T24" s="271"/>
    </row>
    <row r="25" spans="1:20" s="230" customFormat="1">
      <c r="A25" s="267">
        <f t="shared" si="10"/>
        <v>45473</v>
      </c>
      <c r="B25" s="269">
        <f t="shared" si="4"/>
        <v>576677.25787348044</v>
      </c>
      <c r="C25" s="269">
        <f>'EV Capex Summary'!$K$57/12+C24</f>
        <v>576677.25787348044</v>
      </c>
      <c r="D25" s="269">
        <f t="shared" si="5"/>
        <v>20601.795037530093</v>
      </c>
      <c r="E25" s="269">
        <f t="shared" si="11"/>
        <v>9611.2876312246754</v>
      </c>
      <c r="F25" s="269">
        <f t="shared" si="6"/>
        <v>-106442.60769390548</v>
      </c>
      <c r="G25" s="269">
        <f t="shared" si="6"/>
        <v>-33639.506709286361</v>
      </c>
      <c r="H25" s="269">
        <f t="shared" si="2"/>
        <v>470234.65017957496</v>
      </c>
      <c r="I25" s="269">
        <f t="shared" si="2"/>
        <v>543037.75116419408</v>
      </c>
      <c r="J25" s="269">
        <f t="shared" si="7"/>
        <v>72803.100984619115</v>
      </c>
      <c r="K25" s="269">
        <f t="shared" si="3"/>
        <v>-15288.651206770013</v>
      </c>
      <c r="L25" s="269">
        <f t="shared" si="8"/>
        <v>2308.0065553241475</v>
      </c>
      <c r="M25" s="270">
        <f t="shared" si="9"/>
        <v>527749.0999574241</v>
      </c>
      <c r="N25" s="271"/>
      <c r="O25" s="271"/>
      <c r="P25" s="271"/>
      <c r="Q25" s="271"/>
      <c r="R25" s="271"/>
      <c r="S25" s="271"/>
      <c r="T25" s="271"/>
    </row>
    <row r="26" spans="1:20" s="230" customFormat="1">
      <c r="A26" s="267">
        <f t="shared" si="10"/>
        <v>45504</v>
      </c>
      <c r="B26" s="269">
        <f t="shared" si="4"/>
        <v>672790.13418572722</v>
      </c>
      <c r="C26" s="269">
        <f>'EV Capex Summary'!$K$57/12+C25</f>
        <v>672790.13418572722</v>
      </c>
      <c r="D26" s="269">
        <f t="shared" si="5"/>
        <v>20601.795037530093</v>
      </c>
      <c r="E26" s="269">
        <f t="shared" si="11"/>
        <v>11213.168903095453</v>
      </c>
      <c r="F26" s="269">
        <f t="shared" si="6"/>
        <v>-127044.40273143558</v>
      </c>
      <c r="G26" s="269">
        <f t="shared" si="6"/>
        <v>-44852.675612381812</v>
      </c>
      <c r="H26" s="269">
        <f t="shared" si="2"/>
        <v>545745.73145429161</v>
      </c>
      <c r="I26" s="269">
        <f t="shared" si="2"/>
        <v>627937.45857334544</v>
      </c>
      <c r="J26" s="269">
        <f t="shared" si="7"/>
        <v>82191.72711905383</v>
      </c>
      <c r="K26" s="269">
        <f t="shared" si="3"/>
        <v>-17260.262695001304</v>
      </c>
      <c r="L26" s="269">
        <f>-K26+K25</f>
        <v>1971.6114882312904</v>
      </c>
      <c r="M26" s="270">
        <f t="shared" si="9"/>
        <v>610677.19587834412</v>
      </c>
      <c r="N26" s="271"/>
      <c r="O26" s="271"/>
      <c r="P26" s="271"/>
      <c r="Q26" s="271"/>
      <c r="R26" s="271"/>
      <c r="S26" s="271"/>
      <c r="T26" s="271"/>
    </row>
    <row r="27" spans="1:20" s="230" customFormat="1">
      <c r="A27" s="267">
        <f t="shared" si="10"/>
        <v>45535</v>
      </c>
      <c r="B27" s="269">
        <f t="shared" si="4"/>
        <v>768903.010497974</v>
      </c>
      <c r="C27" s="269">
        <f>'EV Capex Summary'!$K$57/12+C26</f>
        <v>768903.010497974</v>
      </c>
      <c r="D27" s="269">
        <f t="shared" si="5"/>
        <v>20601.795037530093</v>
      </c>
      <c r="E27" s="269">
        <f t="shared" si="11"/>
        <v>12815.050174966234</v>
      </c>
      <c r="F27" s="269">
        <f t="shared" si="6"/>
        <v>-147646.19776896568</v>
      </c>
      <c r="G27" s="269">
        <f t="shared" si="6"/>
        <v>-57667.725787348048</v>
      </c>
      <c r="H27" s="269">
        <f t="shared" si="2"/>
        <v>621256.81272900826</v>
      </c>
      <c r="I27" s="269">
        <f t="shared" si="2"/>
        <v>711235.284710626</v>
      </c>
      <c r="J27" s="269">
        <f t="shared" si="7"/>
        <v>89978.471981617738</v>
      </c>
      <c r="K27" s="269">
        <f t="shared" si="3"/>
        <v>-18895.479116139726</v>
      </c>
      <c r="L27" s="269">
        <f>-K27+K26</f>
        <v>1635.2164211384224</v>
      </c>
      <c r="M27" s="270">
        <f t="shared" si="9"/>
        <v>692339.8055944863</v>
      </c>
      <c r="N27" s="271"/>
      <c r="O27" s="271"/>
      <c r="P27" s="271"/>
      <c r="Q27" s="271"/>
      <c r="R27" s="271"/>
      <c r="S27" s="271"/>
      <c r="T27" s="271"/>
    </row>
    <row r="28" spans="1:20" s="230" customFormat="1">
      <c r="A28" s="267">
        <f t="shared" si="10"/>
        <v>45565</v>
      </c>
      <c r="B28" s="269">
        <f t="shared" si="4"/>
        <v>865015.88681022078</v>
      </c>
      <c r="C28" s="269">
        <f>'EV Capex Summary'!$K$57/12+C27</f>
        <v>865015.88681022078</v>
      </c>
      <c r="D28" s="269">
        <f t="shared" ref="D28:D39" si="12">B28*$C$5/12</f>
        <v>17653.53255665192</v>
      </c>
      <c r="E28" s="269">
        <f t="shared" si="11"/>
        <v>14416.931446837014</v>
      </c>
      <c r="F28" s="269">
        <f t="shared" si="6"/>
        <v>-165299.73032561759</v>
      </c>
      <c r="G28" s="269">
        <f t="shared" si="6"/>
        <v>-72084.657234185055</v>
      </c>
      <c r="H28" s="269">
        <f t="shared" si="2"/>
        <v>699716.15648460318</v>
      </c>
      <c r="I28" s="269">
        <f t="shared" si="2"/>
        <v>792931.22957603575</v>
      </c>
      <c r="J28" s="269">
        <f t="shared" si="7"/>
        <v>93215.073091432569</v>
      </c>
      <c r="K28" s="269">
        <f t="shared" si="3"/>
        <v>-19575.165349200837</v>
      </c>
      <c r="L28" s="269">
        <f>-K28+K27</f>
        <v>679.68623306111112</v>
      </c>
      <c r="M28" s="270">
        <f t="shared" si="9"/>
        <v>773356.06422683492</v>
      </c>
      <c r="N28" s="271"/>
      <c r="O28" s="271"/>
      <c r="P28" s="271"/>
      <c r="Q28" s="271"/>
      <c r="R28" s="271"/>
      <c r="S28" s="271"/>
      <c r="T28" s="271"/>
    </row>
    <row r="29" spans="1:20" s="230" customFormat="1">
      <c r="A29" s="267">
        <f t="shared" si="10"/>
        <v>45596</v>
      </c>
      <c r="B29" s="269">
        <f t="shared" si="4"/>
        <v>961128.76312246756</v>
      </c>
      <c r="C29" s="269">
        <f>'EV Capex Summary'!$K$57/12+C28</f>
        <v>961128.76312246756</v>
      </c>
      <c r="D29" s="269">
        <f t="shared" si="12"/>
        <v>19615.036174057692</v>
      </c>
      <c r="E29" s="269">
        <f t="shared" si="11"/>
        <v>16018.812718707793</v>
      </c>
      <c r="F29" s="269">
        <f t="shared" si="6"/>
        <v>-184914.76649967529</v>
      </c>
      <c r="G29" s="269">
        <f t="shared" si="6"/>
        <v>-88103.469952892847</v>
      </c>
      <c r="H29" s="269">
        <f t="shared" si="2"/>
        <v>776213.99662279221</v>
      </c>
      <c r="I29" s="269">
        <f t="shared" si="2"/>
        <v>873025.2931695747</v>
      </c>
      <c r="J29" s="269">
        <f t="shared" si="7"/>
        <v>96811.296546782483</v>
      </c>
      <c r="K29" s="269">
        <f t="shared" si="3"/>
        <v>-20330.37227482432</v>
      </c>
      <c r="L29" s="269">
        <f t="shared" si="8"/>
        <v>755.20692562348268</v>
      </c>
      <c r="M29" s="270">
        <f t="shared" si="9"/>
        <v>852694.92089475039</v>
      </c>
      <c r="N29" s="271"/>
      <c r="O29" s="271"/>
      <c r="P29" s="271"/>
      <c r="Q29" s="271"/>
      <c r="R29" s="271"/>
      <c r="S29" s="271"/>
      <c r="T29" s="271"/>
    </row>
    <row r="30" spans="1:20" s="230" customFormat="1">
      <c r="A30" s="267">
        <f t="shared" si="10"/>
        <v>45626</v>
      </c>
      <c r="B30" s="269">
        <f t="shared" si="4"/>
        <v>1057241.6394347143</v>
      </c>
      <c r="C30" s="269">
        <f>'EV Capex Summary'!$K$57/12+C29</f>
        <v>1057241.6394347143</v>
      </c>
      <c r="D30" s="269">
        <f t="shared" si="12"/>
        <v>21576.539791463463</v>
      </c>
      <c r="E30" s="269">
        <f t="shared" si="11"/>
        <v>17620.693990578573</v>
      </c>
      <c r="F30" s="269">
        <f t="shared" si="6"/>
        <v>-206491.30629113875</v>
      </c>
      <c r="G30" s="269">
        <f t="shared" si="6"/>
        <v>-105724.16394347142</v>
      </c>
      <c r="H30" s="269">
        <f t="shared" si="2"/>
        <v>850750.33314357558</v>
      </c>
      <c r="I30" s="269">
        <f t="shared" si="2"/>
        <v>951517.47549124295</v>
      </c>
      <c r="J30" s="269">
        <f t="shared" si="7"/>
        <v>100767.14234766737</v>
      </c>
      <c r="K30" s="269">
        <f t="shared" si="3"/>
        <v>-21161.099893010145</v>
      </c>
      <c r="L30" s="269">
        <f t="shared" si="8"/>
        <v>830.72761818582512</v>
      </c>
      <c r="M30" s="270">
        <f t="shared" si="9"/>
        <v>930356.37559823284</v>
      </c>
      <c r="N30" s="271"/>
      <c r="O30" s="271"/>
      <c r="P30" s="271"/>
      <c r="Q30" s="271"/>
      <c r="R30" s="271"/>
      <c r="S30" s="271"/>
      <c r="T30" s="271"/>
    </row>
    <row r="31" spans="1:20" s="230" customFormat="1">
      <c r="A31" s="267">
        <f t="shared" si="10"/>
        <v>45657</v>
      </c>
      <c r="B31" s="269">
        <f t="shared" si="4"/>
        <v>1153354.5157469611</v>
      </c>
      <c r="C31" s="269">
        <f>'EV Capex Summary'!$K$57/12+C30</f>
        <v>1153354.5157469611</v>
      </c>
      <c r="D31" s="269">
        <f t="shared" si="12"/>
        <v>23538.043408869231</v>
      </c>
      <c r="E31" s="269">
        <f t="shared" si="11"/>
        <v>19222.575262449351</v>
      </c>
      <c r="F31" s="269">
        <f t="shared" si="6"/>
        <v>-230029.349700008</v>
      </c>
      <c r="G31" s="269">
        <f t="shared" si="6"/>
        <v>-124946.73920592076</v>
      </c>
      <c r="H31" s="269">
        <f t="shared" si="2"/>
        <v>923325.16604695306</v>
      </c>
      <c r="I31" s="269">
        <f t="shared" si="2"/>
        <v>1028407.7765410404</v>
      </c>
      <c r="J31" s="269">
        <f t="shared" si="7"/>
        <v>105082.61049408733</v>
      </c>
      <c r="K31" s="269">
        <f t="shared" si="3"/>
        <v>-22067.348203758338</v>
      </c>
      <c r="L31" s="269">
        <f t="shared" si="8"/>
        <v>906.24831074819303</v>
      </c>
      <c r="M31" s="270">
        <f t="shared" si="9"/>
        <v>1006340.428337282</v>
      </c>
      <c r="N31" s="271"/>
      <c r="O31" s="271"/>
      <c r="P31" s="271"/>
      <c r="Q31" s="271"/>
      <c r="R31" s="271"/>
      <c r="S31" s="271"/>
      <c r="T31" s="271"/>
    </row>
    <row r="32" spans="1:20" s="230" customFormat="1">
      <c r="A32" s="267">
        <f t="shared" si="10"/>
        <v>45688</v>
      </c>
      <c r="B32" s="269">
        <f>B31</f>
        <v>1153354.5157469611</v>
      </c>
      <c r="C32" s="269">
        <f t="shared" ref="C32:C95" si="13">C31</f>
        <v>1153354.5157469611</v>
      </c>
      <c r="D32" s="269">
        <f t="shared" si="12"/>
        <v>23538.043408869231</v>
      </c>
      <c r="E32" s="269">
        <f t="shared" si="11"/>
        <v>19222.575262449351</v>
      </c>
      <c r="F32" s="269">
        <f t="shared" si="6"/>
        <v>-253567.39310887724</v>
      </c>
      <c r="G32" s="269">
        <f t="shared" si="6"/>
        <v>-144169.31446837011</v>
      </c>
      <c r="H32" s="269">
        <f t="shared" si="2"/>
        <v>899787.12263808388</v>
      </c>
      <c r="I32" s="269">
        <f t="shared" si="2"/>
        <v>1009185.2012785911</v>
      </c>
      <c r="J32" s="269">
        <f t="shared" si="7"/>
        <v>109398.07864050718</v>
      </c>
      <c r="K32" s="269">
        <f t="shared" si="3"/>
        <v>-22973.596514506509</v>
      </c>
      <c r="L32" s="269">
        <f t="shared" si="8"/>
        <v>906.24831074817121</v>
      </c>
      <c r="M32" s="270">
        <f t="shared" si="9"/>
        <v>986211.60476408456</v>
      </c>
      <c r="N32" s="271"/>
      <c r="O32" s="271"/>
      <c r="P32" s="271"/>
      <c r="Q32" s="271"/>
      <c r="R32" s="271"/>
      <c r="S32" s="271"/>
      <c r="T32" s="271"/>
    </row>
    <row r="33" spans="1:20" s="230" customFormat="1">
      <c r="A33" s="267">
        <f t="shared" si="10"/>
        <v>45716</v>
      </c>
      <c r="B33" s="269">
        <f t="shared" ref="B33:C96" si="14">B32</f>
        <v>1153354.5157469611</v>
      </c>
      <c r="C33" s="269">
        <f t="shared" si="13"/>
        <v>1153354.5157469611</v>
      </c>
      <c r="D33" s="269">
        <f t="shared" si="12"/>
        <v>23538.043408869231</v>
      </c>
      <c r="E33" s="269">
        <f t="shared" si="11"/>
        <v>19222.575262449351</v>
      </c>
      <c r="F33" s="269">
        <f t="shared" si="6"/>
        <v>-277105.43651774648</v>
      </c>
      <c r="G33" s="269">
        <f t="shared" si="6"/>
        <v>-163391.88973081947</v>
      </c>
      <c r="H33" s="269">
        <f t="shared" si="2"/>
        <v>876249.07922921469</v>
      </c>
      <c r="I33" s="269">
        <f t="shared" si="2"/>
        <v>989962.62601614161</v>
      </c>
      <c r="J33" s="269">
        <f t="shared" si="7"/>
        <v>113713.54678692692</v>
      </c>
      <c r="K33" s="269">
        <f t="shared" si="3"/>
        <v>-23879.844825254651</v>
      </c>
      <c r="L33" s="269">
        <f t="shared" si="8"/>
        <v>906.2483107481421</v>
      </c>
      <c r="M33" s="270">
        <f t="shared" si="9"/>
        <v>966082.78119088698</v>
      </c>
      <c r="N33" s="274"/>
      <c r="O33" s="271"/>
      <c r="P33" s="271"/>
      <c r="Q33" s="271"/>
      <c r="R33" s="271"/>
      <c r="S33" s="271"/>
      <c r="T33" s="271"/>
    </row>
    <row r="34" spans="1:20" s="230" customFormat="1">
      <c r="A34" s="267">
        <f t="shared" si="10"/>
        <v>45747</v>
      </c>
      <c r="B34" s="269">
        <f t="shared" si="14"/>
        <v>1153354.5157469611</v>
      </c>
      <c r="C34" s="269">
        <f t="shared" si="13"/>
        <v>1153354.5157469611</v>
      </c>
      <c r="D34" s="269">
        <f t="shared" si="12"/>
        <v>23538.043408869231</v>
      </c>
      <c r="E34" s="269">
        <f t="shared" si="11"/>
        <v>19222.575262449351</v>
      </c>
      <c r="F34" s="269">
        <f t="shared" si="6"/>
        <v>-300643.47992661572</v>
      </c>
      <c r="G34" s="269">
        <f t="shared" si="6"/>
        <v>-182614.46499326883</v>
      </c>
      <c r="H34" s="269">
        <f t="shared" si="2"/>
        <v>852711.03582034539</v>
      </c>
      <c r="I34" s="269">
        <f t="shared" si="2"/>
        <v>970740.05075369228</v>
      </c>
      <c r="J34" s="269">
        <f t="shared" si="7"/>
        <v>118029.01493334689</v>
      </c>
      <c r="K34" s="269">
        <f t="shared" si="3"/>
        <v>-24786.093136002844</v>
      </c>
      <c r="L34" s="269">
        <f t="shared" si="8"/>
        <v>906.24831074819303</v>
      </c>
      <c r="M34" s="270">
        <f t="shared" si="9"/>
        <v>945953.95761768939</v>
      </c>
      <c r="N34" s="274"/>
      <c r="O34" s="271"/>
      <c r="P34" s="271"/>
      <c r="Q34" s="271"/>
      <c r="R34" s="271"/>
      <c r="S34" s="271"/>
      <c r="T34" s="271"/>
    </row>
    <row r="35" spans="1:20" s="230" customFormat="1">
      <c r="A35" s="267">
        <f t="shared" si="10"/>
        <v>45777</v>
      </c>
      <c r="B35" s="269">
        <f t="shared" si="14"/>
        <v>1153354.5157469611</v>
      </c>
      <c r="C35" s="269">
        <f t="shared" si="13"/>
        <v>1153354.5157469611</v>
      </c>
      <c r="D35" s="269">
        <f t="shared" si="12"/>
        <v>23538.043408869231</v>
      </c>
      <c r="E35" s="269">
        <f t="shared" si="11"/>
        <v>19222.575262449351</v>
      </c>
      <c r="F35" s="269">
        <f t="shared" si="6"/>
        <v>-324181.52333548496</v>
      </c>
      <c r="G35" s="269">
        <f t="shared" si="6"/>
        <v>-201837.0402557182</v>
      </c>
      <c r="H35" s="269">
        <f t="shared" si="2"/>
        <v>829172.99241147609</v>
      </c>
      <c r="I35" s="269">
        <f t="shared" si="2"/>
        <v>951517.47549124295</v>
      </c>
      <c r="J35" s="269">
        <f t="shared" si="7"/>
        <v>122344.48307976685</v>
      </c>
      <c r="K35" s="269">
        <f t="shared" si="3"/>
        <v>-25692.341446751037</v>
      </c>
      <c r="L35" s="269">
        <f t="shared" si="8"/>
        <v>906.24831074819303</v>
      </c>
      <c r="M35" s="270">
        <f t="shared" si="9"/>
        <v>925825.13404449192</v>
      </c>
      <c r="N35" s="274"/>
      <c r="O35" s="271"/>
      <c r="P35" s="271"/>
      <c r="Q35" s="271"/>
      <c r="R35" s="271"/>
      <c r="S35" s="271"/>
      <c r="T35" s="271"/>
    </row>
    <row r="36" spans="1:20" s="230" customFormat="1">
      <c r="A36" s="267">
        <f t="shared" si="10"/>
        <v>45808</v>
      </c>
      <c r="B36" s="269">
        <f t="shared" si="14"/>
        <v>1153354.5157469611</v>
      </c>
      <c r="C36" s="269">
        <f t="shared" si="13"/>
        <v>1153354.5157469611</v>
      </c>
      <c r="D36" s="269">
        <f t="shared" si="12"/>
        <v>23538.043408869231</v>
      </c>
      <c r="E36" s="269">
        <f t="shared" si="11"/>
        <v>19222.575262449351</v>
      </c>
      <c r="F36" s="269">
        <f t="shared" si="6"/>
        <v>-347719.5667443542</v>
      </c>
      <c r="G36" s="269">
        <f t="shared" si="6"/>
        <v>-221059.61551816756</v>
      </c>
      <c r="H36" s="269">
        <f t="shared" si="2"/>
        <v>805634.94900260691</v>
      </c>
      <c r="I36" s="269">
        <f t="shared" si="2"/>
        <v>932294.9002287935</v>
      </c>
      <c r="J36" s="269">
        <f t="shared" si="7"/>
        <v>126659.95122618659</v>
      </c>
      <c r="K36" s="269">
        <f t="shared" si="3"/>
        <v>-26598.589757499183</v>
      </c>
      <c r="L36" s="269">
        <f t="shared" si="8"/>
        <v>906.24831074814574</v>
      </c>
      <c r="M36" s="270">
        <f t="shared" si="9"/>
        <v>905696.31047129433</v>
      </c>
      <c r="N36" s="271"/>
      <c r="O36" s="275"/>
      <c r="P36" s="271"/>
      <c r="Q36" s="271"/>
      <c r="R36" s="271"/>
      <c r="S36" s="271"/>
      <c r="T36" s="271"/>
    </row>
    <row r="37" spans="1:20" s="230" customFormat="1">
      <c r="A37" s="267">
        <f t="shared" si="10"/>
        <v>45838</v>
      </c>
      <c r="B37" s="269">
        <f t="shared" si="14"/>
        <v>1153354.5157469611</v>
      </c>
      <c r="C37" s="269">
        <f t="shared" si="13"/>
        <v>1153354.5157469611</v>
      </c>
      <c r="D37" s="269">
        <f t="shared" si="12"/>
        <v>23538.043408869231</v>
      </c>
      <c r="E37" s="269">
        <f t="shared" si="11"/>
        <v>19222.575262449351</v>
      </c>
      <c r="F37" s="269">
        <f t="shared" ref="F37:G52" si="15">F36-D37</f>
        <v>-371257.61015322345</v>
      </c>
      <c r="G37" s="269">
        <f t="shared" si="15"/>
        <v>-240282.19078061692</v>
      </c>
      <c r="H37" s="269">
        <f t="shared" si="2"/>
        <v>782096.90559373773</v>
      </c>
      <c r="I37" s="269">
        <f t="shared" si="2"/>
        <v>913072.32496634417</v>
      </c>
      <c r="J37" s="269">
        <f t="shared" si="7"/>
        <v>130975.41937260644</v>
      </c>
      <c r="K37" s="269">
        <f t="shared" si="3"/>
        <v>-27504.838068247351</v>
      </c>
      <c r="L37" s="269">
        <f t="shared" si="8"/>
        <v>906.24831074816757</v>
      </c>
      <c r="M37" s="270">
        <f t="shared" si="9"/>
        <v>885567.48689809686</v>
      </c>
      <c r="N37" s="271"/>
      <c r="O37" s="275"/>
      <c r="P37" s="271"/>
      <c r="Q37" s="271"/>
      <c r="R37" s="271"/>
      <c r="S37" s="271"/>
      <c r="T37" s="271"/>
    </row>
    <row r="38" spans="1:20" s="230" customFormat="1">
      <c r="A38" s="267">
        <f t="shared" si="10"/>
        <v>45869</v>
      </c>
      <c r="B38" s="269">
        <f t="shared" si="14"/>
        <v>1153354.5157469611</v>
      </c>
      <c r="C38" s="269">
        <f t="shared" si="13"/>
        <v>1153354.5157469611</v>
      </c>
      <c r="D38" s="269">
        <f t="shared" si="12"/>
        <v>23538.043408869231</v>
      </c>
      <c r="E38" s="269">
        <f t="shared" si="11"/>
        <v>19222.575262449351</v>
      </c>
      <c r="F38" s="269">
        <f t="shared" si="15"/>
        <v>-394795.65356209269</v>
      </c>
      <c r="G38" s="269">
        <f t="shared" si="15"/>
        <v>-259504.76604306628</v>
      </c>
      <c r="H38" s="269">
        <f t="shared" si="2"/>
        <v>758558.86218486843</v>
      </c>
      <c r="I38" s="269">
        <f t="shared" si="2"/>
        <v>893849.74970389483</v>
      </c>
      <c r="J38" s="269">
        <f t="shared" si="7"/>
        <v>135290.88751902641</v>
      </c>
      <c r="K38" s="269">
        <f t="shared" si="3"/>
        <v>-28411.086378995544</v>
      </c>
      <c r="L38" s="269">
        <f t="shared" si="8"/>
        <v>906.24831074819303</v>
      </c>
      <c r="M38" s="270">
        <f t="shared" si="9"/>
        <v>865438.66332489927</v>
      </c>
      <c r="N38" s="271"/>
      <c r="O38" s="275"/>
      <c r="P38" s="271"/>
      <c r="Q38" s="271"/>
      <c r="R38" s="271"/>
      <c r="S38" s="271"/>
      <c r="T38" s="271"/>
    </row>
    <row r="39" spans="1:20" s="230" customFormat="1">
      <c r="A39" s="267">
        <f t="shared" si="10"/>
        <v>45900</v>
      </c>
      <c r="B39" s="269">
        <f t="shared" si="14"/>
        <v>1153354.5157469611</v>
      </c>
      <c r="C39" s="269">
        <f t="shared" si="13"/>
        <v>1153354.5157469611</v>
      </c>
      <c r="D39" s="269">
        <f t="shared" si="12"/>
        <v>23538.043408869231</v>
      </c>
      <c r="E39" s="269">
        <f t="shared" si="11"/>
        <v>19222.575262449351</v>
      </c>
      <c r="F39" s="269">
        <f t="shared" si="15"/>
        <v>-418333.69697096193</v>
      </c>
      <c r="G39" s="269">
        <f t="shared" si="15"/>
        <v>-278727.34130551561</v>
      </c>
      <c r="H39" s="269">
        <f t="shared" ref="H39:I74" si="16">B39+F39</f>
        <v>735020.81877599913</v>
      </c>
      <c r="I39" s="269">
        <f t="shared" si="16"/>
        <v>874627.1744414455</v>
      </c>
      <c r="J39" s="269">
        <f t="shared" si="7"/>
        <v>139606.35566544638</v>
      </c>
      <c r="K39" s="269">
        <f t="shared" si="3"/>
        <v>-29317.334689743737</v>
      </c>
      <c r="L39" s="269">
        <f t="shared" si="8"/>
        <v>906.24831074819303</v>
      </c>
      <c r="M39" s="270">
        <f t="shared" si="9"/>
        <v>845309.8397517018</v>
      </c>
      <c r="N39" s="271"/>
      <c r="O39" s="275"/>
      <c r="P39" s="271"/>
      <c r="Q39" s="271"/>
      <c r="R39" s="271"/>
      <c r="S39" s="271"/>
      <c r="T39" s="271"/>
    </row>
    <row r="40" spans="1:20" s="230" customFormat="1">
      <c r="A40" s="267">
        <f t="shared" si="10"/>
        <v>45930</v>
      </c>
      <c r="B40" s="269">
        <f t="shared" si="14"/>
        <v>1153354.5157469611</v>
      </c>
      <c r="C40" s="269">
        <f t="shared" si="13"/>
        <v>1153354.5157469611</v>
      </c>
      <c r="D40" s="269">
        <f>B40*$D$5/12</f>
        <v>16810.142067011959</v>
      </c>
      <c r="E40" s="269">
        <f t="shared" si="11"/>
        <v>19222.575262449351</v>
      </c>
      <c r="F40" s="269">
        <f t="shared" si="15"/>
        <v>-435143.8390379739</v>
      </c>
      <c r="G40" s="269">
        <f t="shared" si="15"/>
        <v>-297949.91656796494</v>
      </c>
      <c r="H40" s="269">
        <f t="shared" si="16"/>
        <v>718210.67670898722</v>
      </c>
      <c r="I40" s="269">
        <f t="shared" si="16"/>
        <v>855404.59917899617</v>
      </c>
      <c r="J40" s="269">
        <f t="shared" si="7"/>
        <v>137193.92247000895</v>
      </c>
      <c r="K40" s="269">
        <f t="shared" si="3"/>
        <v>-28810.72371870188</v>
      </c>
      <c r="L40" s="269">
        <f t="shared" si="8"/>
        <v>-506.61097104185683</v>
      </c>
      <c r="M40" s="270">
        <f t="shared" si="9"/>
        <v>826593.87546029431</v>
      </c>
      <c r="N40" s="271"/>
      <c r="O40" s="275"/>
      <c r="P40" s="271"/>
      <c r="Q40" s="271"/>
      <c r="R40" s="271"/>
      <c r="S40" s="271"/>
      <c r="T40" s="271"/>
    </row>
    <row r="41" spans="1:20" s="230" customFormat="1">
      <c r="A41" s="267">
        <f t="shared" si="10"/>
        <v>45961</v>
      </c>
      <c r="B41" s="269">
        <f t="shared" si="14"/>
        <v>1153354.5157469611</v>
      </c>
      <c r="C41" s="269">
        <f t="shared" si="13"/>
        <v>1153354.5157469611</v>
      </c>
      <c r="D41" s="269">
        <f t="shared" ref="D41:D51" si="17">B41*$D$5/12</f>
        <v>16810.142067011959</v>
      </c>
      <c r="E41" s="269">
        <f t="shared" si="11"/>
        <v>19222.575262449351</v>
      </c>
      <c r="F41" s="269">
        <f t="shared" si="15"/>
        <v>-451953.98110498587</v>
      </c>
      <c r="G41" s="269">
        <f t="shared" si="15"/>
        <v>-317172.49183041428</v>
      </c>
      <c r="H41" s="269">
        <f t="shared" si="16"/>
        <v>701400.5346419753</v>
      </c>
      <c r="I41" s="269">
        <f t="shared" si="16"/>
        <v>836182.02391654684</v>
      </c>
      <c r="J41" s="269">
        <f t="shared" si="7"/>
        <v>134781.48927457153</v>
      </c>
      <c r="K41" s="269">
        <f t="shared" si="3"/>
        <v>-28304.11274766002</v>
      </c>
      <c r="L41" s="269">
        <f t="shared" si="8"/>
        <v>-506.61097104186047</v>
      </c>
      <c r="M41" s="270">
        <f t="shared" si="9"/>
        <v>807877.91116888681</v>
      </c>
      <c r="N41" s="271"/>
      <c r="O41" s="275"/>
      <c r="P41" s="271"/>
      <c r="Q41" s="271"/>
      <c r="R41" s="271"/>
      <c r="S41" s="271"/>
      <c r="T41" s="271"/>
    </row>
    <row r="42" spans="1:20" s="230" customFormat="1">
      <c r="A42" s="267">
        <f t="shared" si="10"/>
        <v>45991</v>
      </c>
      <c r="B42" s="269">
        <f t="shared" si="14"/>
        <v>1153354.5157469611</v>
      </c>
      <c r="C42" s="269">
        <f t="shared" si="13"/>
        <v>1153354.5157469611</v>
      </c>
      <c r="D42" s="269">
        <f t="shared" si="17"/>
        <v>16810.142067011959</v>
      </c>
      <c r="E42" s="269">
        <f t="shared" si="11"/>
        <v>19222.575262449351</v>
      </c>
      <c r="F42" s="269">
        <f t="shared" si="15"/>
        <v>-468764.12317199784</v>
      </c>
      <c r="G42" s="269">
        <f t="shared" si="15"/>
        <v>-336395.06709286361</v>
      </c>
      <c r="H42" s="269">
        <f t="shared" si="16"/>
        <v>684590.39257496328</v>
      </c>
      <c r="I42" s="269">
        <f t="shared" si="16"/>
        <v>816959.4486540975</v>
      </c>
      <c r="J42" s="269">
        <f t="shared" si="7"/>
        <v>132369.05607913423</v>
      </c>
      <c r="K42" s="269">
        <f t="shared" si="3"/>
        <v>-27797.501776618188</v>
      </c>
      <c r="L42" s="269">
        <f t="shared" si="8"/>
        <v>-506.61097104183136</v>
      </c>
      <c r="M42" s="270">
        <f t="shared" si="9"/>
        <v>789161.94687747932</v>
      </c>
      <c r="N42" s="271"/>
      <c r="O42" s="275"/>
      <c r="P42" s="271"/>
      <c r="Q42" s="271"/>
      <c r="R42" s="271"/>
      <c r="S42" s="271"/>
      <c r="T42" s="271"/>
    </row>
    <row r="43" spans="1:20" s="230" customFormat="1">
      <c r="A43" s="267">
        <f t="shared" si="10"/>
        <v>46022</v>
      </c>
      <c r="B43" s="269">
        <f t="shared" si="14"/>
        <v>1153354.5157469611</v>
      </c>
      <c r="C43" s="269">
        <f t="shared" si="13"/>
        <v>1153354.5157469611</v>
      </c>
      <c r="D43" s="269">
        <f t="shared" si="17"/>
        <v>16810.142067011959</v>
      </c>
      <c r="E43" s="269">
        <f t="shared" si="11"/>
        <v>19222.575262449351</v>
      </c>
      <c r="F43" s="269">
        <f t="shared" si="15"/>
        <v>-485574.26523900981</v>
      </c>
      <c r="G43" s="269">
        <f t="shared" si="15"/>
        <v>-355617.64235531294</v>
      </c>
      <c r="H43" s="269">
        <f t="shared" si="16"/>
        <v>667780.25050795125</v>
      </c>
      <c r="I43" s="269">
        <f t="shared" si="16"/>
        <v>797736.87339164817</v>
      </c>
      <c r="J43" s="269">
        <f t="shared" si="7"/>
        <v>129956.62288369692</v>
      </c>
      <c r="K43" s="269">
        <f t="shared" si="3"/>
        <v>-27290.890805576353</v>
      </c>
      <c r="L43" s="269">
        <f t="shared" si="8"/>
        <v>-506.610971041835</v>
      </c>
      <c r="M43" s="270">
        <f t="shared" si="9"/>
        <v>770445.98258607183</v>
      </c>
      <c r="N43" s="271"/>
      <c r="O43" s="275"/>
      <c r="P43" s="271"/>
      <c r="Q43" s="271"/>
      <c r="R43" s="271"/>
      <c r="S43" s="271"/>
      <c r="T43" s="271"/>
    </row>
    <row r="44" spans="1:20" s="230" customFormat="1">
      <c r="A44" s="267">
        <f t="shared" si="10"/>
        <v>46053</v>
      </c>
      <c r="B44" s="269">
        <f t="shared" si="14"/>
        <v>1153354.5157469611</v>
      </c>
      <c r="C44" s="269">
        <f t="shared" si="13"/>
        <v>1153354.5157469611</v>
      </c>
      <c r="D44" s="269">
        <f t="shared" si="17"/>
        <v>16810.142067011959</v>
      </c>
      <c r="E44" s="269">
        <f t="shared" si="11"/>
        <v>19222.575262449351</v>
      </c>
      <c r="F44" s="269">
        <f t="shared" si="15"/>
        <v>-502384.40730602178</v>
      </c>
      <c r="G44" s="269">
        <f t="shared" si="15"/>
        <v>-374840.21761776228</v>
      </c>
      <c r="H44" s="269">
        <f t="shared" si="16"/>
        <v>650970.10844093934</v>
      </c>
      <c r="I44" s="269">
        <f t="shared" si="16"/>
        <v>778514.29812919884</v>
      </c>
      <c r="J44" s="269">
        <f t="shared" si="7"/>
        <v>127544.1896882595</v>
      </c>
      <c r="K44" s="269">
        <f t="shared" si="3"/>
        <v>-26784.279834534496</v>
      </c>
      <c r="L44" s="269">
        <f t="shared" si="8"/>
        <v>-506.61097104185683</v>
      </c>
      <c r="M44" s="270">
        <f t="shared" si="9"/>
        <v>751730.01829466433</v>
      </c>
      <c r="N44" s="271"/>
      <c r="O44" s="275"/>
      <c r="P44" s="271"/>
      <c r="Q44" s="271"/>
      <c r="R44" s="271"/>
      <c r="S44" s="271"/>
      <c r="T44" s="271"/>
    </row>
    <row r="45" spans="1:20" s="230" customFormat="1">
      <c r="A45" s="267">
        <f t="shared" si="10"/>
        <v>46081</v>
      </c>
      <c r="B45" s="269">
        <f t="shared" si="14"/>
        <v>1153354.5157469611</v>
      </c>
      <c r="C45" s="269">
        <f t="shared" si="13"/>
        <v>1153354.5157469611</v>
      </c>
      <c r="D45" s="269">
        <f t="shared" si="17"/>
        <v>16810.142067011959</v>
      </c>
      <c r="E45" s="269">
        <f t="shared" si="11"/>
        <v>19222.575262449351</v>
      </c>
      <c r="F45" s="269">
        <f t="shared" si="15"/>
        <v>-519194.54937303375</v>
      </c>
      <c r="G45" s="269">
        <f t="shared" si="15"/>
        <v>-394062.79288021161</v>
      </c>
      <c r="H45" s="269">
        <f t="shared" si="16"/>
        <v>634159.96637392743</v>
      </c>
      <c r="I45" s="269">
        <f t="shared" si="16"/>
        <v>759291.72286674951</v>
      </c>
      <c r="J45" s="269">
        <f t="shared" si="7"/>
        <v>125131.75649282208</v>
      </c>
      <c r="K45" s="269">
        <f t="shared" si="3"/>
        <v>-26277.668863492636</v>
      </c>
      <c r="L45" s="269">
        <f t="shared" si="8"/>
        <v>-506.61097104186047</v>
      </c>
      <c r="M45" s="270">
        <f t="shared" si="9"/>
        <v>733014.05400325684</v>
      </c>
      <c r="N45" s="271"/>
      <c r="O45" s="275"/>
      <c r="P45" s="271"/>
      <c r="Q45" s="271"/>
      <c r="R45" s="271"/>
      <c r="S45" s="271"/>
      <c r="T45" s="271"/>
    </row>
    <row r="46" spans="1:20" s="230" customFormat="1">
      <c r="A46" s="267">
        <f t="shared" si="10"/>
        <v>46112</v>
      </c>
      <c r="B46" s="269">
        <f t="shared" si="14"/>
        <v>1153354.5157469611</v>
      </c>
      <c r="C46" s="269">
        <f t="shared" si="13"/>
        <v>1153354.5157469611</v>
      </c>
      <c r="D46" s="269">
        <f t="shared" si="17"/>
        <v>16810.142067011959</v>
      </c>
      <c r="E46" s="269">
        <f t="shared" si="11"/>
        <v>19222.575262449351</v>
      </c>
      <c r="F46" s="269">
        <f t="shared" si="15"/>
        <v>-536004.69144004572</v>
      </c>
      <c r="G46" s="269">
        <f t="shared" si="15"/>
        <v>-413285.36814266094</v>
      </c>
      <c r="H46" s="269">
        <f t="shared" si="16"/>
        <v>617349.8243069154</v>
      </c>
      <c r="I46" s="269">
        <f t="shared" si="16"/>
        <v>740069.14760430017</v>
      </c>
      <c r="J46" s="269">
        <f t="shared" si="7"/>
        <v>122719.32329738478</v>
      </c>
      <c r="K46" s="269">
        <f t="shared" si="3"/>
        <v>-25771.057892450801</v>
      </c>
      <c r="L46" s="269">
        <f t="shared" si="8"/>
        <v>-506.610971041835</v>
      </c>
      <c r="M46" s="270">
        <f t="shared" si="9"/>
        <v>714298.08971184934</v>
      </c>
      <c r="N46" s="271"/>
      <c r="O46" s="275"/>
      <c r="P46" s="271"/>
      <c r="Q46" s="271"/>
      <c r="R46" s="271"/>
      <c r="S46" s="271"/>
      <c r="T46" s="271"/>
    </row>
    <row r="47" spans="1:20" s="230" customFormat="1">
      <c r="A47" s="267">
        <f t="shared" si="10"/>
        <v>46142</v>
      </c>
      <c r="B47" s="269">
        <f t="shared" si="14"/>
        <v>1153354.5157469611</v>
      </c>
      <c r="C47" s="269">
        <f t="shared" si="13"/>
        <v>1153354.5157469611</v>
      </c>
      <c r="D47" s="269">
        <f t="shared" si="17"/>
        <v>16810.142067011959</v>
      </c>
      <c r="E47" s="269">
        <f t="shared" si="11"/>
        <v>19222.575262449351</v>
      </c>
      <c r="F47" s="269">
        <f t="shared" si="15"/>
        <v>-552814.83350705763</v>
      </c>
      <c r="G47" s="269">
        <f t="shared" si="15"/>
        <v>-432507.94340511027</v>
      </c>
      <c r="H47" s="269">
        <f t="shared" si="16"/>
        <v>600539.68223990349</v>
      </c>
      <c r="I47" s="269">
        <f t="shared" si="16"/>
        <v>720846.57234185084</v>
      </c>
      <c r="J47" s="269">
        <f t="shared" si="7"/>
        <v>120306.89010194736</v>
      </c>
      <c r="K47" s="269">
        <f t="shared" si="3"/>
        <v>-25264.446921408944</v>
      </c>
      <c r="L47" s="269">
        <f t="shared" si="8"/>
        <v>-506.61097104185683</v>
      </c>
      <c r="M47" s="270">
        <f t="shared" si="9"/>
        <v>695582.12542044185</v>
      </c>
      <c r="N47" s="271"/>
      <c r="O47" s="275"/>
      <c r="P47" s="271"/>
      <c r="Q47" s="271"/>
      <c r="R47" s="271"/>
      <c r="S47" s="271"/>
      <c r="T47" s="271"/>
    </row>
    <row r="48" spans="1:20" s="230" customFormat="1">
      <c r="A48" s="267">
        <f t="shared" si="10"/>
        <v>46173</v>
      </c>
      <c r="B48" s="269">
        <f t="shared" si="14"/>
        <v>1153354.5157469611</v>
      </c>
      <c r="C48" s="269">
        <f t="shared" si="13"/>
        <v>1153354.5157469611</v>
      </c>
      <c r="D48" s="269">
        <f t="shared" si="17"/>
        <v>16810.142067011959</v>
      </c>
      <c r="E48" s="269">
        <f t="shared" si="11"/>
        <v>19222.575262449351</v>
      </c>
      <c r="F48" s="269">
        <f t="shared" si="15"/>
        <v>-569624.97557406954</v>
      </c>
      <c r="G48" s="269">
        <f t="shared" si="15"/>
        <v>-451730.51866755961</v>
      </c>
      <c r="H48" s="269">
        <f t="shared" si="16"/>
        <v>583729.54017289157</v>
      </c>
      <c r="I48" s="269">
        <f t="shared" si="16"/>
        <v>701623.99707940151</v>
      </c>
      <c r="J48" s="269">
        <f t="shared" si="7"/>
        <v>117894.45690650993</v>
      </c>
      <c r="K48" s="269">
        <f t="shared" si="3"/>
        <v>-24757.835950367087</v>
      </c>
      <c r="L48" s="269">
        <f t="shared" si="8"/>
        <v>-506.61097104185683</v>
      </c>
      <c r="M48" s="270">
        <f t="shared" si="9"/>
        <v>676866.16112903447</v>
      </c>
      <c r="N48" s="271"/>
      <c r="O48" s="275"/>
      <c r="P48" s="271"/>
      <c r="Q48" s="271"/>
      <c r="R48" s="271"/>
      <c r="S48" s="271"/>
      <c r="T48" s="271"/>
    </row>
    <row r="49" spans="1:20" s="230" customFormat="1">
      <c r="A49" s="267">
        <f t="shared" si="10"/>
        <v>46203</v>
      </c>
      <c r="B49" s="269">
        <f t="shared" si="14"/>
        <v>1153354.5157469611</v>
      </c>
      <c r="C49" s="269">
        <f t="shared" si="13"/>
        <v>1153354.5157469611</v>
      </c>
      <c r="D49" s="269">
        <f t="shared" si="17"/>
        <v>16810.142067011959</v>
      </c>
      <c r="E49" s="269">
        <f t="shared" si="11"/>
        <v>19222.575262449351</v>
      </c>
      <c r="F49" s="269">
        <f t="shared" si="15"/>
        <v>-586435.11764108145</v>
      </c>
      <c r="G49" s="269">
        <f t="shared" si="15"/>
        <v>-470953.09393000894</v>
      </c>
      <c r="H49" s="269">
        <f t="shared" si="16"/>
        <v>566919.39810587966</v>
      </c>
      <c r="I49" s="269">
        <f t="shared" si="16"/>
        <v>682401.42181695218</v>
      </c>
      <c r="J49" s="269">
        <f t="shared" si="7"/>
        <v>115482.02371107251</v>
      </c>
      <c r="K49" s="269">
        <f t="shared" si="3"/>
        <v>-24251.224979325227</v>
      </c>
      <c r="L49" s="269">
        <f t="shared" si="8"/>
        <v>-506.61097104186047</v>
      </c>
      <c r="M49" s="270">
        <f t="shared" si="9"/>
        <v>658150.19683762698</v>
      </c>
      <c r="N49" s="271"/>
      <c r="O49" s="275"/>
      <c r="P49" s="271"/>
      <c r="Q49" s="271"/>
      <c r="R49" s="271"/>
      <c r="S49" s="271"/>
      <c r="T49" s="271"/>
    </row>
    <row r="50" spans="1:20" s="230" customFormat="1">
      <c r="A50" s="267">
        <f t="shared" si="10"/>
        <v>46234</v>
      </c>
      <c r="B50" s="269">
        <f t="shared" si="14"/>
        <v>1153354.5157469611</v>
      </c>
      <c r="C50" s="269">
        <f t="shared" si="13"/>
        <v>1153354.5157469611</v>
      </c>
      <c r="D50" s="269">
        <f t="shared" si="17"/>
        <v>16810.142067011959</v>
      </c>
      <c r="E50" s="269">
        <f t="shared" si="11"/>
        <v>19222.575262449351</v>
      </c>
      <c r="F50" s="269">
        <f t="shared" si="15"/>
        <v>-603245.25970809336</v>
      </c>
      <c r="G50" s="269">
        <f t="shared" si="15"/>
        <v>-490175.66919245827</v>
      </c>
      <c r="H50" s="269">
        <f t="shared" si="16"/>
        <v>550109.25603886775</v>
      </c>
      <c r="I50" s="269">
        <f t="shared" si="16"/>
        <v>663178.84655450284</v>
      </c>
      <c r="J50" s="269">
        <f t="shared" si="7"/>
        <v>113069.59051563509</v>
      </c>
      <c r="K50" s="269">
        <f t="shared" si="3"/>
        <v>-23744.61400828337</v>
      </c>
      <c r="L50" s="269">
        <f t="shared" si="8"/>
        <v>-506.61097104185683</v>
      </c>
      <c r="M50" s="270">
        <f t="shared" si="9"/>
        <v>639434.23254621949</v>
      </c>
      <c r="N50" s="271"/>
      <c r="O50" s="275"/>
      <c r="P50" s="271"/>
      <c r="Q50" s="271"/>
      <c r="R50" s="271"/>
      <c r="S50" s="271"/>
      <c r="T50" s="271"/>
    </row>
    <row r="51" spans="1:20" s="230" customFormat="1">
      <c r="A51" s="267">
        <f t="shared" si="10"/>
        <v>46265</v>
      </c>
      <c r="B51" s="269">
        <f t="shared" si="14"/>
        <v>1153354.5157469611</v>
      </c>
      <c r="C51" s="269">
        <f t="shared" si="13"/>
        <v>1153354.5157469611</v>
      </c>
      <c r="D51" s="269">
        <f t="shared" si="17"/>
        <v>16810.142067011959</v>
      </c>
      <c r="E51" s="269">
        <f t="shared" si="11"/>
        <v>19222.575262449351</v>
      </c>
      <c r="F51" s="269">
        <f t="shared" si="15"/>
        <v>-620055.40177510527</v>
      </c>
      <c r="G51" s="269">
        <f t="shared" si="15"/>
        <v>-509398.2444549076</v>
      </c>
      <c r="H51" s="269">
        <f t="shared" si="16"/>
        <v>533299.11397185584</v>
      </c>
      <c r="I51" s="269">
        <f t="shared" si="16"/>
        <v>643956.27129205351</v>
      </c>
      <c r="J51" s="269">
        <f t="shared" si="7"/>
        <v>110657.15732019767</v>
      </c>
      <c r="K51" s="269">
        <f t="shared" si="3"/>
        <v>-23238.003037241509</v>
      </c>
      <c r="L51" s="269">
        <f t="shared" si="8"/>
        <v>-506.61097104186047</v>
      </c>
      <c r="M51" s="270">
        <f t="shared" si="9"/>
        <v>620718.26825481199</v>
      </c>
      <c r="N51" s="271"/>
      <c r="O51" s="275"/>
      <c r="P51" s="271"/>
      <c r="Q51" s="271"/>
      <c r="R51" s="271"/>
      <c r="S51" s="271"/>
      <c r="T51" s="271"/>
    </row>
    <row r="52" spans="1:20" s="230" customFormat="1">
      <c r="A52" s="267">
        <f t="shared" si="10"/>
        <v>46295</v>
      </c>
      <c r="B52" s="269">
        <f t="shared" si="14"/>
        <v>1153354.5157469611</v>
      </c>
      <c r="C52" s="269">
        <f t="shared" si="13"/>
        <v>1153354.5157469611</v>
      </c>
      <c r="D52" s="269">
        <f>B52*$E$5/12</f>
        <v>12004.49825139962</v>
      </c>
      <c r="E52" s="269">
        <f t="shared" si="11"/>
        <v>19222.575262449351</v>
      </c>
      <c r="F52" s="269">
        <f t="shared" si="15"/>
        <v>-632059.90002650488</v>
      </c>
      <c r="G52" s="269">
        <f t="shared" si="15"/>
        <v>-528620.81971735694</v>
      </c>
      <c r="H52" s="269">
        <f t="shared" si="16"/>
        <v>521294.61572045623</v>
      </c>
      <c r="I52" s="269">
        <f t="shared" si="16"/>
        <v>624733.69602960418</v>
      </c>
      <c r="J52" s="269">
        <f t="shared" si="7"/>
        <v>103439.08030914795</v>
      </c>
      <c r="K52" s="269">
        <f t="shared" ref="K52:K83" si="18">-J52*$K$15</f>
        <v>-21722.206864921067</v>
      </c>
      <c r="L52" s="269">
        <f t="shared" si="8"/>
        <v>-1515.7961723204426</v>
      </c>
      <c r="M52" s="270">
        <f t="shared" si="9"/>
        <v>603011.48916468315</v>
      </c>
      <c r="N52" s="271"/>
      <c r="O52" s="275"/>
      <c r="P52" s="271"/>
      <c r="Q52" s="271"/>
      <c r="R52" s="271"/>
      <c r="S52" s="271"/>
      <c r="T52" s="271"/>
    </row>
    <row r="53" spans="1:20" s="230" customFormat="1">
      <c r="A53" s="267">
        <f t="shared" si="10"/>
        <v>46326</v>
      </c>
      <c r="B53" s="269">
        <f t="shared" si="14"/>
        <v>1153354.5157469611</v>
      </c>
      <c r="C53" s="269">
        <f t="shared" si="13"/>
        <v>1153354.5157469611</v>
      </c>
      <c r="D53" s="269">
        <f t="shared" ref="D53:D63" si="19">B53*$E$5/12</f>
        <v>12004.49825139962</v>
      </c>
      <c r="E53" s="269">
        <f t="shared" si="11"/>
        <v>19222.575262449351</v>
      </c>
      <c r="F53" s="269">
        <f t="shared" ref="F53:G68" si="20">F52-D53</f>
        <v>-644064.39827790449</v>
      </c>
      <c r="G53" s="269">
        <f t="shared" si="20"/>
        <v>-547843.39497980627</v>
      </c>
      <c r="H53" s="269">
        <f t="shared" si="16"/>
        <v>509290.11746905663</v>
      </c>
      <c r="I53" s="269">
        <f t="shared" si="16"/>
        <v>605511.12076715485</v>
      </c>
      <c r="J53" s="269">
        <f t="shared" si="7"/>
        <v>96221.003298098221</v>
      </c>
      <c r="K53" s="269">
        <f t="shared" si="18"/>
        <v>-20206.410692600624</v>
      </c>
      <c r="L53" s="269">
        <f t="shared" si="8"/>
        <v>-1515.7961723204426</v>
      </c>
      <c r="M53" s="270">
        <f t="shared" si="9"/>
        <v>585304.7100745542</v>
      </c>
      <c r="N53" s="271"/>
      <c r="O53" s="275"/>
      <c r="P53" s="271"/>
      <c r="Q53" s="271"/>
      <c r="R53" s="271"/>
      <c r="S53" s="271"/>
      <c r="T53" s="271"/>
    </row>
    <row r="54" spans="1:20" s="230" customFormat="1">
      <c r="A54" s="267">
        <f t="shared" si="10"/>
        <v>46356</v>
      </c>
      <c r="B54" s="269">
        <f t="shared" si="14"/>
        <v>1153354.5157469611</v>
      </c>
      <c r="C54" s="269">
        <f t="shared" si="13"/>
        <v>1153354.5157469611</v>
      </c>
      <c r="D54" s="269">
        <f t="shared" si="19"/>
        <v>12004.49825139962</v>
      </c>
      <c r="E54" s="269">
        <f t="shared" si="11"/>
        <v>19222.575262449351</v>
      </c>
      <c r="F54" s="269">
        <f t="shared" si="20"/>
        <v>-656068.8965293041</v>
      </c>
      <c r="G54" s="269">
        <f t="shared" si="20"/>
        <v>-567065.9702422556</v>
      </c>
      <c r="H54" s="269">
        <f t="shared" si="16"/>
        <v>497285.61921765702</v>
      </c>
      <c r="I54" s="269">
        <f t="shared" si="16"/>
        <v>586288.54550470551</v>
      </c>
      <c r="J54" s="269">
        <f t="shared" si="7"/>
        <v>89002.926287048496</v>
      </c>
      <c r="K54" s="269">
        <f t="shared" si="18"/>
        <v>-18690.614520280182</v>
      </c>
      <c r="L54" s="269">
        <f t="shared" si="8"/>
        <v>-1515.7961723204426</v>
      </c>
      <c r="M54" s="270">
        <f t="shared" si="9"/>
        <v>567597.93098442536</v>
      </c>
      <c r="N54" s="271"/>
      <c r="O54" s="275"/>
      <c r="P54" s="271"/>
      <c r="Q54" s="271"/>
      <c r="R54" s="271"/>
      <c r="S54" s="271"/>
      <c r="T54" s="271"/>
    </row>
    <row r="55" spans="1:20" s="230" customFormat="1">
      <c r="A55" s="267">
        <f t="shared" si="10"/>
        <v>46387</v>
      </c>
      <c r="B55" s="269">
        <f t="shared" si="14"/>
        <v>1153354.5157469611</v>
      </c>
      <c r="C55" s="269">
        <f t="shared" si="13"/>
        <v>1153354.5157469611</v>
      </c>
      <c r="D55" s="269">
        <f t="shared" si="19"/>
        <v>12004.49825139962</v>
      </c>
      <c r="E55" s="269">
        <f t="shared" si="11"/>
        <v>19222.575262449351</v>
      </c>
      <c r="F55" s="269">
        <f t="shared" si="20"/>
        <v>-668073.3947807037</v>
      </c>
      <c r="G55" s="269">
        <f t="shared" si="20"/>
        <v>-586288.54550470493</v>
      </c>
      <c r="H55" s="269">
        <f t="shared" si="16"/>
        <v>485281.12096625741</v>
      </c>
      <c r="I55" s="269">
        <f t="shared" si="16"/>
        <v>567065.97024225618</v>
      </c>
      <c r="J55" s="269">
        <f t="shared" si="7"/>
        <v>81784.849275998771</v>
      </c>
      <c r="K55" s="269">
        <f t="shared" si="18"/>
        <v>-17174.818347959743</v>
      </c>
      <c r="L55" s="269">
        <f t="shared" si="8"/>
        <v>-1515.7961723204389</v>
      </c>
      <c r="M55" s="270">
        <f t="shared" si="9"/>
        <v>549891.1518942964</v>
      </c>
      <c r="N55" s="271"/>
      <c r="O55" s="275"/>
      <c r="P55" s="271"/>
      <c r="Q55" s="271"/>
      <c r="R55" s="271"/>
      <c r="S55" s="271"/>
      <c r="T55" s="271"/>
    </row>
    <row r="56" spans="1:20" s="230" customFormat="1">
      <c r="A56" s="267">
        <f t="shared" si="10"/>
        <v>46418</v>
      </c>
      <c r="B56" s="269">
        <f t="shared" si="14"/>
        <v>1153354.5157469611</v>
      </c>
      <c r="C56" s="269">
        <f t="shared" si="13"/>
        <v>1153354.5157469611</v>
      </c>
      <c r="D56" s="269">
        <f t="shared" si="19"/>
        <v>12004.49825139962</v>
      </c>
      <c r="E56" s="269">
        <f t="shared" si="11"/>
        <v>19222.575262449351</v>
      </c>
      <c r="F56" s="269">
        <f t="shared" si="20"/>
        <v>-680077.89303210331</v>
      </c>
      <c r="G56" s="269">
        <f t="shared" si="20"/>
        <v>-605511.12076715427</v>
      </c>
      <c r="H56" s="269">
        <f t="shared" si="16"/>
        <v>473276.6227148578</v>
      </c>
      <c r="I56" s="269">
        <f t="shared" si="16"/>
        <v>547843.39497980685</v>
      </c>
      <c r="J56" s="269">
        <f t="shared" si="7"/>
        <v>74566.772264949046</v>
      </c>
      <c r="K56" s="269">
        <f t="shared" si="18"/>
        <v>-15659.022175639298</v>
      </c>
      <c r="L56" s="269">
        <f t="shared" si="8"/>
        <v>-1515.7961723204444</v>
      </c>
      <c r="M56" s="270">
        <f t="shared" si="9"/>
        <v>532184.37280416756</v>
      </c>
      <c r="N56" s="271"/>
      <c r="O56" s="275"/>
      <c r="P56" s="271"/>
      <c r="Q56" s="271"/>
      <c r="R56" s="271"/>
      <c r="S56" s="271"/>
      <c r="T56" s="271"/>
    </row>
    <row r="57" spans="1:20" s="230" customFormat="1">
      <c r="A57" s="267">
        <f t="shared" si="10"/>
        <v>46446</v>
      </c>
      <c r="B57" s="269">
        <f t="shared" si="14"/>
        <v>1153354.5157469611</v>
      </c>
      <c r="C57" s="269">
        <f t="shared" si="13"/>
        <v>1153354.5157469611</v>
      </c>
      <c r="D57" s="269">
        <f t="shared" si="19"/>
        <v>12004.49825139962</v>
      </c>
      <c r="E57" s="269">
        <f t="shared" si="11"/>
        <v>19222.575262449351</v>
      </c>
      <c r="F57" s="269">
        <f t="shared" si="20"/>
        <v>-692082.39128350292</v>
      </c>
      <c r="G57" s="269">
        <f t="shared" si="20"/>
        <v>-624733.6960296036</v>
      </c>
      <c r="H57" s="269">
        <f t="shared" si="16"/>
        <v>461272.1244634582</v>
      </c>
      <c r="I57" s="269">
        <f t="shared" si="16"/>
        <v>528620.81971735752</v>
      </c>
      <c r="J57" s="269">
        <f t="shared" si="7"/>
        <v>67348.695253899321</v>
      </c>
      <c r="K57" s="269">
        <f t="shared" si="18"/>
        <v>-14143.226003318858</v>
      </c>
      <c r="L57" s="269">
        <f t="shared" si="8"/>
        <v>-1515.7961723204407</v>
      </c>
      <c r="M57" s="270">
        <f t="shared" si="9"/>
        <v>514477.59371403867</v>
      </c>
      <c r="N57" s="271"/>
      <c r="O57" s="275"/>
      <c r="P57" s="271"/>
      <c r="Q57" s="271"/>
      <c r="R57" s="271"/>
      <c r="S57" s="271"/>
      <c r="T57" s="271"/>
    </row>
    <row r="58" spans="1:20" s="230" customFormat="1">
      <c r="A58" s="267">
        <f t="shared" si="10"/>
        <v>46477</v>
      </c>
      <c r="B58" s="269">
        <f t="shared" si="14"/>
        <v>1153354.5157469611</v>
      </c>
      <c r="C58" s="269">
        <f t="shared" si="13"/>
        <v>1153354.5157469611</v>
      </c>
      <c r="D58" s="269">
        <f t="shared" si="19"/>
        <v>12004.49825139962</v>
      </c>
      <c r="E58" s="269">
        <f t="shared" si="11"/>
        <v>19222.575262449351</v>
      </c>
      <c r="F58" s="269">
        <f t="shared" si="20"/>
        <v>-704086.88953490253</v>
      </c>
      <c r="G58" s="269">
        <f t="shared" si="20"/>
        <v>-643956.27129205293</v>
      </c>
      <c r="H58" s="269">
        <f t="shared" si="16"/>
        <v>449267.62621205859</v>
      </c>
      <c r="I58" s="269">
        <f t="shared" si="16"/>
        <v>509398.24445490818</v>
      </c>
      <c r="J58" s="269">
        <f t="shared" si="7"/>
        <v>60130.618242849596</v>
      </c>
      <c r="K58" s="269">
        <f t="shared" si="18"/>
        <v>-12627.429830998415</v>
      </c>
      <c r="L58" s="269">
        <f t="shared" si="8"/>
        <v>-1515.7961723204426</v>
      </c>
      <c r="M58" s="270">
        <f t="shared" si="9"/>
        <v>496770.81462390977</v>
      </c>
      <c r="N58" s="271"/>
      <c r="O58" s="275"/>
      <c r="P58" s="271"/>
      <c r="Q58" s="271"/>
      <c r="R58" s="271"/>
      <c r="S58" s="271"/>
      <c r="T58" s="271"/>
    </row>
    <row r="59" spans="1:20" s="230" customFormat="1">
      <c r="A59" s="267">
        <f t="shared" si="10"/>
        <v>46507</v>
      </c>
      <c r="B59" s="269">
        <f t="shared" si="14"/>
        <v>1153354.5157469611</v>
      </c>
      <c r="C59" s="269">
        <f t="shared" si="13"/>
        <v>1153354.5157469611</v>
      </c>
      <c r="D59" s="269">
        <f t="shared" si="19"/>
        <v>12004.49825139962</v>
      </c>
      <c r="E59" s="269">
        <f t="shared" si="11"/>
        <v>19222.575262449351</v>
      </c>
      <c r="F59" s="269">
        <f t="shared" si="20"/>
        <v>-716091.38778630213</v>
      </c>
      <c r="G59" s="269">
        <f t="shared" si="20"/>
        <v>-663178.84655450226</v>
      </c>
      <c r="H59" s="269">
        <f t="shared" si="16"/>
        <v>437263.12796065898</v>
      </c>
      <c r="I59" s="269">
        <f t="shared" si="16"/>
        <v>490175.66919245885</v>
      </c>
      <c r="J59" s="269">
        <f t="shared" si="7"/>
        <v>52912.541231799871</v>
      </c>
      <c r="K59" s="269">
        <f t="shared" si="18"/>
        <v>-11111.633658677973</v>
      </c>
      <c r="L59" s="269">
        <f t="shared" si="8"/>
        <v>-1515.7961723204426</v>
      </c>
      <c r="M59" s="270">
        <f t="shared" si="9"/>
        <v>479064.03553378087</v>
      </c>
      <c r="N59" s="271"/>
      <c r="O59" s="271"/>
      <c r="P59" s="271"/>
      <c r="Q59" s="271"/>
      <c r="R59" s="271"/>
      <c r="S59" s="271"/>
      <c r="T59" s="271"/>
    </row>
    <row r="60" spans="1:20" s="230" customFormat="1">
      <c r="A60" s="267">
        <f t="shared" si="10"/>
        <v>46538</v>
      </c>
      <c r="B60" s="269">
        <f t="shared" si="14"/>
        <v>1153354.5157469611</v>
      </c>
      <c r="C60" s="269">
        <f t="shared" si="13"/>
        <v>1153354.5157469611</v>
      </c>
      <c r="D60" s="269">
        <f t="shared" si="19"/>
        <v>12004.49825139962</v>
      </c>
      <c r="E60" s="269">
        <f t="shared" si="11"/>
        <v>19222.575262449351</v>
      </c>
      <c r="F60" s="269">
        <f t="shared" si="20"/>
        <v>-728095.88603770174</v>
      </c>
      <c r="G60" s="269">
        <f t="shared" si="20"/>
        <v>-682401.4218169516</v>
      </c>
      <c r="H60" s="269">
        <f t="shared" si="16"/>
        <v>425258.62970925937</v>
      </c>
      <c r="I60" s="269">
        <f t="shared" si="16"/>
        <v>470953.09393000952</v>
      </c>
      <c r="J60" s="269">
        <f t="shared" si="7"/>
        <v>45694.464220750146</v>
      </c>
      <c r="K60" s="269">
        <f t="shared" si="18"/>
        <v>-9595.83748635753</v>
      </c>
      <c r="L60" s="269">
        <f t="shared" si="8"/>
        <v>-1515.7961723204426</v>
      </c>
      <c r="M60" s="270">
        <f t="shared" si="9"/>
        <v>461357.25644365198</v>
      </c>
      <c r="N60" s="271"/>
      <c r="O60" s="271"/>
      <c r="P60" s="271"/>
      <c r="Q60" s="271"/>
      <c r="R60" s="271"/>
      <c r="S60" s="271"/>
      <c r="T60" s="271"/>
    </row>
    <row r="61" spans="1:20" s="230" customFormat="1">
      <c r="A61" s="267">
        <f t="shared" si="10"/>
        <v>46568</v>
      </c>
      <c r="B61" s="269">
        <f t="shared" si="14"/>
        <v>1153354.5157469611</v>
      </c>
      <c r="C61" s="269">
        <f t="shared" si="13"/>
        <v>1153354.5157469611</v>
      </c>
      <c r="D61" s="269">
        <f t="shared" si="19"/>
        <v>12004.49825139962</v>
      </c>
      <c r="E61" s="269">
        <f t="shared" si="11"/>
        <v>19222.575262449351</v>
      </c>
      <c r="F61" s="269">
        <f t="shared" si="20"/>
        <v>-740100.38428910135</v>
      </c>
      <c r="G61" s="269">
        <f t="shared" si="20"/>
        <v>-701623.99707940093</v>
      </c>
      <c r="H61" s="269">
        <f t="shared" si="16"/>
        <v>413254.13145785977</v>
      </c>
      <c r="I61" s="269">
        <f t="shared" si="16"/>
        <v>451730.51866756019</v>
      </c>
      <c r="J61" s="269">
        <f t="shared" si="7"/>
        <v>38476.38720970042</v>
      </c>
      <c r="K61" s="269">
        <f t="shared" si="18"/>
        <v>-8080.0413140370883</v>
      </c>
      <c r="L61" s="269">
        <f t="shared" si="8"/>
        <v>-1515.7961723204417</v>
      </c>
      <c r="M61" s="270">
        <f t="shared" si="9"/>
        <v>443650.47735352308</v>
      </c>
      <c r="N61" s="271"/>
      <c r="O61" s="271"/>
      <c r="P61" s="271"/>
      <c r="Q61" s="271"/>
      <c r="R61" s="271"/>
      <c r="S61" s="271"/>
      <c r="T61" s="271"/>
    </row>
    <row r="62" spans="1:20" s="230" customFormat="1" ht="15">
      <c r="A62" s="267">
        <f t="shared" si="10"/>
        <v>46599</v>
      </c>
      <c r="B62" s="269">
        <f t="shared" si="14"/>
        <v>1153354.5157469611</v>
      </c>
      <c r="C62" s="269">
        <f t="shared" si="13"/>
        <v>1153354.5157469611</v>
      </c>
      <c r="D62" s="269">
        <f t="shared" si="19"/>
        <v>12004.49825139962</v>
      </c>
      <c r="E62" s="269">
        <f t="shared" si="11"/>
        <v>19222.575262449351</v>
      </c>
      <c r="F62" s="269">
        <f t="shared" si="20"/>
        <v>-752104.88254050096</v>
      </c>
      <c r="G62" s="269">
        <f t="shared" si="20"/>
        <v>-720846.57234185026</v>
      </c>
      <c r="H62" s="269">
        <f t="shared" si="16"/>
        <v>401249.63320646016</v>
      </c>
      <c r="I62" s="269">
        <f t="shared" si="16"/>
        <v>432507.94340511085</v>
      </c>
      <c r="J62" s="269">
        <f t="shared" si="7"/>
        <v>31258.310198650695</v>
      </c>
      <c r="K62" s="269">
        <f t="shared" si="18"/>
        <v>-6564.2451417166458</v>
      </c>
      <c r="L62" s="269">
        <f t="shared" si="8"/>
        <v>-1515.7961723204426</v>
      </c>
      <c r="M62" s="270">
        <f t="shared" si="9"/>
        <v>425943.69826339418</v>
      </c>
      <c r="N62" s="97"/>
      <c r="O62" s="271"/>
      <c r="P62" s="271"/>
      <c r="Q62" s="271"/>
      <c r="R62" s="271"/>
      <c r="S62" s="271"/>
      <c r="T62" s="271"/>
    </row>
    <row r="63" spans="1:20" s="230" customFormat="1" ht="15">
      <c r="A63" s="267">
        <f t="shared" si="10"/>
        <v>46630</v>
      </c>
      <c r="B63" s="269">
        <f t="shared" si="14"/>
        <v>1153354.5157469611</v>
      </c>
      <c r="C63" s="269">
        <f t="shared" si="13"/>
        <v>1153354.5157469611</v>
      </c>
      <c r="D63" s="269">
        <f t="shared" si="19"/>
        <v>12004.49825139962</v>
      </c>
      <c r="E63" s="269">
        <f t="shared" si="11"/>
        <v>19222.575262449351</v>
      </c>
      <c r="F63" s="269">
        <f t="shared" si="20"/>
        <v>-764109.38079190056</v>
      </c>
      <c r="G63" s="269">
        <f t="shared" si="20"/>
        <v>-740069.14760429959</v>
      </c>
      <c r="H63" s="269">
        <f t="shared" si="16"/>
        <v>389245.13495506055</v>
      </c>
      <c r="I63" s="269">
        <f t="shared" si="16"/>
        <v>413285.36814266152</v>
      </c>
      <c r="J63" s="269">
        <f t="shared" si="7"/>
        <v>24040.23318760097</v>
      </c>
      <c r="K63" s="269">
        <f t="shared" si="18"/>
        <v>-5048.4489693962032</v>
      </c>
      <c r="L63" s="269">
        <f t="shared" si="8"/>
        <v>-1515.7961723204426</v>
      </c>
      <c r="M63" s="270">
        <f t="shared" si="9"/>
        <v>408236.91917326534</v>
      </c>
      <c r="N63" s="21"/>
      <c r="O63" s="271"/>
      <c r="P63" s="271"/>
      <c r="Q63" s="271"/>
      <c r="R63" s="271"/>
      <c r="S63" s="271"/>
      <c r="T63" s="271"/>
    </row>
    <row r="64" spans="1:20" s="230" customFormat="1" ht="15">
      <c r="A64" s="267">
        <f t="shared" si="10"/>
        <v>46660</v>
      </c>
      <c r="B64" s="269">
        <f t="shared" si="14"/>
        <v>1153354.5157469611</v>
      </c>
      <c r="C64" s="269">
        <f t="shared" si="13"/>
        <v>1153354.5157469611</v>
      </c>
      <c r="D64" s="269">
        <f t="shared" ref="D64:D75" si="21">B64*$F$5/12</f>
        <v>8582.8798546836351</v>
      </c>
      <c r="E64" s="269">
        <f t="shared" si="11"/>
        <v>19222.575262449351</v>
      </c>
      <c r="F64" s="269">
        <f t="shared" si="20"/>
        <v>-772692.26064658421</v>
      </c>
      <c r="G64" s="269">
        <f t="shared" si="20"/>
        <v>-759291.72286674893</v>
      </c>
      <c r="H64" s="269">
        <f t="shared" si="16"/>
        <v>380662.2551003769</v>
      </c>
      <c r="I64" s="269">
        <f t="shared" si="16"/>
        <v>394062.79288021219</v>
      </c>
      <c r="J64" s="269">
        <f t="shared" si="7"/>
        <v>13400.537779835286</v>
      </c>
      <c r="K64" s="269">
        <f t="shared" si="18"/>
        <v>-2814.1129337654097</v>
      </c>
      <c r="L64" s="269">
        <f t="shared" si="8"/>
        <v>-2234.3360356307935</v>
      </c>
      <c r="M64" s="270">
        <f t="shared" si="9"/>
        <v>391248.67994644679</v>
      </c>
      <c r="N64" s="21"/>
      <c r="O64" s="271"/>
      <c r="P64" s="271"/>
      <c r="Q64" s="271"/>
      <c r="R64" s="271"/>
      <c r="S64" s="271"/>
      <c r="T64" s="271"/>
    </row>
    <row r="65" spans="1:20" s="230" customFormat="1" ht="15">
      <c r="A65" s="267">
        <f t="shared" si="10"/>
        <v>46691</v>
      </c>
      <c r="B65" s="269">
        <f t="shared" si="14"/>
        <v>1153354.5157469611</v>
      </c>
      <c r="C65" s="269">
        <f t="shared" si="13"/>
        <v>1153354.5157469611</v>
      </c>
      <c r="D65" s="269">
        <f t="shared" si="21"/>
        <v>8582.8798546836351</v>
      </c>
      <c r="E65" s="269">
        <f t="shared" si="11"/>
        <v>19222.575262449351</v>
      </c>
      <c r="F65" s="269">
        <f t="shared" si="20"/>
        <v>-781275.14050126786</v>
      </c>
      <c r="G65" s="269">
        <f t="shared" si="20"/>
        <v>-778514.29812919826</v>
      </c>
      <c r="H65" s="269">
        <f t="shared" si="16"/>
        <v>372079.37524569326</v>
      </c>
      <c r="I65" s="269">
        <f t="shared" si="16"/>
        <v>374840.21761776286</v>
      </c>
      <c r="J65" s="269">
        <f t="shared" si="7"/>
        <v>2760.842372069601</v>
      </c>
      <c r="K65" s="269">
        <f t="shared" si="18"/>
        <v>-579.7768981346162</v>
      </c>
      <c r="L65" s="269">
        <f t="shared" si="8"/>
        <v>-2234.3360356307935</v>
      </c>
      <c r="M65" s="270">
        <f t="shared" si="9"/>
        <v>374260.44071962824</v>
      </c>
      <c r="N65" s="21"/>
      <c r="O65" s="271"/>
      <c r="P65" s="271"/>
      <c r="Q65" s="271"/>
      <c r="R65" s="271"/>
      <c r="S65" s="271"/>
      <c r="T65" s="271"/>
    </row>
    <row r="66" spans="1:20" s="230" customFormat="1" ht="15">
      <c r="A66" s="267">
        <f t="shared" si="10"/>
        <v>46721</v>
      </c>
      <c r="B66" s="269">
        <f t="shared" si="14"/>
        <v>1153354.5157469611</v>
      </c>
      <c r="C66" s="269">
        <f t="shared" si="13"/>
        <v>1153354.5157469611</v>
      </c>
      <c r="D66" s="269">
        <f t="shared" si="21"/>
        <v>8582.8798546836351</v>
      </c>
      <c r="E66" s="269">
        <f t="shared" si="11"/>
        <v>19222.575262449351</v>
      </c>
      <c r="F66" s="269">
        <f t="shared" si="20"/>
        <v>-789858.02035595151</v>
      </c>
      <c r="G66" s="269">
        <f t="shared" si="20"/>
        <v>-797736.87339164759</v>
      </c>
      <c r="H66" s="269">
        <f t="shared" si="16"/>
        <v>363496.49539100961</v>
      </c>
      <c r="I66" s="269">
        <f t="shared" si="16"/>
        <v>355617.64235531352</v>
      </c>
      <c r="J66" s="269">
        <f t="shared" si="7"/>
        <v>-7878.8530356960837</v>
      </c>
      <c r="K66" s="269">
        <f t="shared" si="18"/>
        <v>1654.5591374961775</v>
      </c>
      <c r="L66" s="269">
        <f t="shared" si="8"/>
        <v>-2234.336035630794</v>
      </c>
      <c r="M66" s="270">
        <f t="shared" si="9"/>
        <v>357272.20149280969</v>
      </c>
      <c r="N66" s="21"/>
      <c r="O66" s="271"/>
      <c r="P66" s="271"/>
      <c r="Q66" s="271"/>
      <c r="R66" s="271"/>
      <c r="S66" s="271"/>
      <c r="T66" s="271"/>
    </row>
    <row r="67" spans="1:20" s="230" customFormat="1" ht="15">
      <c r="A67" s="267">
        <f t="shared" si="10"/>
        <v>46752</v>
      </c>
      <c r="B67" s="269">
        <f t="shared" si="14"/>
        <v>1153354.5157469611</v>
      </c>
      <c r="C67" s="269">
        <f t="shared" si="13"/>
        <v>1153354.5157469611</v>
      </c>
      <c r="D67" s="269">
        <f t="shared" si="21"/>
        <v>8582.8798546836351</v>
      </c>
      <c r="E67" s="269">
        <f t="shared" si="11"/>
        <v>19222.575262449351</v>
      </c>
      <c r="F67" s="269">
        <f t="shared" si="20"/>
        <v>-798440.90021063515</v>
      </c>
      <c r="G67" s="269">
        <f t="shared" si="20"/>
        <v>-816959.44865409692</v>
      </c>
      <c r="H67" s="269">
        <f t="shared" si="16"/>
        <v>354913.61553632596</v>
      </c>
      <c r="I67" s="269">
        <f t="shared" si="16"/>
        <v>336395.06709286419</v>
      </c>
      <c r="J67" s="269">
        <f t="shared" si="7"/>
        <v>-18518.548443461768</v>
      </c>
      <c r="K67" s="269">
        <f t="shared" si="18"/>
        <v>3888.8951731269713</v>
      </c>
      <c r="L67" s="269">
        <f t="shared" si="8"/>
        <v>-2234.336035630794</v>
      </c>
      <c r="M67" s="270">
        <f t="shared" si="9"/>
        <v>340283.96226599114</v>
      </c>
      <c r="N67" s="21"/>
      <c r="O67" s="271"/>
      <c r="P67" s="271"/>
      <c r="Q67" s="271"/>
      <c r="R67" s="271"/>
      <c r="S67" s="271"/>
      <c r="T67" s="271"/>
    </row>
    <row r="68" spans="1:20" s="230" customFormat="1" ht="15">
      <c r="A68" s="267">
        <f t="shared" si="10"/>
        <v>46783</v>
      </c>
      <c r="B68" s="269">
        <f t="shared" si="14"/>
        <v>1153354.5157469611</v>
      </c>
      <c r="C68" s="269">
        <f t="shared" si="13"/>
        <v>1153354.5157469611</v>
      </c>
      <c r="D68" s="269">
        <f t="shared" si="21"/>
        <v>8582.8798546836351</v>
      </c>
      <c r="E68" s="269">
        <f t="shared" si="11"/>
        <v>19222.575262449351</v>
      </c>
      <c r="F68" s="269">
        <f t="shared" si="20"/>
        <v>-807023.7800653188</v>
      </c>
      <c r="G68" s="269">
        <f t="shared" si="20"/>
        <v>-836182.02391654626</v>
      </c>
      <c r="H68" s="269">
        <f t="shared" si="16"/>
        <v>346330.73568164231</v>
      </c>
      <c r="I68" s="269">
        <f t="shared" si="16"/>
        <v>317172.49183041486</v>
      </c>
      <c r="J68" s="269">
        <f t="shared" si="7"/>
        <v>-29158.243851227453</v>
      </c>
      <c r="K68" s="269">
        <f t="shared" si="18"/>
        <v>6123.2312087577648</v>
      </c>
      <c r="L68" s="269">
        <f t="shared" si="8"/>
        <v>-2234.3360356307935</v>
      </c>
      <c r="M68" s="270">
        <f t="shared" si="9"/>
        <v>323295.72303917265</v>
      </c>
      <c r="N68" s="21"/>
      <c r="O68" s="271"/>
      <c r="P68" s="271"/>
      <c r="Q68" s="271"/>
      <c r="R68" s="271"/>
      <c r="S68" s="271"/>
      <c r="T68" s="271"/>
    </row>
    <row r="69" spans="1:20" s="230" customFormat="1" ht="15">
      <c r="A69" s="267">
        <f t="shared" si="10"/>
        <v>46812</v>
      </c>
      <c r="B69" s="269">
        <f t="shared" si="14"/>
        <v>1153354.5157469611</v>
      </c>
      <c r="C69" s="269">
        <f t="shared" si="13"/>
        <v>1153354.5157469611</v>
      </c>
      <c r="D69" s="269">
        <f t="shared" si="21"/>
        <v>8582.8798546836351</v>
      </c>
      <c r="E69" s="269">
        <f t="shared" si="11"/>
        <v>19222.575262449351</v>
      </c>
      <c r="F69" s="269">
        <f t="shared" ref="F69:G84" si="22">F68-D69</f>
        <v>-815606.65992000245</v>
      </c>
      <c r="G69" s="269">
        <f t="shared" si="22"/>
        <v>-855404.59917899559</v>
      </c>
      <c r="H69" s="269">
        <f t="shared" si="16"/>
        <v>337747.85582695866</v>
      </c>
      <c r="I69" s="269">
        <f t="shared" si="16"/>
        <v>297949.91656796553</v>
      </c>
      <c r="J69" s="269">
        <f t="shared" si="7"/>
        <v>-39797.939258993138</v>
      </c>
      <c r="K69" s="269">
        <f t="shared" si="18"/>
        <v>8357.5672443885578</v>
      </c>
      <c r="L69" s="269">
        <f t="shared" si="8"/>
        <v>-2234.336035630793</v>
      </c>
      <c r="M69" s="270">
        <f t="shared" si="9"/>
        <v>306307.4838123541</v>
      </c>
      <c r="N69" s="21"/>
      <c r="O69" s="271"/>
      <c r="P69" s="271"/>
      <c r="Q69" s="271"/>
      <c r="R69" s="271"/>
      <c r="S69" s="271"/>
      <c r="T69" s="271"/>
    </row>
    <row r="70" spans="1:20" s="230" customFormat="1" ht="15">
      <c r="A70" s="267">
        <f t="shared" si="10"/>
        <v>46843</v>
      </c>
      <c r="B70" s="269">
        <f t="shared" si="14"/>
        <v>1153354.5157469611</v>
      </c>
      <c r="C70" s="269">
        <f t="shared" si="13"/>
        <v>1153354.5157469611</v>
      </c>
      <c r="D70" s="269">
        <f t="shared" si="21"/>
        <v>8582.8798546836351</v>
      </c>
      <c r="E70" s="269">
        <f t="shared" si="11"/>
        <v>19222.575262449351</v>
      </c>
      <c r="F70" s="269">
        <f t="shared" si="22"/>
        <v>-824189.5397746861</v>
      </c>
      <c r="G70" s="269">
        <f t="shared" si="22"/>
        <v>-874627.17444144492</v>
      </c>
      <c r="H70" s="269">
        <f t="shared" si="16"/>
        <v>329164.97597227502</v>
      </c>
      <c r="I70" s="269">
        <f t="shared" si="16"/>
        <v>278727.34130551619</v>
      </c>
      <c r="J70" s="269">
        <f t="shared" si="7"/>
        <v>-50437.634666758822</v>
      </c>
      <c r="K70" s="269">
        <f t="shared" si="18"/>
        <v>10591.903280019353</v>
      </c>
      <c r="L70" s="269">
        <f t="shared" si="8"/>
        <v>-2234.3360356307949</v>
      </c>
      <c r="M70" s="270">
        <f t="shared" si="9"/>
        <v>289319.24458553555</v>
      </c>
      <c r="N70" s="21"/>
      <c r="O70" s="271"/>
      <c r="P70" s="271"/>
      <c r="Q70" s="271"/>
      <c r="R70" s="271"/>
      <c r="S70" s="271"/>
      <c r="T70" s="271"/>
    </row>
    <row r="71" spans="1:20" s="230" customFormat="1" ht="15">
      <c r="A71" s="267">
        <f t="shared" si="10"/>
        <v>46873</v>
      </c>
      <c r="B71" s="269">
        <f t="shared" si="14"/>
        <v>1153354.5157469611</v>
      </c>
      <c r="C71" s="269">
        <f t="shared" si="13"/>
        <v>1153354.5157469611</v>
      </c>
      <c r="D71" s="269">
        <f t="shared" si="21"/>
        <v>8582.8798546836351</v>
      </c>
      <c r="E71" s="269">
        <f t="shared" si="11"/>
        <v>19222.575262449351</v>
      </c>
      <c r="F71" s="269">
        <f t="shared" si="22"/>
        <v>-832772.41962936975</v>
      </c>
      <c r="G71" s="269">
        <f t="shared" si="22"/>
        <v>-893849.74970389425</v>
      </c>
      <c r="H71" s="269">
        <f t="shared" si="16"/>
        <v>320582.09611759137</v>
      </c>
      <c r="I71" s="269">
        <f t="shared" si="16"/>
        <v>259504.76604306686</v>
      </c>
      <c r="J71" s="269">
        <f t="shared" si="7"/>
        <v>-61077.330074524507</v>
      </c>
      <c r="K71" s="269">
        <f t="shared" si="18"/>
        <v>12826.239315650146</v>
      </c>
      <c r="L71" s="269">
        <f t="shared" si="8"/>
        <v>-2234.336035630793</v>
      </c>
      <c r="M71" s="270">
        <f t="shared" si="9"/>
        <v>272331.005358717</v>
      </c>
      <c r="N71" s="21"/>
      <c r="O71" s="271"/>
      <c r="P71" s="271"/>
      <c r="Q71" s="271"/>
      <c r="R71" s="271"/>
      <c r="S71" s="271"/>
      <c r="T71" s="271"/>
    </row>
    <row r="72" spans="1:20" s="230" customFormat="1" ht="15">
      <c r="A72" s="267">
        <f t="shared" si="10"/>
        <v>46904</v>
      </c>
      <c r="B72" s="269">
        <f t="shared" si="14"/>
        <v>1153354.5157469611</v>
      </c>
      <c r="C72" s="269">
        <f t="shared" si="13"/>
        <v>1153354.5157469611</v>
      </c>
      <c r="D72" s="269">
        <f t="shared" si="21"/>
        <v>8582.8798546836351</v>
      </c>
      <c r="E72" s="269">
        <f t="shared" si="11"/>
        <v>19222.575262449351</v>
      </c>
      <c r="F72" s="269">
        <f t="shared" si="22"/>
        <v>-841355.29948405339</v>
      </c>
      <c r="G72" s="269">
        <f t="shared" si="22"/>
        <v>-913072.32496634359</v>
      </c>
      <c r="H72" s="269">
        <f t="shared" si="16"/>
        <v>311999.21626290772</v>
      </c>
      <c r="I72" s="269">
        <f t="shared" si="16"/>
        <v>240282.19078061753</v>
      </c>
      <c r="J72" s="269">
        <f t="shared" si="7"/>
        <v>-71717.025482290192</v>
      </c>
      <c r="K72" s="269">
        <f t="shared" si="18"/>
        <v>15060.575351280939</v>
      </c>
      <c r="L72" s="269">
        <f t="shared" si="8"/>
        <v>-2234.336035630793</v>
      </c>
      <c r="M72" s="270">
        <f t="shared" si="9"/>
        <v>255342.76613189848</v>
      </c>
      <c r="N72" s="21"/>
      <c r="O72" s="271"/>
      <c r="P72" s="271"/>
      <c r="Q72" s="271"/>
      <c r="R72" s="271"/>
      <c r="S72" s="271"/>
      <c r="T72" s="271"/>
    </row>
    <row r="73" spans="1:20" s="230" customFormat="1" ht="15">
      <c r="A73" s="267">
        <f t="shared" si="10"/>
        <v>46934</v>
      </c>
      <c r="B73" s="269">
        <f t="shared" si="14"/>
        <v>1153354.5157469611</v>
      </c>
      <c r="C73" s="269">
        <f t="shared" si="13"/>
        <v>1153354.5157469611</v>
      </c>
      <c r="D73" s="269">
        <f t="shared" si="21"/>
        <v>8582.8798546836351</v>
      </c>
      <c r="E73" s="269">
        <f t="shared" si="11"/>
        <v>19222.575262449351</v>
      </c>
      <c r="F73" s="269">
        <f t="shared" si="22"/>
        <v>-849938.17933873704</v>
      </c>
      <c r="G73" s="269">
        <f t="shared" si="22"/>
        <v>-932294.90022879292</v>
      </c>
      <c r="H73" s="269">
        <f t="shared" si="16"/>
        <v>303416.33640822407</v>
      </c>
      <c r="I73" s="269">
        <f t="shared" si="16"/>
        <v>221059.6155181682</v>
      </c>
      <c r="J73" s="269">
        <f t="shared" si="7"/>
        <v>-82356.720890055876</v>
      </c>
      <c r="K73" s="269">
        <f t="shared" si="18"/>
        <v>17294.911386911732</v>
      </c>
      <c r="L73" s="269">
        <f t="shared" si="8"/>
        <v>-2234.336035630793</v>
      </c>
      <c r="M73" s="270">
        <f t="shared" si="9"/>
        <v>238354.52690507993</v>
      </c>
      <c r="N73" s="21"/>
      <c r="O73" s="271"/>
      <c r="P73" s="271"/>
      <c r="Q73" s="271"/>
      <c r="R73" s="271"/>
      <c r="S73" s="271"/>
      <c r="T73" s="271"/>
    </row>
    <row r="74" spans="1:20" s="230" customFormat="1" ht="15">
      <c r="A74" s="267">
        <f t="shared" si="10"/>
        <v>46965</v>
      </c>
      <c r="B74" s="269">
        <f t="shared" si="14"/>
        <v>1153354.5157469611</v>
      </c>
      <c r="C74" s="269">
        <f t="shared" si="13"/>
        <v>1153354.5157469611</v>
      </c>
      <c r="D74" s="269">
        <f t="shared" si="21"/>
        <v>8582.8798546836351</v>
      </c>
      <c r="E74" s="269">
        <f t="shared" si="11"/>
        <v>19222.575262449351</v>
      </c>
      <c r="F74" s="269">
        <f t="shared" si="22"/>
        <v>-858521.05919342069</v>
      </c>
      <c r="G74" s="269">
        <f t="shared" si="22"/>
        <v>-951517.47549124225</v>
      </c>
      <c r="H74" s="269">
        <f t="shared" si="16"/>
        <v>294833.45655354043</v>
      </c>
      <c r="I74" s="269">
        <f t="shared" si="16"/>
        <v>201837.04025571886</v>
      </c>
      <c r="J74" s="269">
        <f t="shared" si="7"/>
        <v>-92996.416297821561</v>
      </c>
      <c r="K74" s="269">
        <f t="shared" si="18"/>
        <v>19529.247422542529</v>
      </c>
      <c r="L74" s="269">
        <f t="shared" si="8"/>
        <v>-2234.3360356307967</v>
      </c>
      <c r="M74" s="270">
        <f t="shared" si="9"/>
        <v>221366.2876782614</v>
      </c>
      <c r="N74" s="21"/>
      <c r="O74" s="271"/>
      <c r="P74" s="271"/>
      <c r="Q74" s="271"/>
      <c r="R74" s="271"/>
      <c r="S74" s="271"/>
      <c r="T74" s="271"/>
    </row>
    <row r="75" spans="1:20" s="230" customFormat="1" ht="15">
      <c r="A75" s="267">
        <f t="shared" si="10"/>
        <v>46996</v>
      </c>
      <c r="B75" s="269">
        <f t="shared" si="14"/>
        <v>1153354.5157469611</v>
      </c>
      <c r="C75" s="269">
        <f t="shared" si="13"/>
        <v>1153354.5157469611</v>
      </c>
      <c r="D75" s="269">
        <f t="shared" si="21"/>
        <v>8582.8798546836351</v>
      </c>
      <c r="E75" s="269">
        <f>C75*E$12/12</f>
        <v>19222.575262449351</v>
      </c>
      <c r="F75" s="269">
        <f t="shared" si="22"/>
        <v>-867103.93904810434</v>
      </c>
      <c r="G75" s="269">
        <f t="shared" si="22"/>
        <v>-970740.05075369158</v>
      </c>
      <c r="H75" s="269">
        <f t="shared" ref="H75:I90" si="23">B75+F75</f>
        <v>286250.57669885678</v>
      </c>
      <c r="I75" s="269">
        <f t="shared" si="23"/>
        <v>182614.46499326953</v>
      </c>
      <c r="J75" s="269">
        <f t="shared" si="7"/>
        <v>-103636.11170558725</v>
      </c>
      <c r="K75" s="269">
        <f t="shared" si="18"/>
        <v>21763.583458173322</v>
      </c>
      <c r="L75" s="269">
        <f t="shared" si="8"/>
        <v>-2234.336035630793</v>
      </c>
      <c r="M75" s="270">
        <f t="shared" si="9"/>
        <v>204378.04845144285</v>
      </c>
      <c r="N75" s="21"/>
      <c r="O75" s="271"/>
      <c r="P75" s="271"/>
      <c r="Q75" s="271"/>
      <c r="R75" s="271"/>
      <c r="S75" s="271"/>
      <c r="T75" s="271"/>
    </row>
    <row r="76" spans="1:20" s="230" customFormat="1" ht="15">
      <c r="A76" s="267">
        <f t="shared" si="10"/>
        <v>47026</v>
      </c>
      <c r="B76" s="269">
        <f t="shared" si="14"/>
        <v>1153354.5157469611</v>
      </c>
      <c r="C76" s="269">
        <f t="shared" si="13"/>
        <v>1153354.5157469611</v>
      </c>
      <c r="D76" s="269">
        <f t="shared" ref="D76:D87" si="24">B76*$G$5/12</f>
        <v>8573.2685670524115</v>
      </c>
      <c r="E76" s="269">
        <f>C76*E$12/12</f>
        <v>19222.575262449351</v>
      </c>
      <c r="F76" s="269">
        <f t="shared" si="22"/>
        <v>-875677.20761515677</v>
      </c>
      <c r="G76" s="269">
        <f t="shared" si="22"/>
        <v>-989962.62601614092</v>
      </c>
      <c r="H76" s="269">
        <f t="shared" si="23"/>
        <v>277677.30813180434</v>
      </c>
      <c r="I76" s="269">
        <f t="shared" si="23"/>
        <v>163391.8897308202</v>
      </c>
      <c r="J76" s="269">
        <f t="shared" si="7"/>
        <v>-114285.41840098414</v>
      </c>
      <c r="K76" s="269">
        <f t="shared" si="18"/>
        <v>23999.937864206669</v>
      </c>
      <c r="L76" s="269">
        <f t="shared" si="8"/>
        <v>-2236.3544060333479</v>
      </c>
      <c r="M76" s="270">
        <f t="shared" si="9"/>
        <v>187391.82759502687</v>
      </c>
      <c r="N76" s="21"/>
      <c r="O76" s="271"/>
      <c r="P76" s="271"/>
      <c r="Q76" s="271"/>
      <c r="R76" s="271"/>
      <c r="S76" s="271"/>
      <c r="T76" s="271"/>
    </row>
    <row r="77" spans="1:20" s="230" customFormat="1" ht="15">
      <c r="A77" s="267">
        <f t="shared" si="10"/>
        <v>47057</v>
      </c>
      <c r="B77" s="269">
        <f t="shared" si="14"/>
        <v>1153354.5157469611</v>
      </c>
      <c r="C77" s="269">
        <f t="shared" si="13"/>
        <v>1153354.5157469611</v>
      </c>
      <c r="D77" s="269">
        <f t="shared" si="24"/>
        <v>8573.2685670524115</v>
      </c>
      <c r="E77" s="269">
        <f>C77*E$12/12</f>
        <v>19222.575262449351</v>
      </c>
      <c r="F77" s="269">
        <f t="shared" si="22"/>
        <v>-884250.47618220921</v>
      </c>
      <c r="G77" s="269">
        <f t="shared" si="22"/>
        <v>-1009185.2012785902</v>
      </c>
      <c r="H77" s="269">
        <f t="shared" si="23"/>
        <v>269104.0395647519</v>
      </c>
      <c r="I77" s="269">
        <f t="shared" si="23"/>
        <v>144169.31446837087</v>
      </c>
      <c r="J77" s="269">
        <f t="shared" si="7"/>
        <v>-124934.72509638104</v>
      </c>
      <c r="K77" s="269">
        <f t="shared" si="18"/>
        <v>26236.292270240017</v>
      </c>
      <c r="L77" s="269">
        <f t="shared" si="8"/>
        <v>-2236.3544060333479</v>
      </c>
      <c r="M77" s="270">
        <f t="shared" si="9"/>
        <v>170405.60673861089</v>
      </c>
      <c r="N77" s="21"/>
      <c r="O77" s="271"/>
      <c r="P77" s="271"/>
      <c r="Q77" s="271"/>
      <c r="R77" s="271"/>
      <c r="S77" s="271"/>
      <c r="T77" s="271"/>
    </row>
    <row r="78" spans="1:20" s="230" customFormat="1" ht="15">
      <c r="A78" s="267">
        <f t="shared" si="10"/>
        <v>47087</v>
      </c>
      <c r="B78" s="269">
        <f t="shared" si="14"/>
        <v>1153354.5157469611</v>
      </c>
      <c r="C78" s="269">
        <f t="shared" si="13"/>
        <v>1153354.5157469611</v>
      </c>
      <c r="D78" s="269">
        <f t="shared" si="24"/>
        <v>8573.2685670524115</v>
      </c>
      <c r="E78" s="269">
        <f>C78*E$12/12</f>
        <v>19222.575262449351</v>
      </c>
      <c r="F78" s="269">
        <f t="shared" si="22"/>
        <v>-892823.74474926165</v>
      </c>
      <c r="G78" s="269">
        <f t="shared" si="22"/>
        <v>-1028407.7765410396</v>
      </c>
      <c r="H78" s="269">
        <f t="shared" si="23"/>
        <v>260530.77099769947</v>
      </c>
      <c r="I78" s="269">
        <f t="shared" si="23"/>
        <v>124946.73920592153</v>
      </c>
      <c r="J78" s="269">
        <f t="shared" si="7"/>
        <v>-135584.03179177793</v>
      </c>
      <c r="K78" s="269">
        <f t="shared" si="18"/>
        <v>28472.646676273365</v>
      </c>
      <c r="L78" s="269">
        <f t="shared" si="8"/>
        <v>-2236.3544060333479</v>
      </c>
      <c r="M78" s="270">
        <f t="shared" si="9"/>
        <v>153419.38588219491</v>
      </c>
      <c r="N78" s="21"/>
      <c r="O78" s="271"/>
      <c r="P78" s="271"/>
      <c r="Q78" s="271"/>
      <c r="R78" s="271"/>
      <c r="S78" s="271"/>
      <c r="T78" s="271"/>
    </row>
    <row r="79" spans="1:20" s="230" customFormat="1" ht="15">
      <c r="A79" s="267">
        <f t="shared" si="10"/>
        <v>47118</v>
      </c>
      <c r="B79" s="269">
        <f t="shared" si="14"/>
        <v>1153354.5157469611</v>
      </c>
      <c r="C79" s="269">
        <f t="shared" si="13"/>
        <v>1153354.5157469611</v>
      </c>
      <c r="D79" s="269">
        <f t="shared" si="24"/>
        <v>8573.2685670524115</v>
      </c>
      <c r="E79" s="269">
        <f>C79*E$12/12</f>
        <v>19222.575262449351</v>
      </c>
      <c r="F79" s="269">
        <f t="shared" si="22"/>
        <v>-901397.01331631409</v>
      </c>
      <c r="G79" s="269">
        <f t="shared" si="22"/>
        <v>-1047630.3518034889</v>
      </c>
      <c r="H79" s="269">
        <f t="shared" si="23"/>
        <v>251957.50243064703</v>
      </c>
      <c r="I79" s="269">
        <f t="shared" si="23"/>
        <v>105724.1639434722</v>
      </c>
      <c r="J79" s="269">
        <f t="shared" si="7"/>
        <v>-146233.33848717483</v>
      </c>
      <c r="K79" s="269">
        <f t="shared" si="18"/>
        <v>30709.001082306713</v>
      </c>
      <c r="L79" s="269">
        <f t="shared" si="8"/>
        <v>-2236.3544060333479</v>
      </c>
      <c r="M79" s="270">
        <f t="shared" si="9"/>
        <v>136433.16502577893</v>
      </c>
      <c r="N79" s="21"/>
      <c r="O79" s="271"/>
      <c r="P79" s="271"/>
      <c r="Q79" s="271"/>
      <c r="R79" s="271"/>
      <c r="S79" s="271"/>
      <c r="T79" s="271"/>
    </row>
    <row r="80" spans="1:20" s="230" customFormat="1" ht="15">
      <c r="A80" s="267">
        <f t="shared" si="10"/>
        <v>47149</v>
      </c>
      <c r="B80" s="269">
        <f t="shared" si="14"/>
        <v>1153354.5157469611</v>
      </c>
      <c r="C80" s="269">
        <f t="shared" si="13"/>
        <v>1153354.5157469611</v>
      </c>
      <c r="D80" s="269">
        <f t="shared" si="24"/>
        <v>8573.2685670524115</v>
      </c>
      <c r="E80" s="269">
        <f t="shared" ref="E80:E84" si="25">C80*E$12/12</f>
        <v>19222.575262449351</v>
      </c>
      <c r="F80" s="269">
        <f t="shared" si="22"/>
        <v>-909970.28188336652</v>
      </c>
      <c r="G80" s="269">
        <f t="shared" si="22"/>
        <v>-1066852.9270659382</v>
      </c>
      <c r="H80" s="269">
        <f t="shared" si="23"/>
        <v>243384.23386359459</v>
      </c>
      <c r="I80" s="269">
        <f t="shared" si="23"/>
        <v>86501.588681022869</v>
      </c>
      <c r="J80" s="269">
        <f t="shared" si="7"/>
        <v>-156882.64518257172</v>
      </c>
      <c r="K80" s="269">
        <f t="shared" si="18"/>
        <v>32945.355488340057</v>
      </c>
      <c r="L80" s="269">
        <f t="shared" si="8"/>
        <v>-2236.3544060333443</v>
      </c>
      <c r="M80" s="270">
        <f t="shared" si="9"/>
        <v>119446.94416936292</v>
      </c>
      <c r="N80" s="21"/>
      <c r="O80" s="271"/>
      <c r="P80" s="271"/>
      <c r="Q80" s="271"/>
      <c r="R80" s="271"/>
      <c r="S80" s="271"/>
      <c r="T80" s="271"/>
    </row>
    <row r="81" spans="1:20" s="230" customFormat="1" ht="15">
      <c r="A81" s="267">
        <f t="shared" si="10"/>
        <v>47177</v>
      </c>
      <c r="B81" s="269">
        <f t="shared" si="14"/>
        <v>1153354.5157469611</v>
      </c>
      <c r="C81" s="269">
        <f t="shared" si="13"/>
        <v>1153354.5157469611</v>
      </c>
      <c r="D81" s="269">
        <f t="shared" si="24"/>
        <v>8573.2685670524115</v>
      </c>
      <c r="E81" s="269">
        <f t="shared" si="25"/>
        <v>19222.575262449351</v>
      </c>
      <c r="F81" s="269">
        <f t="shared" si="22"/>
        <v>-918543.55045041896</v>
      </c>
      <c r="G81" s="269">
        <f t="shared" si="22"/>
        <v>-1086075.5023283877</v>
      </c>
      <c r="H81" s="269">
        <f t="shared" si="23"/>
        <v>234810.96529654216</v>
      </c>
      <c r="I81" s="269">
        <f t="shared" si="23"/>
        <v>67279.01341857342</v>
      </c>
      <c r="J81" s="269">
        <f t="shared" si="7"/>
        <v>-167531.95187796874</v>
      </c>
      <c r="K81" s="269">
        <f t="shared" si="18"/>
        <v>35181.709894373431</v>
      </c>
      <c r="L81" s="269">
        <f t="shared" si="8"/>
        <v>-2236.3544060333734</v>
      </c>
      <c r="M81" s="270">
        <f t="shared" si="9"/>
        <v>102460.72331294685</v>
      </c>
      <c r="N81" s="21"/>
      <c r="O81" s="271"/>
      <c r="P81" s="271"/>
      <c r="Q81" s="271"/>
      <c r="R81" s="271"/>
      <c r="S81" s="271"/>
      <c r="T81" s="271"/>
    </row>
    <row r="82" spans="1:20" s="230" customFormat="1" ht="15">
      <c r="A82" s="267">
        <f t="shared" si="10"/>
        <v>47208</v>
      </c>
      <c r="B82" s="269">
        <f t="shared" si="14"/>
        <v>1153354.5157469611</v>
      </c>
      <c r="C82" s="269">
        <f t="shared" si="13"/>
        <v>1153354.5157469611</v>
      </c>
      <c r="D82" s="269">
        <f t="shared" si="24"/>
        <v>8573.2685670524115</v>
      </c>
      <c r="E82" s="269">
        <f t="shared" si="25"/>
        <v>19222.575262449351</v>
      </c>
      <c r="F82" s="269">
        <f t="shared" si="22"/>
        <v>-927116.8190174714</v>
      </c>
      <c r="G82" s="269">
        <f t="shared" si="22"/>
        <v>-1105298.0775908371</v>
      </c>
      <c r="H82" s="269">
        <f t="shared" si="23"/>
        <v>226237.69672948972</v>
      </c>
      <c r="I82" s="269">
        <f t="shared" si="23"/>
        <v>48056.438156123972</v>
      </c>
      <c r="J82" s="269">
        <f t="shared" si="7"/>
        <v>-178181.25857336575</v>
      </c>
      <c r="K82" s="269">
        <f t="shared" si="18"/>
        <v>37418.064300406804</v>
      </c>
      <c r="L82" s="269">
        <f t="shared" si="8"/>
        <v>-2236.3544060333734</v>
      </c>
      <c r="M82" s="270">
        <f t="shared" si="9"/>
        <v>85474.502456530783</v>
      </c>
      <c r="N82" s="21"/>
      <c r="O82" s="271"/>
      <c r="P82" s="271"/>
      <c r="Q82" s="271"/>
      <c r="R82" s="271"/>
      <c r="S82" s="271"/>
      <c r="T82" s="271"/>
    </row>
    <row r="83" spans="1:20" s="230" customFormat="1" ht="15">
      <c r="A83" s="267">
        <f t="shared" si="10"/>
        <v>47238</v>
      </c>
      <c r="B83" s="269">
        <f t="shared" si="14"/>
        <v>1153354.5157469611</v>
      </c>
      <c r="C83" s="269">
        <f t="shared" si="13"/>
        <v>1153354.5157469611</v>
      </c>
      <c r="D83" s="269">
        <f t="shared" si="24"/>
        <v>8573.2685670524115</v>
      </c>
      <c r="E83" s="269">
        <f t="shared" si="25"/>
        <v>19222.575262449351</v>
      </c>
      <c r="F83" s="269">
        <f t="shared" si="22"/>
        <v>-935690.08758452383</v>
      </c>
      <c r="G83" s="269">
        <f t="shared" si="22"/>
        <v>-1124520.6528532866</v>
      </c>
      <c r="H83" s="269">
        <f t="shared" si="23"/>
        <v>217664.42816243728</v>
      </c>
      <c r="I83" s="269">
        <f t="shared" si="23"/>
        <v>28833.862893674523</v>
      </c>
      <c r="J83" s="269">
        <f t="shared" si="7"/>
        <v>-188830.56526876276</v>
      </c>
      <c r="K83" s="269">
        <f t="shared" si="18"/>
        <v>39654.418706440178</v>
      </c>
      <c r="L83" s="269">
        <f t="shared" si="8"/>
        <v>-2236.3544060333734</v>
      </c>
      <c r="M83" s="270">
        <f t="shared" si="9"/>
        <v>68488.2816001147</v>
      </c>
      <c r="N83" s="21"/>
      <c r="O83" s="271"/>
      <c r="P83" s="271"/>
      <c r="Q83" s="271"/>
      <c r="R83" s="271"/>
      <c r="S83" s="271"/>
      <c r="T83" s="271"/>
    </row>
    <row r="84" spans="1:20" s="230" customFormat="1" ht="15">
      <c r="A84" s="267">
        <f t="shared" si="10"/>
        <v>47269</v>
      </c>
      <c r="B84" s="269">
        <f t="shared" si="14"/>
        <v>1153354.5157469611</v>
      </c>
      <c r="C84" s="269">
        <f t="shared" si="13"/>
        <v>1153354.5157469611</v>
      </c>
      <c r="D84" s="269">
        <f t="shared" si="24"/>
        <v>8573.2685670524115</v>
      </c>
      <c r="E84" s="269">
        <f t="shared" si="25"/>
        <v>19222.575262449351</v>
      </c>
      <c r="F84" s="269">
        <f t="shared" si="22"/>
        <v>-944263.35615157627</v>
      </c>
      <c r="G84" s="269">
        <f t="shared" si="22"/>
        <v>-1143743.228115736</v>
      </c>
      <c r="H84" s="269">
        <f t="shared" si="23"/>
        <v>209091.15959538484</v>
      </c>
      <c r="I84" s="269">
        <f t="shared" si="23"/>
        <v>9611.2876312250737</v>
      </c>
      <c r="J84" s="269">
        <f t="shared" si="7"/>
        <v>-199479.87196415977</v>
      </c>
      <c r="K84" s="269">
        <f t="shared" ref="K84:K115" si="26">-J84*$K$15</f>
        <v>41890.773112473551</v>
      </c>
      <c r="L84" s="269">
        <f t="shared" si="8"/>
        <v>-2236.3544060333734</v>
      </c>
      <c r="M84" s="270">
        <f t="shared" si="9"/>
        <v>51502.060743698625</v>
      </c>
      <c r="N84" s="21"/>
      <c r="O84" s="271"/>
      <c r="P84" s="271"/>
      <c r="Q84" s="271"/>
      <c r="R84" s="271"/>
      <c r="S84" s="271"/>
      <c r="T84" s="271"/>
    </row>
    <row r="85" spans="1:20" s="230" customFormat="1" ht="15">
      <c r="A85" s="267">
        <f t="shared" si="10"/>
        <v>47299</v>
      </c>
      <c r="B85" s="269">
        <f t="shared" si="14"/>
        <v>1153354.5157469611</v>
      </c>
      <c r="C85" s="269">
        <f t="shared" si="13"/>
        <v>1153354.5157469611</v>
      </c>
      <c r="D85" s="269">
        <f t="shared" si="24"/>
        <v>8573.2685670524115</v>
      </c>
      <c r="E85" s="269">
        <f>C84+G84</f>
        <v>9611.2876312250737</v>
      </c>
      <c r="F85" s="269">
        <f t="shared" ref="F85:G100" si="27">F84-D85</f>
        <v>-952836.62471862871</v>
      </c>
      <c r="G85" s="269">
        <f t="shared" si="27"/>
        <v>-1153354.5157469611</v>
      </c>
      <c r="H85" s="269">
        <f t="shared" si="23"/>
        <v>200517.89102833241</v>
      </c>
      <c r="I85" s="269">
        <f t="shared" si="23"/>
        <v>0</v>
      </c>
      <c r="J85" s="269">
        <f t="shared" ref="J85:J130" si="28">I85-H85</f>
        <v>-200517.89102833241</v>
      </c>
      <c r="K85" s="269">
        <f t="shared" si="26"/>
        <v>42108.757115949804</v>
      </c>
      <c r="L85" s="269">
        <f t="shared" ref="L85:L130" si="29">-K85+K84</f>
        <v>-217.98400347625284</v>
      </c>
      <c r="M85" s="270">
        <f t="shared" ref="M85:M131" si="30">I85+K85</f>
        <v>42108.757115949804</v>
      </c>
      <c r="N85" s="21"/>
      <c r="O85" s="271"/>
      <c r="P85" s="271"/>
      <c r="Q85" s="271"/>
      <c r="R85" s="271"/>
      <c r="S85" s="271"/>
      <c r="T85" s="271"/>
    </row>
    <row r="86" spans="1:20" s="230" customFormat="1" ht="15">
      <c r="A86" s="267">
        <f t="shared" ref="A86:A130" si="31">EOMONTH(A85,1)</f>
        <v>47330</v>
      </c>
      <c r="B86" s="269">
        <f t="shared" si="14"/>
        <v>1153354.5157469611</v>
      </c>
      <c r="C86" s="269">
        <f t="shared" si="13"/>
        <v>1153354.5157469611</v>
      </c>
      <c r="D86" s="269">
        <f t="shared" si="24"/>
        <v>8573.2685670524115</v>
      </c>
      <c r="E86" s="269"/>
      <c r="F86" s="269">
        <f t="shared" si="27"/>
        <v>-961409.89328568114</v>
      </c>
      <c r="G86" s="269">
        <f t="shared" si="27"/>
        <v>-1153354.5157469611</v>
      </c>
      <c r="H86" s="269">
        <f t="shared" si="23"/>
        <v>191944.62246127997</v>
      </c>
      <c r="I86" s="269">
        <f t="shared" si="23"/>
        <v>0</v>
      </c>
      <c r="J86" s="269">
        <f t="shared" si="28"/>
        <v>-191944.62246127997</v>
      </c>
      <c r="K86" s="269">
        <f t="shared" si="26"/>
        <v>40308.370716868791</v>
      </c>
      <c r="L86" s="269">
        <f t="shared" si="29"/>
        <v>1800.3863990810132</v>
      </c>
      <c r="M86" s="270">
        <f t="shared" si="30"/>
        <v>40308.370716868791</v>
      </c>
      <c r="N86" s="21"/>
      <c r="O86" s="271"/>
      <c r="P86" s="271"/>
      <c r="Q86" s="271"/>
      <c r="R86" s="271"/>
      <c r="S86" s="271"/>
      <c r="T86" s="271"/>
    </row>
    <row r="87" spans="1:20" s="230" customFormat="1" ht="15">
      <c r="A87" s="267">
        <f t="shared" si="31"/>
        <v>47361</v>
      </c>
      <c r="B87" s="269">
        <f t="shared" si="14"/>
        <v>1153354.5157469611</v>
      </c>
      <c r="C87" s="269">
        <f t="shared" si="13"/>
        <v>1153354.5157469611</v>
      </c>
      <c r="D87" s="269">
        <f t="shared" si="24"/>
        <v>8573.2685670524115</v>
      </c>
      <c r="E87" s="269"/>
      <c r="F87" s="269">
        <f t="shared" si="27"/>
        <v>-969983.16185273358</v>
      </c>
      <c r="G87" s="269">
        <f t="shared" si="27"/>
        <v>-1153354.5157469611</v>
      </c>
      <c r="H87" s="269">
        <f t="shared" si="23"/>
        <v>183371.35389422753</v>
      </c>
      <c r="I87" s="269">
        <f t="shared" si="23"/>
        <v>0</v>
      </c>
      <c r="J87" s="269">
        <f t="shared" si="28"/>
        <v>-183371.35389422753</v>
      </c>
      <c r="K87" s="269">
        <f t="shared" si="26"/>
        <v>38507.984317787777</v>
      </c>
      <c r="L87" s="269">
        <f t="shared" si="29"/>
        <v>1800.3863990810132</v>
      </c>
      <c r="M87" s="270">
        <f t="shared" si="30"/>
        <v>38507.984317787777</v>
      </c>
      <c r="N87" s="21"/>
      <c r="O87" s="271"/>
      <c r="P87" s="271"/>
      <c r="Q87" s="271"/>
      <c r="R87" s="271"/>
      <c r="S87" s="271"/>
      <c r="T87" s="271"/>
    </row>
    <row r="88" spans="1:20" s="230" customFormat="1" ht="15">
      <c r="A88" s="267">
        <f t="shared" si="31"/>
        <v>47391</v>
      </c>
      <c r="B88" s="269">
        <f t="shared" si="14"/>
        <v>1153354.5157469611</v>
      </c>
      <c r="C88" s="269">
        <f t="shared" si="13"/>
        <v>1153354.5157469611</v>
      </c>
      <c r="D88" s="269">
        <f t="shared" ref="D88:D99" si="32">B88*$H$5/12</f>
        <v>8582.8798546836351</v>
      </c>
      <c r="E88" s="269"/>
      <c r="F88" s="269">
        <f t="shared" si="27"/>
        <v>-978566.04170741723</v>
      </c>
      <c r="G88" s="269">
        <f t="shared" si="27"/>
        <v>-1153354.5157469611</v>
      </c>
      <c r="H88" s="269">
        <f t="shared" si="23"/>
        <v>174788.47403954389</v>
      </c>
      <c r="I88" s="269">
        <f t="shared" si="23"/>
        <v>0</v>
      </c>
      <c r="J88" s="269">
        <f t="shared" si="28"/>
        <v>-174788.47403954389</v>
      </c>
      <c r="K88" s="269">
        <f t="shared" si="26"/>
        <v>36705.579548304217</v>
      </c>
      <c r="L88" s="269">
        <f t="shared" si="29"/>
        <v>1802.4047694835608</v>
      </c>
      <c r="M88" s="270">
        <f t="shared" si="30"/>
        <v>36705.579548304217</v>
      </c>
      <c r="N88" s="21"/>
      <c r="O88" s="271"/>
      <c r="P88" s="271"/>
      <c r="Q88" s="271"/>
      <c r="R88" s="271"/>
      <c r="S88" s="271"/>
      <c r="T88" s="271"/>
    </row>
    <row r="89" spans="1:20" s="230" customFormat="1" ht="15">
      <c r="A89" s="267">
        <f t="shared" si="31"/>
        <v>47422</v>
      </c>
      <c r="B89" s="269">
        <f t="shared" si="14"/>
        <v>1153354.5157469611</v>
      </c>
      <c r="C89" s="269">
        <f t="shared" si="13"/>
        <v>1153354.5157469611</v>
      </c>
      <c r="D89" s="269">
        <f t="shared" si="32"/>
        <v>8582.8798546836351</v>
      </c>
      <c r="E89" s="269"/>
      <c r="F89" s="269">
        <f t="shared" si="27"/>
        <v>-987148.92156210088</v>
      </c>
      <c r="G89" s="269">
        <f t="shared" si="27"/>
        <v>-1153354.5157469611</v>
      </c>
      <c r="H89" s="269">
        <f t="shared" si="23"/>
        <v>166205.59418486024</v>
      </c>
      <c r="I89" s="269">
        <f t="shared" si="23"/>
        <v>0</v>
      </c>
      <c r="J89" s="269">
        <f t="shared" si="28"/>
        <v>-166205.59418486024</v>
      </c>
      <c r="K89" s="269">
        <f t="shared" si="26"/>
        <v>34903.174778820648</v>
      </c>
      <c r="L89" s="269">
        <f t="shared" si="29"/>
        <v>1802.4047694835681</v>
      </c>
      <c r="M89" s="270">
        <f t="shared" si="30"/>
        <v>34903.174778820648</v>
      </c>
      <c r="N89" s="21"/>
      <c r="O89" s="271"/>
      <c r="P89" s="271"/>
      <c r="Q89" s="271"/>
      <c r="R89" s="271"/>
      <c r="S89" s="271"/>
      <c r="T89" s="271"/>
    </row>
    <row r="90" spans="1:20" s="230" customFormat="1" ht="15">
      <c r="A90" s="267">
        <f t="shared" si="31"/>
        <v>47452</v>
      </c>
      <c r="B90" s="269">
        <f t="shared" si="14"/>
        <v>1153354.5157469611</v>
      </c>
      <c r="C90" s="269">
        <f t="shared" si="13"/>
        <v>1153354.5157469611</v>
      </c>
      <c r="D90" s="269">
        <f t="shared" si="32"/>
        <v>8582.8798546836351</v>
      </c>
      <c r="E90" s="269"/>
      <c r="F90" s="269">
        <f t="shared" si="27"/>
        <v>-995731.80141678452</v>
      </c>
      <c r="G90" s="269">
        <f t="shared" si="27"/>
        <v>-1153354.5157469611</v>
      </c>
      <c r="H90" s="269">
        <f t="shared" si="23"/>
        <v>157622.71433017659</v>
      </c>
      <c r="I90" s="269">
        <f t="shared" si="23"/>
        <v>0</v>
      </c>
      <c r="J90" s="269">
        <f t="shared" si="28"/>
        <v>-157622.71433017659</v>
      </c>
      <c r="K90" s="269">
        <f t="shared" si="26"/>
        <v>33100.77000933708</v>
      </c>
      <c r="L90" s="269">
        <f t="shared" si="29"/>
        <v>1802.4047694835681</v>
      </c>
      <c r="M90" s="270">
        <f t="shared" si="30"/>
        <v>33100.77000933708</v>
      </c>
      <c r="N90" s="21"/>
      <c r="O90" s="271"/>
      <c r="P90" s="271"/>
      <c r="Q90" s="271"/>
      <c r="R90" s="271"/>
      <c r="S90" s="271"/>
      <c r="T90" s="271"/>
    </row>
    <row r="91" spans="1:20" s="230" customFormat="1" ht="15">
      <c r="A91" s="267">
        <f t="shared" si="31"/>
        <v>47483</v>
      </c>
      <c r="B91" s="269">
        <f t="shared" si="14"/>
        <v>1153354.5157469611</v>
      </c>
      <c r="C91" s="269">
        <f t="shared" si="13"/>
        <v>1153354.5157469611</v>
      </c>
      <c r="D91" s="269">
        <f t="shared" si="32"/>
        <v>8582.8798546836351</v>
      </c>
      <c r="E91" s="269"/>
      <c r="F91" s="269">
        <f t="shared" si="27"/>
        <v>-1004314.6812714682</v>
      </c>
      <c r="G91" s="269">
        <f t="shared" si="27"/>
        <v>-1153354.5157469611</v>
      </c>
      <c r="H91" s="269">
        <f t="shared" ref="H91:I111" si="33">B91+F91</f>
        <v>149039.83447549294</v>
      </c>
      <c r="I91" s="269">
        <f t="shared" si="33"/>
        <v>0</v>
      </c>
      <c r="J91" s="269">
        <f t="shared" si="28"/>
        <v>-149039.83447549294</v>
      </c>
      <c r="K91" s="269">
        <f t="shared" si="26"/>
        <v>31298.365239853516</v>
      </c>
      <c r="L91" s="269">
        <f t="shared" si="29"/>
        <v>1802.4047694835645</v>
      </c>
      <c r="M91" s="270">
        <f t="shared" si="30"/>
        <v>31298.365239853516</v>
      </c>
      <c r="N91" s="21"/>
      <c r="O91" s="271"/>
      <c r="P91" s="271"/>
      <c r="Q91" s="271"/>
      <c r="R91" s="271"/>
      <c r="S91" s="271"/>
      <c r="T91" s="271"/>
    </row>
    <row r="92" spans="1:20" s="230" customFormat="1" ht="15">
      <c r="A92" s="267">
        <f t="shared" si="31"/>
        <v>47514</v>
      </c>
      <c r="B92" s="269">
        <f t="shared" si="14"/>
        <v>1153354.5157469611</v>
      </c>
      <c r="C92" s="269">
        <f t="shared" si="13"/>
        <v>1153354.5157469611</v>
      </c>
      <c r="D92" s="269">
        <f t="shared" si="32"/>
        <v>8582.8798546836351</v>
      </c>
      <c r="E92" s="269"/>
      <c r="F92" s="269">
        <f t="shared" si="27"/>
        <v>-1012897.5611261518</v>
      </c>
      <c r="G92" s="269">
        <f t="shared" si="27"/>
        <v>-1153354.5157469611</v>
      </c>
      <c r="H92" s="269">
        <f t="shared" si="33"/>
        <v>140456.95462080929</v>
      </c>
      <c r="I92" s="269">
        <f t="shared" si="33"/>
        <v>0</v>
      </c>
      <c r="J92" s="269">
        <f t="shared" si="28"/>
        <v>-140456.95462080929</v>
      </c>
      <c r="K92" s="269">
        <f t="shared" si="26"/>
        <v>29495.960470369952</v>
      </c>
      <c r="L92" s="269">
        <f t="shared" si="29"/>
        <v>1802.4047694835645</v>
      </c>
      <c r="M92" s="270">
        <f t="shared" si="30"/>
        <v>29495.960470369952</v>
      </c>
      <c r="N92" s="21"/>
      <c r="O92" s="271"/>
      <c r="P92" s="271"/>
      <c r="Q92" s="271"/>
      <c r="R92" s="271"/>
      <c r="S92" s="271"/>
      <c r="T92" s="271"/>
    </row>
    <row r="93" spans="1:20" s="230" customFormat="1" ht="15">
      <c r="A93" s="267">
        <f t="shared" si="31"/>
        <v>47542</v>
      </c>
      <c r="B93" s="269">
        <f t="shared" si="14"/>
        <v>1153354.5157469611</v>
      </c>
      <c r="C93" s="269">
        <f t="shared" si="13"/>
        <v>1153354.5157469611</v>
      </c>
      <c r="D93" s="269">
        <f t="shared" si="32"/>
        <v>8582.8798546836351</v>
      </c>
      <c r="E93" s="269"/>
      <c r="F93" s="269">
        <f t="shared" si="27"/>
        <v>-1021480.4409808355</v>
      </c>
      <c r="G93" s="269">
        <f t="shared" si="27"/>
        <v>-1153354.5157469611</v>
      </c>
      <c r="H93" s="269">
        <f t="shared" si="33"/>
        <v>131874.07476612565</v>
      </c>
      <c r="I93" s="269">
        <f t="shared" si="33"/>
        <v>0</v>
      </c>
      <c r="J93" s="269">
        <f t="shared" si="28"/>
        <v>-131874.07476612565</v>
      </c>
      <c r="K93" s="269">
        <f t="shared" si="26"/>
        <v>27693.555700886383</v>
      </c>
      <c r="L93" s="269">
        <f t="shared" si="29"/>
        <v>1802.4047694835681</v>
      </c>
      <c r="M93" s="270">
        <f t="shared" si="30"/>
        <v>27693.555700886383</v>
      </c>
      <c r="N93" s="21"/>
      <c r="O93" s="271"/>
      <c r="P93" s="271"/>
      <c r="Q93" s="271"/>
      <c r="R93" s="271"/>
      <c r="S93" s="271"/>
      <c r="T93" s="271"/>
    </row>
    <row r="94" spans="1:20" s="230" customFormat="1" ht="15">
      <c r="A94" s="267">
        <f t="shared" si="31"/>
        <v>47573</v>
      </c>
      <c r="B94" s="269">
        <f t="shared" si="14"/>
        <v>1153354.5157469611</v>
      </c>
      <c r="C94" s="269">
        <f t="shared" si="13"/>
        <v>1153354.5157469611</v>
      </c>
      <c r="D94" s="269">
        <f t="shared" si="32"/>
        <v>8582.8798546836351</v>
      </c>
      <c r="E94" s="269"/>
      <c r="F94" s="269">
        <f t="shared" si="27"/>
        <v>-1030063.3208355191</v>
      </c>
      <c r="G94" s="269">
        <f t="shared" si="27"/>
        <v>-1153354.5157469611</v>
      </c>
      <c r="H94" s="269">
        <f t="shared" si="33"/>
        <v>123291.194911442</v>
      </c>
      <c r="I94" s="269">
        <f t="shared" si="33"/>
        <v>0</v>
      </c>
      <c r="J94" s="269">
        <f t="shared" si="28"/>
        <v>-123291.194911442</v>
      </c>
      <c r="K94" s="269">
        <f t="shared" si="26"/>
        <v>25891.150931402819</v>
      </c>
      <c r="L94" s="269">
        <f t="shared" si="29"/>
        <v>1802.4047694835645</v>
      </c>
      <c r="M94" s="270">
        <f t="shared" si="30"/>
        <v>25891.150931402819</v>
      </c>
      <c r="N94" s="21"/>
      <c r="O94" s="271"/>
      <c r="P94" s="271"/>
      <c r="Q94" s="271"/>
      <c r="R94" s="271"/>
      <c r="S94" s="271"/>
      <c r="T94" s="271"/>
    </row>
    <row r="95" spans="1:20" s="230" customFormat="1" ht="15">
      <c r="A95" s="267">
        <f t="shared" si="31"/>
        <v>47603</v>
      </c>
      <c r="B95" s="269">
        <f t="shared" si="14"/>
        <v>1153354.5157469611</v>
      </c>
      <c r="C95" s="269">
        <f t="shared" si="13"/>
        <v>1153354.5157469611</v>
      </c>
      <c r="D95" s="269">
        <f t="shared" si="32"/>
        <v>8582.8798546836351</v>
      </c>
      <c r="E95" s="269"/>
      <c r="F95" s="269">
        <f t="shared" si="27"/>
        <v>-1038646.2006902028</v>
      </c>
      <c r="G95" s="269">
        <f t="shared" si="27"/>
        <v>-1153354.5157469611</v>
      </c>
      <c r="H95" s="269">
        <f t="shared" si="33"/>
        <v>114708.31505675835</v>
      </c>
      <c r="I95" s="269">
        <f t="shared" si="33"/>
        <v>0</v>
      </c>
      <c r="J95" s="269">
        <f t="shared" si="28"/>
        <v>-114708.31505675835</v>
      </c>
      <c r="K95" s="269">
        <f t="shared" si="26"/>
        <v>24088.746161919255</v>
      </c>
      <c r="L95" s="269">
        <f t="shared" si="29"/>
        <v>1802.4047694835645</v>
      </c>
      <c r="M95" s="270">
        <f t="shared" si="30"/>
        <v>24088.746161919255</v>
      </c>
      <c r="N95" s="21"/>
      <c r="O95" s="271"/>
      <c r="P95" s="271"/>
      <c r="Q95" s="271"/>
      <c r="R95" s="271"/>
      <c r="S95" s="271"/>
      <c r="T95" s="271"/>
    </row>
    <row r="96" spans="1:20" s="230" customFormat="1" ht="15">
      <c r="A96" s="267">
        <f t="shared" si="31"/>
        <v>47634</v>
      </c>
      <c r="B96" s="269">
        <f t="shared" si="14"/>
        <v>1153354.5157469611</v>
      </c>
      <c r="C96" s="269">
        <f t="shared" si="14"/>
        <v>1153354.5157469611</v>
      </c>
      <c r="D96" s="269">
        <f t="shared" si="32"/>
        <v>8582.8798546836351</v>
      </c>
      <c r="E96" s="269"/>
      <c r="F96" s="269">
        <f t="shared" si="27"/>
        <v>-1047229.0805448864</v>
      </c>
      <c r="G96" s="269">
        <f t="shared" si="27"/>
        <v>-1153354.5157469611</v>
      </c>
      <c r="H96" s="269">
        <f t="shared" si="33"/>
        <v>106125.4352020747</v>
      </c>
      <c r="I96" s="269">
        <f t="shared" si="33"/>
        <v>0</v>
      </c>
      <c r="J96" s="269">
        <f t="shared" si="28"/>
        <v>-106125.4352020747</v>
      </c>
      <c r="K96" s="269">
        <f t="shared" si="26"/>
        <v>22286.341392435686</v>
      </c>
      <c r="L96" s="269">
        <f t="shared" si="29"/>
        <v>1802.4047694835681</v>
      </c>
      <c r="M96" s="270">
        <f t="shared" si="30"/>
        <v>22286.341392435686</v>
      </c>
      <c r="N96" s="21"/>
      <c r="O96" s="271"/>
      <c r="P96" s="271"/>
      <c r="Q96" s="271"/>
      <c r="R96" s="271"/>
      <c r="S96" s="271"/>
      <c r="T96" s="271"/>
    </row>
    <row r="97" spans="1:20" s="230" customFormat="1" ht="15">
      <c r="A97" s="267">
        <f t="shared" si="31"/>
        <v>47664</v>
      </c>
      <c r="B97" s="269">
        <f t="shared" ref="B97:C118" si="34">B96</f>
        <v>1153354.5157469611</v>
      </c>
      <c r="C97" s="269">
        <f t="shared" si="34"/>
        <v>1153354.5157469611</v>
      </c>
      <c r="D97" s="269">
        <f t="shared" si="32"/>
        <v>8582.8798546836351</v>
      </c>
      <c r="E97" s="269"/>
      <c r="F97" s="269">
        <f t="shared" si="27"/>
        <v>-1055811.9603995699</v>
      </c>
      <c r="G97" s="269">
        <f t="shared" si="27"/>
        <v>-1153354.5157469611</v>
      </c>
      <c r="H97" s="269">
        <f t="shared" si="33"/>
        <v>97542.555347391171</v>
      </c>
      <c r="I97" s="269">
        <f t="shared" si="33"/>
        <v>0</v>
      </c>
      <c r="J97" s="269">
        <f t="shared" si="28"/>
        <v>-97542.555347391171</v>
      </c>
      <c r="K97" s="269">
        <f t="shared" si="26"/>
        <v>20483.936622952144</v>
      </c>
      <c r="L97" s="269">
        <f t="shared" si="29"/>
        <v>1802.4047694835426</v>
      </c>
      <c r="M97" s="270">
        <f t="shared" si="30"/>
        <v>20483.936622952144</v>
      </c>
      <c r="N97" s="21"/>
      <c r="O97" s="271"/>
      <c r="P97" s="271"/>
      <c r="Q97" s="271"/>
      <c r="R97" s="271"/>
      <c r="S97" s="271"/>
      <c r="T97" s="271"/>
    </row>
    <row r="98" spans="1:20" s="230" customFormat="1" ht="15">
      <c r="A98" s="267">
        <f t="shared" si="31"/>
        <v>47695</v>
      </c>
      <c r="B98" s="269">
        <f t="shared" si="34"/>
        <v>1153354.5157469611</v>
      </c>
      <c r="C98" s="269">
        <f t="shared" si="34"/>
        <v>1153354.5157469611</v>
      </c>
      <c r="D98" s="269">
        <f t="shared" si="32"/>
        <v>8582.8798546836351</v>
      </c>
      <c r="E98" s="269"/>
      <c r="F98" s="269">
        <f t="shared" si="27"/>
        <v>-1064394.8402542535</v>
      </c>
      <c r="G98" s="269">
        <f t="shared" si="27"/>
        <v>-1153354.5157469611</v>
      </c>
      <c r="H98" s="269">
        <f t="shared" si="33"/>
        <v>88959.67549270764</v>
      </c>
      <c r="I98" s="269">
        <f t="shared" si="33"/>
        <v>0</v>
      </c>
      <c r="J98" s="269">
        <f t="shared" si="28"/>
        <v>-88959.67549270764</v>
      </c>
      <c r="K98" s="269">
        <f t="shared" si="26"/>
        <v>18681.531853468605</v>
      </c>
      <c r="L98" s="269">
        <f t="shared" si="29"/>
        <v>1802.404769483539</v>
      </c>
      <c r="M98" s="270">
        <f t="shared" si="30"/>
        <v>18681.531853468605</v>
      </c>
      <c r="N98" s="21"/>
      <c r="O98" s="271"/>
      <c r="P98" s="271"/>
      <c r="Q98" s="271"/>
      <c r="R98" s="271"/>
      <c r="S98" s="271"/>
      <c r="T98" s="271"/>
    </row>
    <row r="99" spans="1:20" s="230" customFormat="1" ht="15">
      <c r="A99" s="267">
        <f t="shared" si="31"/>
        <v>47726</v>
      </c>
      <c r="B99" s="269">
        <f t="shared" si="34"/>
        <v>1153354.5157469611</v>
      </c>
      <c r="C99" s="269">
        <f t="shared" si="34"/>
        <v>1153354.5157469611</v>
      </c>
      <c r="D99" s="269">
        <f t="shared" si="32"/>
        <v>8582.8798546836351</v>
      </c>
      <c r="E99" s="269"/>
      <c r="F99" s="269">
        <f t="shared" si="27"/>
        <v>-1072977.720108937</v>
      </c>
      <c r="G99" s="269">
        <f t="shared" si="27"/>
        <v>-1153354.5157469611</v>
      </c>
      <c r="H99" s="269">
        <f t="shared" si="33"/>
        <v>80376.795638024108</v>
      </c>
      <c r="I99" s="269">
        <f t="shared" si="33"/>
        <v>0</v>
      </c>
      <c r="J99" s="269">
        <f t="shared" si="28"/>
        <v>-80376.795638024108</v>
      </c>
      <c r="K99" s="269">
        <f t="shared" si="26"/>
        <v>16879.127083985062</v>
      </c>
      <c r="L99" s="269">
        <f t="shared" si="29"/>
        <v>1802.4047694835426</v>
      </c>
      <c r="M99" s="270">
        <f t="shared" si="30"/>
        <v>16879.127083985062</v>
      </c>
      <c r="N99" s="21"/>
      <c r="O99" s="271"/>
      <c r="P99" s="271"/>
      <c r="Q99" s="271"/>
      <c r="R99" s="271"/>
      <c r="S99" s="271"/>
      <c r="T99" s="271"/>
    </row>
    <row r="100" spans="1:20" s="230" customFormat="1" ht="15">
      <c r="A100" s="267">
        <f t="shared" si="31"/>
        <v>47756</v>
      </c>
      <c r="B100" s="269">
        <f t="shared" si="34"/>
        <v>1153354.5157469611</v>
      </c>
      <c r="C100" s="269">
        <f t="shared" si="34"/>
        <v>1153354.5157469611</v>
      </c>
      <c r="D100" s="269">
        <f t="shared" ref="D100:D117" si="35">B100*$I$5/12</f>
        <v>4286.6342835262058</v>
      </c>
      <c r="E100" s="269"/>
      <c r="F100" s="269">
        <f t="shared" si="27"/>
        <v>-1077264.3543924631</v>
      </c>
      <c r="G100" s="269">
        <f t="shared" si="27"/>
        <v>-1153354.5157469611</v>
      </c>
      <c r="H100" s="269">
        <f t="shared" si="33"/>
        <v>76090.161354498006</v>
      </c>
      <c r="I100" s="269">
        <f t="shared" si="33"/>
        <v>0</v>
      </c>
      <c r="J100" s="269">
        <f t="shared" si="28"/>
        <v>-76090.161354498006</v>
      </c>
      <c r="K100" s="269">
        <f t="shared" si="26"/>
        <v>15978.933884444581</v>
      </c>
      <c r="L100" s="269">
        <f t="shared" si="29"/>
        <v>900.19319954048115</v>
      </c>
      <c r="M100" s="270">
        <f t="shared" si="30"/>
        <v>15978.933884444581</v>
      </c>
      <c r="N100" s="21"/>
      <c r="O100" s="271"/>
      <c r="P100" s="271"/>
      <c r="Q100" s="271"/>
      <c r="R100" s="271"/>
      <c r="S100" s="271"/>
      <c r="T100" s="271"/>
    </row>
    <row r="101" spans="1:20" s="230" customFormat="1" ht="15">
      <c r="A101" s="267">
        <f t="shared" si="31"/>
        <v>47787</v>
      </c>
      <c r="B101" s="269">
        <f t="shared" si="34"/>
        <v>1153354.5157469611</v>
      </c>
      <c r="C101" s="269">
        <f t="shared" si="34"/>
        <v>1153354.5157469611</v>
      </c>
      <c r="D101" s="269">
        <f t="shared" si="35"/>
        <v>4286.6342835262058</v>
      </c>
      <c r="E101" s="269"/>
      <c r="F101" s="269">
        <f t="shared" ref="F101:G116" si="36">F100-D101</f>
        <v>-1081550.9886759892</v>
      </c>
      <c r="G101" s="269">
        <f t="shared" si="36"/>
        <v>-1153354.5157469611</v>
      </c>
      <c r="H101" s="269">
        <f t="shared" si="33"/>
        <v>71803.527070971904</v>
      </c>
      <c r="I101" s="269">
        <f t="shared" si="33"/>
        <v>0</v>
      </c>
      <c r="J101" s="269">
        <f t="shared" si="28"/>
        <v>-71803.527070971904</v>
      </c>
      <c r="K101" s="269">
        <f t="shared" si="26"/>
        <v>15078.7406849041</v>
      </c>
      <c r="L101" s="269">
        <f t="shared" si="29"/>
        <v>900.19319954048115</v>
      </c>
      <c r="M101" s="270">
        <f t="shared" si="30"/>
        <v>15078.7406849041</v>
      </c>
      <c r="N101" s="21"/>
      <c r="O101" s="271"/>
      <c r="P101" s="271"/>
      <c r="Q101" s="271"/>
      <c r="R101" s="271"/>
      <c r="S101" s="271"/>
      <c r="T101" s="271"/>
    </row>
    <row r="102" spans="1:20" s="230" customFormat="1" ht="15">
      <c r="A102" s="267">
        <f t="shared" si="31"/>
        <v>47817</v>
      </c>
      <c r="B102" s="269">
        <f t="shared" si="34"/>
        <v>1153354.5157469611</v>
      </c>
      <c r="C102" s="269">
        <f t="shared" si="34"/>
        <v>1153354.5157469611</v>
      </c>
      <c r="D102" s="269">
        <f t="shared" si="35"/>
        <v>4286.6342835262058</v>
      </c>
      <c r="E102" s="269"/>
      <c r="F102" s="269">
        <f t="shared" si="36"/>
        <v>-1085837.6229595153</v>
      </c>
      <c r="G102" s="269">
        <f t="shared" si="36"/>
        <v>-1153354.5157469611</v>
      </c>
      <c r="H102" s="269">
        <f t="shared" si="33"/>
        <v>67516.892787445802</v>
      </c>
      <c r="I102" s="269">
        <f t="shared" si="33"/>
        <v>0</v>
      </c>
      <c r="J102" s="269">
        <f t="shared" si="28"/>
        <v>-67516.892787445802</v>
      </c>
      <c r="K102" s="269">
        <f t="shared" si="26"/>
        <v>14178.547485363619</v>
      </c>
      <c r="L102" s="269">
        <f t="shared" si="29"/>
        <v>900.19319954048115</v>
      </c>
      <c r="M102" s="270">
        <f t="shared" si="30"/>
        <v>14178.547485363619</v>
      </c>
      <c r="N102" s="21"/>
      <c r="O102" s="271"/>
      <c r="P102" s="271"/>
      <c r="Q102" s="271"/>
      <c r="R102" s="271"/>
      <c r="S102" s="271"/>
      <c r="T102" s="271"/>
    </row>
    <row r="103" spans="1:20" s="230" customFormat="1" ht="15">
      <c r="A103" s="267">
        <f t="shared" si="31"/>
        <v>47848</v>
      </c>
      <c r="B103" s="269">
        <f t="shared" si="34"/>
        <v>1153354.5157469611</v>
      </c>
      <c r="C103" s="269">
        <f t="shared" si="34"/>
        <v>1153354.5157469611</v>
      </c>
      <c r="D103" s="269">
        <f t="shared" si="35"/>
        <v>4286.6342835262058</v>
      </c>
      <c r="E103" s="269"/>
      <c r="F103" s="269">
        <f t="shared" si="36"/>
        <v>-1090124.2572430414</v>
      </c>
      <c r="G103" s="269">
        <f t="shared" si="36"/>
        <v>-1153354.5157469611</v>
      </c>
      <c r="H103" s="269">
        <f t="shared" si="33"/>
        <v>63230.2585039197</v>
      </c>
      <c r="I103" s="269">
        <f t="shared" si="33"/>
        <v>0</v>
      </c>
      <c r="J103" s="269">
        <f t="shared" si="28"/>
        <v>-63230.2585039197</v>
      </c>
      <c r="K103" s="269">
        <f t="shared" si="26"/>
        <v>13278.354285823136</v>
      </c>
      <c r="L103" s="269">
        <f t="shared" si="29"/>
        <v>900.19319954048296</v>
      </c>
      <c r="M103" s="270">
        <f t="shared" si="30"/>
        <v>13278.354285823136</v>
      </c>
      <c r="N103" s="21"/>
      <c r="O103" s="271"/>
      <c r="P103" s="271"/>
      <c r="Q103" s="271"/>
      <c r="R103" s="271"/>
      <c r="S103" s="271"/>
      <c r="T103" s="271"/>
    </row>
    <row r="104" spans="1:20" s="230" customFormat="1" ht="15">
      <c r="A104" s="267">
        <f t="shared" si="31"/>
        <v>47879</v>
      </c>
      <c r="B104" s="269">
        <f t="shared" si="34"/>
        <v>1153354.5157469611</v>
      </c>
      <c r="C104" s="269">
        <f t="shared" si="34"/>
        <v>1153354.5157469611</v>
      </c>
      <c r="D104" s="269">
        <f t="shared" si="35"/>
        <v>4286.6342835262058</v>
      </c>
      <c r="E104" s="269"/>
      <c r="F104" s="269">
        <f t="shared" si="36"/>
        <v>-1094410.8915265675</v>
      </c>
      <c r="G104" s="269">
        <f t="shared" si="36"/>
        <v>-1153354.5157469611</v>
      </c>
      <c r="H104" s="269">
        <f t="shared" si="33"/>
        <v>58943.624220393598</v>
      </c>
      <c r="I104" s="269">
        <f t="shared" si="33"/>
        <v>0</v>
      </c>
      <c r="J104" s="269">
        <f t="shared" si="28"/>
        <v>-58943.624220393598</v>
      </c>
      <c r="K104" s="269">
        <f t="shared" si="26"/>
        <v>12378.161086282655</v>
      </c>
      <c r="L104" s="269">
        <f t="shared" si="29"/>
        <v>900.19319954048115</v>
      </c>
      <c r="M104" s="270">
        <f t="shared" si="30"/>
        <v>12378.161086282655</v>
      </c>
      <c r="N104" s="21"/>
      <c r="O104" s="271"/>
      <c r="P104" s="271"/>
      <c r="Q104" s="271"/>
      <c r="R104" s="271"/>
      <c r="S104" s="271"/>
      <c r="T104" s="271"/>
    </row>
    <row r="105" spans="1:20" s="230" customFormat="1" ht="15">
      <c r="A105" s="267">
        <f t="shared" si="31"/>
        <v>47907</v>
      </c>
      <c r="B105" s="269">
        <f t="shared" si="34"/>
        <v>1153354.5157469611</v>
      </c>
      <c r="C105" s="269">
        <f t="shared" si="34"/>
        <v>1153354.5157469611</v>
      </c>
      <c r="D105" s="269">
        <f t="shared" si="35"/>
        <v>4286.6342835262058</v>
      </c>
      <c r="E105" s="269"/>
      <c r="F105" s="269">
        <f t="shared" si="36"/>
        <v>-1098697.5258100936</v>
      </c>
      <c r="G105" s="269">
        <f t="shared" si="36"/>
        <v>-1153354.5157469611</v>
      </c>
      <c r="H105" s="269">
        <f t="shared" si="33"/>
        <v>54656.989936867496</v>
      </c>
      <c r="I105" s="269">
        <f t="shared" si="33"/>
        <v>0</v>
      </c>
      <c r="J105" s="269">
        <f t="shared" si="28"/>
        <v>-54656.989936867496</v>
      </c>
      <c r="K105" s="269">
        <f t="shared" si="26"/>
        <v>11477.967886742174</v>
      </c>
      <c r="L105" s="269">
        <f t="shared" si="29"/>
        <v>900.19319954048115</v>
      </c>
      <c r="M105" s="270">
        <f t="shared" si="30"/>
        <v>11477.967886742174</v>
      </c>
      <c r="N105" s="21"/>
      <c r="O105" s="271"/>
      <c r="P105" s="271"/>
      <c r="Q105" s="271"/>
      <c r="R105" s="271"/>
      <c r="S105" s="271"/>
      <c r="T105" s="271"/>
    </row>
    <row r="106" spans="1:20" s="230" customFormat="1" ht="15">
      <c r="A106" s="267">
        <f t="shared" si="31"/>
        <v>47938</v>
      </c>
      <c r="B106" s="269">
        <f t="shared" si="34"/>
        <v>1153354.5157469611</v>
      </c>
      <c r="C106" s="269">
        <f t="shared" si="34"/>
        <v>1153354.5157469611</v>
      </c>
      <c r="D106" s="269">
        <f t="shared" si="35"/>
        <v>4286.6342835262058</v>
      </c>
      <c r="E106" s="269"/>
      <c r="F106" s="269">
        <f t="shared" si="36"/>
        <v>-1102984.1600936197</v>
      </c>
      <c r="G106" s="269">
        <f t="shared" si="36"/>
        <v>-1153354.5157469611</v>
      </c>
      <c r="H106" s="269">
        <f t="shared" si="33"/>
        <v>50370.355653341394</v>
      </c>
      <c r="I106" s="269">
        <f t="shared" si="33"/>
        <v>0</v>
      </c>
      <c r="J106" s="269">
        <f t="shared" si="28"/>
        <v>-50370.355653341394</v>
      </c>
      <c r="K106" s="269">
        <f t="shared" si="26"/>
        <v>10577.774687201692</v>
      </c>
      <c r="L106" s="269">
        <f t="shared" si="29"/>
        <v>900.19319954048115</v>
      </c>
      <c r="M106" s="270">
        <f t="shared" si="30"/>
        <v>10577.774687201692</v>
      </c>
      <c r="N106" s="21"/>
      <c r="O106" s="271"/>
      <c r="P106" s="271"/>
      <c r="Q106" s="271"/>
      <c r="R106" s="271"/>
      <c r="S106" s="271"/>
      <c r="T106" s="271"/>
    </row>
    <row r="107" spans="1:20" s="230" customFormat="1" ht="15">
      <c r="A107" s="267">
        <f t="shared" si="31"/>
        <v>47968</v>
      </c>
      <c r="B107" s="269">
        <f t="shared" si="34"/>
        <v>1153354.5157469611</v>
      </c>
      <c r="C107" s="269">
        <f t="shared" si="34"/>
        <v>1153354.5157469611</v>
      </c>
      <c r="D107" s="269">
        <f t="shared" si="35"/>
        <v>4286.6342835262058</v>
      </c>
      <c r="E107" s="269"/>
      <c r="F107" s="269">
        <f t="shared" si="36"/>
        <v>-1107270.7943771458</v>
      </c>
      <c r="G107" s="269">
        <f t="shared" si="36"/>
        <v>-1153354.5157469611</v>
      </c>
      <c r="H107" s="269">
        <f t="shared" si="33"/>
        <v>46083.721369815292</v>
      </c>
      <c r="I107" s="269">
        <f t="shared" si="33"/>
        <v>0</v>
      </c>
      <c r="J107" s="269">
        <f t="shared" si="28"/>
        <v>-46083.721369815292</v>
      </c>
      <c r="K107" s="269">
        <f t="shared" si="26"/>
        <v>9677.5814876612112</v>
      </c>
      <c r="L107" s="269">
        <f t="shared" si="29"/>
        <v>900.19319954048115</v>
      </c>
      <c r="M107" s="270">
        <f t="shared" si="30"/>
        <v>9677.5814876612112</v>
      </c>
      <c r="N107" s="21"/>
      <c r="O107" s="271"/>
      <c r="P107" s="271"/>
      <c r="Q107" s="271"/>
      <c r="R107" s="271"/>
      <c r="S107" s="271"/>
      <c r="T107" s="271"/>
    </row>
    <row r="108" spans="1:20" s="230" customFormat="1" ht="15">
      <c r="A108" s="267">
        <f t="shared" si="31"/>
        <v>47999</v>
      </c>
      <c r="B108" s="269">
        <f t="shared" si="34"/>
        <v>1153354.5157469611</v>
      </c>
      <c r="C108" s="269">
        <f t="shared" si="34"/>
        <v>1153354.5157469611</v>
      </c>
      <c r="D108" s="269">
        <f t="shared" si="35"/>
        <v>4286.6342835262058</v>
      </c>
      <c r="E108" s="269"/>
      <c r="F108" s="269">
        <f t="shared" si="36"/>
        <v>-1111557.4286606719</v>
      </c>
      <c r="G108" s="269">
        <f t="shared" si="36"/>
        <v>-1153354.5157469611</v>
      </c>
      <c r="H108" s="269">
        <f t="shared" si="33"/>
        <v>41797.08708628919</v>
      </c>
      <c r="I108" s="269">
        <f t="shared" si="33"/>
        <v>0</v>
      </c>
      <c r="J108" s="269">
        <f t="shared" si="28"/>
        <v>-41797.08708628919</v>
      </c>
      <c r="K108" s="269">
        <f t="shared" si="26"/>
        <v>8777.3882881207301</v>
      </c>
      <c r="L108" s="269">
        <f t="shared" si="29"/>
        <v>900.19319954048115</v>
      </c>
      <c r="M108" s="270">
        <f t="shared" si="30"/>
        <v>8777.3882881207301</v>
      </c>
      <c r="N108" s="21"/>
      <c r="O108" s="271"/>
      <c r="P108" s="271"/>
      <c r="Q108" s="271"/>
      <c r="R108" s="271"/>
      <c r="S108" s="271"/>
      <c r="T108" s="271"/>
    </row>
    <row r="109" spans="1:20" s="230" customFormat="1" ht="15">
      <c r="A109" s="267">
        <f t="shared" si="31"/>
        <v>48029</v>
      </c>
      <c r="B109" s="269">
        <f t="shared" si="34"/>
        <v>1153354.5157469611</v>
      </c>
      <c r="C109" s="269">
        <f t="shared" si="34"/>
        <v>1153354.5157469611</v>
      </c>
      <c r="D109" s="269">
        <f t="shared" si="35"/>
        <v>4286.6342835262058</v>
      </c>
      <c r="E109" s="269"/>
      <c r="F109" s="269">
        <f t="shared" si="36"/>
        <v>-1115844.062944198</v>
      </c>
      <c r="G109" s="269">
        <f t="shared" si="36"/>
        <v>-1153354.5157469611</v>
      </c>
      <c r="H109" s="269">
        <f t="shared" si="33"/>
        <v>37510.452802763088</v>
      </c>
      <c r="I109" s="269">
        <f t="shared" si="33"/>
        <v>0</v>
      </c>
      <c r="J109" s="269">
        <f t="shared" si="28"/>
        <v>-37510.452802763088</v>
      </c>
      <c r="K109" s="269">
        <f t="shared" si="26"/>
        <v>7877.195088580248</v>
      </c>
      <c r="L109" s="269">
        <f t="shared" si="29"/>
        <v>900.19319954048206</v>
      </c>
      <c r="M109" s="270">
        <f t="shared" si="30"/>
        <v>7877.195088580248</v>
      </c>
      <c r="N109" s="97"/>
      <c r="O109" s="271"/>
      <c r="P109" s="271"/>
      <c r="Q109" s="271"/>
      <c r="R109" s="271"/>
      <c r="S109" s="271"/>
      <c r="T109" s="271"/>
    </row>
    <row r="110" spans="1:20" s="230" customFormat="1" ht="15">
      <c r="A110" s="267">
        <f t="shared" si="31"/>
        <v>48060</v>
      </c>
      <c r="B110" s="269">
        <f t="shared" si="34"/>
        <v>1153354.5157469611</v>
      </c>
      <c r="C110" s="269">
        <f t="shared" si="34"/>
        <v>1153354.5157469611</v>
      </c>
      <c r="D110" s="269">
        <f t="shared" si="35"/>
        <v>4286.6342835262058</v>
      </c>
      <c r="E110" s="269"/>
      <c r="F110" s="269">
        <f t="shared" si="36"/>
        <v>-1120130.6972277241</v>
      </c>
      <c r="G110" s="269">
        <f t="shared" si="36"/>
        <v>-1153354.5157469611</v>
      </c>
      <c r="H110" s="269">
        <f t="shared" si="33"/>
        <v>33223.818519236986</v>
      </c>
      <c r="I110" s="269">
        <f t="shared" si="33"/>
        <v>0</v>
      </c>
      <c r="J110" s="269">
        <f t="shared" si="28"/>
        <v>-33223.818519236986</v>
      </c>
      <c r="K110" s="269">
        <f t="shared" si="26"/>
        <v>6977.0018890397669</v>
      </c>
      <c r="L110" s="269">
        <f t="shared" si="29"/>
        <v>900.19319954048115</v>
      </c>
      <c r="M110" s="270">
        <f t="shared" si="30"/>
        <v>6977.0018890397669</v>
      </c>
      <c r="N110" s="97"/>
      <c r="O110" s="271"/>
      <c r="P110" s="271"/>
      <c r="Q110" s="271"/>
      <c r="R110" s="271"/>
      <c r="S110" s="271"/>
      <c r="T110" s="271"/>
    </row>
    <row r="111" spans="1:20" s="230" customFormat="1" ht="15">
      <c r="A111" s="267">
        <f t="shared" si="31"/>
        <v>48091</v>
      </c>
      <c r="B111" s="269">
        <f t="shared" si="34"/>
        <v>1153354.5157469611</v>
      </c>
      <c r="C111" s="269">
        <f t="shared" si="34"/>
        <v>1153354.5157469611</v>
      </c>
      <c r="D111" s="269">
        <f t="shared" si="35"/>
        <v>4286.6342835262058</v>
      </c>
      <c r="E111" s="269"/>
      <c r="F111" s="269">
        <f t="shared" si="36"/>
        <v>-1124417.3315112502</v>
      </c>
      <c r="G111" s="269">
        <f t="shared" si="36"/>
        <v>-1153354.5157469611</v>
      </c>
      <c r="H111" s="269">
        <f t="shared" si="33"/>
        <v>28937.184235710884</v>
      </c>
      <c r="I111" s="269">
        <f t="shared" si="33"/>
        <v>0</v>
      </c>
      <c r="J111" s="269">
        <f t="shared" si="28"/>
        <v>-28937.184235710884</v>
      </c>
      <c r="K111" s="269">
        <f t="shared" si="26"/>
        <v>6076.8086894992857</v>
      </c>
      <c r="L111" s="269">
        <f t="shared" si="29"/>
        <v>900.19319954048115</v>
      </c>
      <c r="M111" s="270">
        <f t="shared" si="30"/>
        <v>6076.8086894992857</v>
      </c>
      <c r="N111" s="97"/>
      <c r="O111" s="271"/>
      <c r="P111" s="271"/>
      <c r="Q111" s="271"/>
      <c r="R111" s="271"/>
      <c r="S111" s="271"/>
      <c r="T111" s="271"/>
    </row>
    <row r="112" spans="1:20" s="230" customFormat="1" ht="15">
      <c r="A112" s="267">
        <f t="shared" si="31"/>
        <v>48121</v>
      </c>
      <c r="B112" s="269">
        <f t="shared" si="34"/>
        <v>1153354.5157469611</v>
      </c>
      <c r="C112" s="269">
        <f t="shared" si="34"/>
        <v>1153354.5157469611</v>
      </c>
      <c r="D112" s="269">
        <f t="shared" si="35"/>
        <v>4286.6342835262058</v>
      </c>
      <c r="E112" s="269"/>
      <c r="F112" s="269">
        <f t="shared" si="36"/>
        <v>-1128703.9657947763</v>
      </c>
      <c r="G112" s="269">
        <f t="shared" si="36"/>
        <v>-1153354.5157469611</v>
      </c>
      <c r="H112" s="269">
        <f t="shared" ref="H112:I127" si="37">B112+F112</f>
        <v>24650.549952184781</v>
      </c>
      <c r="I112" s="269">
        <f t="shared" si="37"/>
        <v>0</v>
      </c>
      <c r="J112" s="269">
        <f t="shared" si="28"/>
        <v>-24650.549952184781</v>
      </c>
      <c r="K112" s="269">
        <f t="shared" si="26"/>
        <v>5176.6154899588037</v>
      </c>
      <c r="L112" s="269">
        <f t="shared" si="29"/>
        <v>900.19319954048206</v>
      </c>
      <c r="M112" s="270">
        <f t="shared" si="30"/>
        <v>5176.6154899588037</v>
      </c>
      <c r="N112" s="97"/>
      <c r="O112" s="271"/>
      <c r="P112" s="271"/>
      <c r="Q112" s="271"/>
      <c r="R112" s="271"/>
      <c r="S112" s="271"/>
      <c r="T112" s="271"/>
    </row>
    <row r="113" spans="1:20" s="230" customFormat="1" ht="15">
      <c r="A113" s="267">
        <f t="shared" si="31"/>
        <v>48152</v>
      </c>
      <c r="B113" s="269">
        <f t="shared" si="34"/>
        <v>1153354.5157469611</v>
      </c>
      <c r="C113" s="269">
        <f t="shared" si="34"/>
        <v>1153354.5157469611</v>
      </c>
      <c r="D113" s="269">
        <f t="shared" si="35"/>
        <v>4286.6342835262058</v>
      </c>
      <c r="E113" s="269"/>
      <c r="F113" s="269">
        <f t="shared" si="36"/>
        <v>-1132990.6000783024</v>
      </c>
      <c r="G113" s="269">
        <f t="shared" si="36"/>
        <v>-1153354.5157469611</v>
      </c>
      <c r="H113" s="269">
        <f t="shared" si="37"/>
        <v>20363.915668658679</v>
      </c>
      <c r="I113" s="269">
        <f t="shared" si="37"/>
        <v>0</v>
      </c>
      <c r="J113" s="269">
        <f t="shared" si="28"/>
        <v>-20363.915668658679</v>
      </c>
      <c r="K113" s="269">
        <f t="shared" si="26"/>
        <v>4276.4222904183225</v>
      </c>
      <c r="L113" s="269">
        <f t="shared" si="29"/>
        <v>900.19319954048115</v>
      </c>
      <c r="M113" s="270">
        <f t="shared" si="30"/>
        <v>4276.4222904183225</v>
      </c>
      <c r="N113" s="97"/>
      <c r="O113" s="271"/>
      <c r="P113" s="271"/>
      <c r="Q113" s="271"/>
      <c r="R113" s="271"/>
      <c r="S113" s="271"/>
      <c r="T113" s="271"/>
    </row>
    <row r="114" spans="1:20" s="230" customFormat="1" ht="15">
      <c r="A114" s="267">
        <f t="shared" si="31"/>
        <v>48182</v>
      </c>
      <c r="B114" s="269">
        <f t="shared" si="34"/>
        <v>1153354.5157469611</v>
      </c>
      <c r="C114" s="269">
        <f t="shared" si="34"/>
        <v>1153354.5157469611</v>
      </c>
      <c r="D114" s="269">
        <f t="shared" si="35"/>
        <v>4286.6342835262058</v>
      </c>
      <c r="E114" s="269"/>
      <c r="F114" s="269">
        <f t="shared" si="36"/>
        <v>-1137277.2343618285</v>
      </c>
      <c r="G114" s="269">
        <f t="shared" si="36"/>
        <v>-1153354.5157469611</v>
      </c>
      <c r="H114" s="269">
        <f t="shared" si="37"/>
        <v>16077.281385132577</v>
      </c>
      <c r="I114" s="269">
        <f t="shared" si="37"/>
        <v>0</v>
      </c>
      <c r="J114" s="269">
        <f t="shared" si="28"/>
        <v>-16077.281385132577</v>
      </c>
      <c r="K114" s="269">
        <f t="shared" si="26"/>
        <v>3376.2290908778409</v>
      </c>
      <c r="L114" s="269">
        <f t="shared" si="29"/>
        <v>900.1931995404816</v>
      </c>
      <c r="M114" s="270">
        <f t="shared" si="30"/>
        <v>3376.2290908778409</v>
      </c>
      <c r="N114" s="97"/>
      <c r="O114" s="271"/>
      <c r="P114" s="271"/>
      <c r="Q114" s="271"/>
      <c r="R114" s="271"/>
      <c r="S114" s="271"/>
      <c r="T114" s="271"/>
    </row>
    <row r="115" spans="1:20" s="230" customFormat="1" ht="15">
      <c r="A115" s="267">
        <f t="shared" si="31"/>
        <v>48213</v>
      </c>
      <c r="B115" s="269">
        <f t="shared" si="34"/>
        <v>1153354.5157469611</v>
      </c>
      <c r="C115" s="269">
        <f t="shared" si="34"/>
        <v>1153354.5157469611</v>
      </c>
      <c r="D115" s="269">
        <f t="shared" si="35"/>
        <v>4286.6342835262058</v>
      </c>
      <c r="E115" s="269"/>
      <c r="F115" s="269">
        <f t="shared" si="36"/>
        <v>-1141563.8686453546</v>
      </c>
      <c r="G115" s="269">
        <f t="shared" si="36"/>
        <v>-1153354.5157469611</v>
      </c>
      <c r="H115" s="269">
        <f t="shared" si="37"/>
        <v>11790.647101606475</v>
      </c>
      <c r="I115" s="269">
        <f t="shared" si="37"/>
        <v>0</v>
      </c>
      <c r="J115" s="269">
        <f t="shared" si="28"/>
        <v>-11790.647101606475</v>
      </c>
      <c r="K115" s="269">
        <f t="shared" si="26"/>
        <v>2476.0358913373598</v>
      </c>
      <c r="L115" s="269">
        <f t="shared" si="29"/>
        <v>900.19319954048115</v>
      </c>
      <c r="M115" s="270">
        <f t="shared" si="30"/>
        <v>2476.0358913373598</v>
      </c>
      <c r="N115" s="97"/>
      <c r="O115" s="271"/>
      <c r="P115" s="271"/>
      <c r="Q115" s="271"/>
      <c r="R115" s="271"/>
      <c r="S115" s="271"/>
      <c r="T115" s="271"/>
    </row>
    <row r="116" spans="1:20" s="230" customFormat="1" ht="15">
      <c r="A116" s="267">
        <f t="shared" si="31"/>
        <v>48244</v>
      </c>
      <c r="B116" s="269">
        <f t="shared" si="34"/>
        <v>1153354.5157469611</v>
      </c>
      <c r="C116" s="269">
        <f t="shared" si="34"/>
        <v>1153354.5157469611</v>
      </c>
      <c r="D116" s="269">
        <f t="shared" si="35"/>
        <v>4286.6342835262058</v>
      </c>
      <c r="E116" s="269"/>
      <c r="F116" s="269">
        <f t="shared" si="36"/>
        <v>-1145850.5029288807</v>
      </c>
      <c r="G116" s="269">
        <f t="shared" si="36"/>
        <v>-1153354.5157469611</v>
      </c>
      <c r="H116" s="269">
        <f t="shared" si="37"/>
        <v>7504.0128180803731</v>
      </c>
      <c r="I116" s="269">
        <f t="shared" si="37"/>
        <v>0</v>
      </c>
      <c r="J116" s="269">
        <f t="shared" si="28"/>
        <v>-7504.0128180803731</v>
      </c>
      <c r="K116" s="269">
        <f t="shared" ref="K116:K130" si="38">-J116*$K$15</f>
        <v>1575.8426917968784</v>
      </c>
      <c r="L116" s="269">
        <f t="shared" si="29"/>
        <v>900.19319954048137</v>
      </c>
      <c r="M116" s="270">
        <f t="shared" si="30"/>
        <v>1575.8426917968784</v>
      </c>
      <c r="N116" s="97"/>
      <c r="O116" s="271"/>
      <c r="P116" s="271"/>
      <c r="Q116" s="271"/>
      <c r="R116" s="271"/>
      <c r="S116" s="271"/>
      <c r="T116" s="271"/>
    </row>
    <row r="117" spans="1:20" s="230" customFormat="1" ht="15">
      <c r="A117" s="267">
        <f t="shared" si="31"/>
        <v>48273</v>
      </c>
      <c r="B117" s="269">
        <f t="shared" si="34"/>
        <v>1153354.5157469611</v>
      </c>
      <c r="C117" s="269">
        <f t="shared" si="34"/>
        <v>1153354.5157469611</v>
      </c>
      <c r="D117" s="269">
        <f t="shared" si="35"/>
        <v>4286.6342835262058</v>
      </c>
      <c r="E117" s="269"/>
      <c r="F117" s="269">
        <f t="shared" ref="F117:G130" si="39">F116-D117</f>
        <v>-1150137.1372124068</v>
      </c>
      <c r="G117" s="269">
        <f t="shared" si="39"/>
        <v>-1153354.5157469611</v>
      </c>
      <c r="H117" s="269">
        <f t="shared" si="37"/>
        <v>3217.378534554271</v>
      </c>
      <c r="I117" s="269">
        <f t="shared" si="37"/>
        <v>0</v>
      </c>
      <c r="J117" s="269">
        <f t="shared" si="28"/>
        <v>-3217.378534554271</v>
      </c>
      <c r="K117" s="269">
        <f t="shared" si="38"/>
        <v>675.64949225639691</v>
      </c>
      <c r="L117" s="269">
        <f t="shared" si="29"/>
        <v>900.19319954048149</v>
      </c>
      <c r="M117" s="270">
        <f t="shared" si="30"/>
        <v>675.64949225639691</v>
      </c>
      <c r="N117" s="97"/>
      <c r="O117" s="271"/>
      <c r="P117" s="271"/>
      <c r="Q117" s="271"/>
      <c r="R117" s="271"/>
      <c r="S117" s="271"/>
      <c r="T117" s="271"/>
    </row>
    <row r="118" spans="1:20" s="230" customFormat="1" ht="15">
      <c r="A118" s="267">
        <f t="shared" si="31"/>
        <v>48304</v>
      </c>
      <c r="B118" s="269">
        <f t="shared" si="34"/>
        <v>1153354.5157469611</v>
      </c>
      <c r="C118" s="269">
        <f t="shared" si="34"/>
        <v>1153354.5157469611</v>
      </c>
      <c r="D118" s="269">
        <f>B117+F117</f>
        <v>3217.378534554271</v>
      </c>
      <c r="E118" s="269"/>
      <c r="F118" s="269">
        <f t="shared" si="39"/>
        <v>-1153354.5157469611</v>
      </c>
      <c r="G118" s="269">
        <f t="shared" si="39"/>
        <v>-1153354.5157469611</v>
      </c>
      <c r="H118" s="269">
        <f t="shared" si="37"/>
        <v>0</v>
      </c>
      <c r="I118" s="269">
        <f t="shared" si="37"/>
        <v>0</v>
      </c>
      <c r="J118" s="269">
        <f t="shared" si="28"/>
        <v>0</v>
      </c>
      <c r="K118" s="269">
        <f t="shared" si="38"/>
        <v>0</v>
      </c>
      <c r="L118" s="269">
        <f t="shared" si="29"/>
        <v>675.64949225639691</v>
      </c>
      <c r="M118" s="270">
        <f t="shared" si="30"/>
        <v>0</v>
      </c>
      <c r="N118" s="97"/>
      <c r="O118" s="271"/>
      <c r="P118" s="271"/>
      <c r="Q118" s="271"/>
      <c r="R118" s="271"/>
      <c r="S118" s="271"/>
      <c r="T118" s="271"/>
    </row>
    <row r="119" spans="1:20" s="230" customFormat="1" ht="15">
      <c r="A119" s="267">
        <f t="shared" si="31"/>
        <v>48334</v>
      </c>
      <c r="B119" s="269">
        <f t="shared" ref="B119:C130" si="40">B118</f>
        <v>1153354.5157469611</v>
      </c>
      <c r="C119" s="269">
        <f t="shared" si="40"/>
        <v>1153354.5157469611</v>
      </c>
      <c r="D119" s="269"/>
      <c r="E119" s="269"/>
      <c r="F119" s="269">
        <f t="shared" si="39"/>
        <v>-1153354.5157469611</v>
      </c>
      <c r="G119" s="269">
        <f t="shared" si="39"/>
        <v>-1153354.5157469611</v>
      </c>
      <c r="H119" s="269">
        <f t="shared" si="37"/>
        <v>0</v>
      </c>
      <c r="I119" s="269">
        <f t="shared" si="37"/>
        <v>0</v>
      </c>
      <c r="J119" s="269">
        <f t="shared" si="28"/>
        <v>0</v>
      </c>
      <c r="K119" s="269">
        <f t="shared" si="38"/>
        <v>0</v>
      </c>
      <c r="L119" s="269">
        <f t="shared" si="29"/>
        <v>0</v>
      </c>
      <c r="M119" s="270">
        <f t="shared" si="30"/>
        <v>0</v>
      </c>
      <c r="N119" s="97"/>
      <c r="O119" s="271"/>
      <c r="P119" s="271"/>
      <c r="Q119" s="271"/>
      <c r="R119" s="271"/>
      <c r="S119" s="271"/>
      <c r="T119" s="271"/>
    </row>
    <row r="120" spans="1:20" s="230" customFormat="1" ht="15">
      <c r="A120" s="267">
        <f t="shared" si="31"/>
        <v>48365</v>
      </c>
      <c r="B120" s="269">
        <f t="shared" si="40"/>
        <v>1153354.5157469611</v>
      </c>
      <c r="C120" s="269">
        <f t="shared" si="40"/>
        <v>1153354.5157469611</v>
      </c>
      <c r="D120" s="269"/>
      <c r="E120" s="269"/>
      <c r="F120" s="269">
        <f t="shared" si="39"/>
        <v>-1153354.5157469611</v>
      </c>
      <c r="G120" s="269">
        <f t="shared" si="39"/>
        <v>-1153354.5157469611</v>
      </c>
      <c r="H120" s="269">
        <f t="shared" si="37"/>
        <v>0</v>
      </c>
      <c r="I120" s="269">
        <f t="shared" si="37"/>
        <v>0</v>
      </c>
      <c r="J120" s="269">
        <f t="shared" si="28"/>
        <v>0</v>
      </c>
      <c r="K120" s="269">
        <f t="shared" si="38"/>
        <v>0</v>
      </c>
      <c r="L120" s="269">
        <f t="shared" si="29"/>
        <v>0</v>
      </c>
      <c r="M120" s="270">
        <f t="shared" si="30"/>
        <v>0</v>
      </c>
      <c r="N120" s="97"/>
      <c r="O120" s="271"/>
      <c r="P120" s="271"/>
      <c r="Q120" s="271"/>
      <c r="R120" s="271"/>
      <c r="S120" s="271"/>
      <c r="T120" s="271"/>
    </row>
    <row r="121" spans="1:20" s="230" customFormat="1" ht="15">
      <c r="A121" s="267">
        <f t="shared" si="31"/>
        <v>48395</v>
      </c>
      <c r="B121" s="269">
        <f t="shared" si="40"/>
        <v>1153354.5157469611</v>
      </c>
      <c r="C121" s="269">
        <f t="shared" si="40"/>
        <v>1153354.5157469611</v>
      </c>
      <c r="D121" s="269"/>
      <c r="E121" s="269"/>
      <c r="F121" s="269">
        <f t="shared" si="39"/>
        <v>-1153354.5157469611</v>
      </c>
      <c r="G121" s="269">
        <f t="shared" si="39"/>
        <v>-1153354.5157469611</v>
      </c>
      <c r="H121" s="269">
        <f t="shared" si="37"/>
        <v>0</v>
      </c>
      <c r="I121" s="269">
        <f t="shared" si="37"/>
        <v>0</v>
      </c>
      <c r="J121" s="269">
        <f t="shared" si="28"/>
        <v>0</v>
      </c>
      <c r="K121" s="269">
        <f t="shared" si="38"/>
        <v>0</v>
      </c>
      <c r="L121" s="269">
        <f t="shared" si="29"/>
        <v>0</v>
      </c>
      <c r="M121" s="270">
        <f t="shared" si="30"/>
        <v>0</v>
      </c>
      <c r="N121" s="97"/>
      <c r="O121" s="271"/>
      <c r="P121" s="271"/>
      <c r="Q121" s="271"/>
      <c r="R121" s="271"/>
      <c r="S121" s="271"/>
      <c r="T121" s="271"/>
    </row>
    <row r="122" spans="1:20" s="230" customFormat="1" ht="15">
      <c r="A122" s="267">
        <f t="shared" si="31"/>
        <v>48426</v>
      </c>
      <c r="B122" s="269">
        <f t="shared" si="40"/>
        <v>1153354.5157469611</v>
      </c>
      <c r="C122" s="269">
        <f t="shared" si="40"/>
        <v>1153354.5157469611</v>
      </c>
      <c r="D122" s="269"/>
      <c r="E122" s="269"/>
      <c r="F122" s="269">
        <f t="shared" si="39"/>
        <v>-1153354.5157469611</v>
      </c>
      <c r="G122" s="269">
        <f t="shared" si="39"/>
        <v>-1153354.5157469611</v>
      </c>
      <c r="H122" s="269">
        <f t="shared" si="37"/>
        <v>0</v>
      </c>
      <c r="I122" s="269">
        <f t="shared" si="37"/>
        <v>0</v>
      </c>
      <c r="J122" s="269">
        <f t="shared" si="28"/>
        <v>0</v>
      </c>
      <c r="K122" s="269">
        <f t="shared" si="38"/>
        <v>0</v>
      </c>
      <c r="L122" s="269">
        <f t="shared" si="29"/>
        <v>0</v>
      </c>
      <c r="M122" s="270">
        <f t="shared" si="30"/>
        <v>0</v>
      </c>
      <c r="N122" s="97"/>
      <c r="O122" s="271"/>
      <c r="P122" s="271"/>
      <c r="Q122" s="271"/>
      <c r="R122" s="271"/>
      <c r="S122" s="271"/>
      <c r="T122" s="271"/>
    </row>
    <row r="123" spans="1:20" s="230" customFormat="1" ht="15">
      <c r="A123" s="267">
        <f t="shared" si="31"/>
        <v>48457</v>
      </c>
      <c r="B123" s="269">
        <f t="shared" si="40"/>
        <v>1153354.5157469611</v>
      </c>
      <c r="C123" s="269">
        <f t="shared" si="40"/>
        <v>1153354.5157469611</v>
      </c>
      <c r="D123" s="269"/>
      <c r="E123" s="269"/>
      <c r="F123" s="269">
        <f t="shared" si="39"/>
        <v>-1153354.5157469611</v>
      </c>
      <c r="G123" s="269">
        <f t="shared" si="39"/>
        <v>-1153354.5157469611</v>
      </c>
      <c r="H123" s="269">
        <f t="shared" si="37"/>
        <v>0</v>
      </c>
      <c r="I123" s="269">
        <f t="shared" si="37"/>
        <v>0</v>
      </c>
      <c r="J123" s="269">
        <f t="shared" si="28"/>
        <v>0</v>
      </c>
      <c r="K123" s="269">
        <f t="shared" si="38"/>
        <v>0</v>
      </c>
      <c r="L123" s="269">
        <f t="shared" si="29"/>
        <v>0</v>
      </c>
      <c r="M123" s="270">
        <f t="shared" si="30"/>
        <v>0</v>
      </c>
      <c r="N123" s="97"/>
      <c r="O123" s="271"/>
      <c r="P123" s="271"/>
      <c r="Q123" s="271"/>
      <c r="R123" s="271"/>
      <c r="S123" s="271"/>
      <c r="T123" s="271"/>
    </row>
    <row r="124" spans="1:20" s="230" customFormat="1" ht="15">
      <c r="A124" s="267">
        <f t="shared" si="31"/>
        <v>48487</v>
      </c>
      <c r="B124" s="269">
        <f t="shared" si="40"/>
        <v>1153354.5157469611</v>
      </c>
      <c r="C124" s="269">
        <f t="shared" si="40"/>
        <v>1153354.5157469611</v>
      </c>
      <c r="D124" s="269"/>
      <c r="E124" s="269"/>
      <c r="F124" s="269">
        <f t="shared" si="39"/>
        <v>-1153354.5157469611</v>
      </c>
      <c r="G124" s="269">
        <f t="shared" si="39"/>
        <v>-1153354.5157469611</v>
      </c>
      <c r="H124" s="269">
        <f t="shared" si="37"/>
        <v>0</v>
      </c>
      <c r="I124" s="269">
        <f t="shared" si="37"/>
        <v>0</v>
      </c>
      <c r="J124" s="269">
        <f t="shared" si="28"/>
        <v>0</v>
      </c>
      <c r="K124" s="269">
        <f t="shared" si="38"/>
        <v>0</v>
      </c>
      <c r="L124" s="269">
        <f t="shared" si="29"/>
        <v>0</v>
      </c>
      <c r="M124" s="270">
        <f t="shared" si="30"/>
        <v>0</v>
      </c>
      <c r="N124" s="97"/>
      <c r="O124" s="271"/>
      <c r="P124" s="271"/>
      <c r="Q124" s="271"/>
      <c r="R124" s="271"/>
      <c r="S124" s="271"/>
      <c r="T124" s="271"/>
    </row>
    <row r="125" spans="1:20" s="230" customFormat="1" ht="15">
      <c r="A125" s="267">
        <f t="shared" si="31"/>
        <v>48518</v>
      </c>
      <c r="B125" s="269">
        <f t="shared" si="40"/>
        <v>1153354.5157469611</v>
      </c>
      <c r="C125" s="269">
        <f t="shared" si="40"/>
        <v>1153354.5157469611</v>
      </c>
      <c r="D125" s="269"/>
      <c r="E125" s="269"/>
      <c r="F125" s="269">
        <f t="shared" si="39"/>
        <v>-1153354.5157469611</v>
      </c>
      <c r="G125" s="269">
        <f t="shared" si="39"/>
        <v>-1153354.5157469611</v>
      </c>
      <c r="H125" s="269">
        <f t="shared" si="37"/>
        <v>0</v>
      </c>
      <c r="I125" s="269">
        <f t="shared" si="37"/>
        <v>0</v>
      </c>
      <c r="J125" s="269">
        <f t="shared" si="28"/>
        <v>0</v>
      </c>
      <c r="K125" s="269">
        <f t="shared" si="38"/>
        <v>0</v>
      </c>
      <c r="L125" s="269">
        <f t="shared" si="29"/>
        <v>0</v>
      </c>
      <c r="M125" s="270">
        <f t="shared" si="30"/>
        <v>0</v>
      </c>
      <c r="N125" s="97"/>
      <c r="O125" s="271"/>
      <c r="P125" s="271"/>
      <c r="Q125" s="271"/>
      <c r="R125" s="271"/>
      <c r="S125" s="271"/>
      <c r="T125" s="271"/>
    </row>
    <row r="126" spans="1:20" s="230" customFormat="1" ht="15">
      <c r="A126" s="267">
        <f t="shared" si="31"/>
        <v>48548</v>
      </c>
      <c r="B126" s="269">
        <f t="shared" si="40"/>
        <v>1153354.5157469611</v>
      </c>
      <c r="C126" s="269">
        <f t="shared" si="40"/>
        <v>1153354.5157469611</v>
      </c>
      <c r="D126" s="269"/>
      <c r="E126" s="269"/>
      <c r="F126" s="269">
        <f t="shared" si="39"/>
        <v>-1153354.5157469611</v>
      </c>
      <c r="G126" s="269">
        <f t="shared" si="39"/>
        <v>-1153354.5157469611</v>
      </c>
      <c r="H126" s="269">
        <f t="shared" si="37"/>
        <v>0</v>
      </c>
      <c r="I126" s="269">
        <f t="shared" si="37"/>
        <v>0</v>
      </c>
      <c r="J126" s="269">
        <f t="shared" si="28"/>
        <v>0</v>
      </c>
      <c r="K126" s="269">
        <f t="shared" si="38"/>
        <v>0</v>
      </c>
      <c r="L126" s="269">
        <f t="shared" si="29"/>
        <v>0</v>
      </c>
      <c r="M126" s="270">
        <f t="shared" si="30"/>
        <v>0</v>
      </c>
      <c r="N126" s="97"/>
      <c r="O126" s="271"/>
      <c r="P126" s="271"/>
      <c r="Q126" s="271"/>
      <c r="R126" s="271"/>
      <c r="S126" s="271"/>
      <c r="T126" s="271"/>
    </row>
    <row r="127" spans="1:20" s="230" customFormat="1" ht="15">
      <c r="A127" s="267">
        <f t="shared" si="31"/>
        <v>48579</v>
      </c>
      <c r="B127" s="269">
        <f t="shared" si="40"/>
        <v>1153354.5157469611</v>
      </c>
      <c r="C127" s="269">
        <f t="shared" si="40"/>
        <v>1153354.5157469611</v>
      </c>
      <c r="D127" s="269"/>
      <c r="E127" s="269"/>
      <c r="F127" s="269">
        <f t="shared" si="39"/>
        <v>-1153354.5157469611</v>
      </c>
      <c r="G127" s="269">
        <f t="shared" si="39"/>
        <v>-1153354.5157469611</v>
      </c>
      <c r="H127" s="269">
        <f t="shared" si="37"/>
        <v>0</v>
      </c>
      <c r="I127" s="269">
        <f t="shared" si="37"/>
        <v>0</v>
      </c>
      <c r="J127" s="269">
        <f t="shared" si="28"/>
        <v>0</v>
      </c>
      <c r="K127" s="269">
        <f t="shared" si="38"/>
        <v>0</v>
      </c>
      <c r="L127" s="269">
        <f t="shared" si="29"/>
        <v>0</v>
      </c>
      <c r="M127" s="270">
        <f t="shared" si="30"/>
        <v>0</v>
      </c>
      <c r="N127" s="97"/>
      <c r="O127" s="271"/>
      <c r="P127" s="271"/>
      <c r="Q127" s="271"/>
      <c r="R127" s="271"/>
      <c r="S127" s="271"/>
      <c r="T127" s="271"/>
    </row>
    <row r="128" spans="1:20" s="230" customFormat="1" ht="15">
      <c r="A128" s="267">
        <f t="shared" si="31"/>
        <v>48610</v>
      </c>
      <c r="B128" s="269">
        <f t="shared" si="40"/>
        <v>1153354.5157469611</v>
      </c>
      <c r="C128" s="269">
        <f t="shared" si="40"/>
        <v>1153354.5157469611</v>
      </c>
      <c r="D128" s="269"/>
      <c r="E128" s="269"/>
      <c r="F128" s="269">
        <f t="shared" si="39"/>
        <v>-1153354.5157469611</v>
      </c>
      <c r="G128" s="269">
        <f t="shared" si="39"/>
        <v>-1153354.5157469611</v>
      </c>
      <c r="H128" s="269">
        <f t="shared" ref="H128:I130" si="41">B128+F128</f>
        <v>0</v>
      </c>
      <c r="I128" s="269">
        <f t="shared" si="41"/>
        <v>0</v>
      </c>
      <c r="J128" s="269">
        <f t="shared" si="28"/>
        <v>0</v>
      </c>
      <c r="K128" s="269">
        <f t="shared" si="38"/>
        <v>0</v>
      </c>
      <c r="L128" s="269">
        <f t="shared" si="29"/>
        <v>0</v>
      </c>
      <c r="M128" s="270">
        <f t="shared" si="30"/>
        <v>0</v>
      </c>
      <c r="N128" s="97"/>
      <c r="O128" s="271"/>
      <c r="P128" s="271"/>
      <c r="Q128" s="271"/>
      <c r="R128" s="271"/>
      <c r="S128" s="271"/>
      <c r="T128" s="271"/>
    </row>
    <row r="129" spans="1:20" s="230" customFormat="1" ht="15">
      <c r="A129" s="267">
        <f t="shared" si="31"/>
        <v>48638</v>
      </c>
      <c r="B129" s="269">
        <f t="shared" si="40"/>
        <v>1153354.5157469611</v>
      </c>
      <c r="C129" s="269">
        <f t="shared" si="40"/>
        <v>1153354.5157469611</v>
      </c>
      <c r="D129" s="269"/>
      <c r="E129" s="269"/>
      <c r="F129" s="269">
        <f t="shared" si="39"/>
        <v>-1153354.5157469611</v>
      </c>
      <c r="G129" s="269">
        <f t="shared" si="39"/>
        <v>-1153354.5157469611</v>
      </c>
      <c r="H129" s="269">
        <f t="shared" si="41"/>
        <v>0</v>
      </c>
      <c r="I129" s="269">
        <f t="shared" si="41"/>
        <v>0</v>
      </c>
      <c r="J129" s="269">
        <f t="shared" si="28"/>
        <v>0</v>
      </c>
      <c r="K129" s="269">
        <f t="shared" si="38"/>
        <v>0</v>
      </c>
      <c r="L129" s="269">
        <f t="shared" si="29"/>
        <v>0</v>
      </c>
      <c r="M129" s="270">
        <f t="shared" si="30"/>
        <v>0</v>
      </c>
      <c r="N129" s="97"/>
      <c r="O129" s="271"/>
      <c r="P129" s="271"/>
      <c r="Q129" s="271"/>
      <c r="R129" s="271"/>
      <c r="S129" s="271"/>
      <c r="T129" s="271"/>
    </row>
    <row r="130" spans="1:20" s="230" customFormat="1" ht="15">
      <c r="A130" s="267">
        <f t="shared" si="31"/>
        <v>48669</v>
      </c>
      <c r="B130" s="269">
        <f t="shared" si="40"/>
        <v>1153354.5157469611</v>
      </c>
      <c r="C130" s="269">
        <f t="shared" si="40"/>
        <v>1153354.5157469611</v>
      </c>
      <c r="D130" s="269"/>
      <c r="E130" s="269"/>
      <c r="F130" s="269">
        <f t="shared" si="39"/>
        <v>-1153354.5157469611</v>
      </c>
      <c r="G130" s="269">
        <f t="shared" si="39"/>
        <v>-1153354.5157469611</v>
      </c>
      <c r="H130" s="269">
        <f t="shared" si="41"/>
        <v>0</v>
      </c>
      <c r="I130" s="269">
        <f t="shared" si="41"/>
        <v>0</v>
      </c>
      <c r="J130" s="269">
        <f t="shared" si="28"/>
        <v>0</v>
      </c>
      <c r="K130" s="269">
        <f t="shared" si="38"/>
        <v>0</v>
      </c>
      <c r="L130" s="269">
        <f t="shared" si="29"/>
        <v>0</v>
      </c>
      <c r="M130" s="270">
        <f t="shared" si="30"/>
        <v>0</v>
      </c>
      <c r="N130" s="97"/>
      <c r="O130" s="271"/>
      <c r="P130" s="271"/>
      <c r="Q130" s="271"/>
      <c r="R130" s="271"/>
      <c r="S130" s="271"/>
      <c r="T130" s="271"/>
    </row>
    <row r="131" spans="1:20" ht="6" customHeight="1" thickBot="1">
      <c r="A131" s="276"/>
      <c r="B131" s="277"/>
      <c r="C131" s="277"/>
      <c r="D131" s="277"/>
      <c r="E131" s="277"/>
      <c r="F131" s="277"/>
      <c r="G131" s="277"/>
      <c r="H131" s="277"/>
      <c r="I131" s="277"/>
      <c r="J131" s="277"/>
      <c r="K131" s="277"/>
      <c r="L131" s="277"/>
      <c r="M131" s="278">
        <f t="shared" si="30"/>
        <v>0</v>
      </c>
      <c r="N131" s="97"/>
      <c r="O131" s="279"/>
      <c r="P131" s="279"/>
      <c r="Q131" s="279"/>
      <c r="R131" s="279"/>
      <c r="S131" s="279"/>
      <c r="T131" s="279"/>
    </row>
    <row r="132" spans="1:20" s="230" customFormat="1" ht="15">
      <c r="A132" s="280"/>
      <c r="B132" s="281"/>
      <c r="C132" s="281"/>
      <c r="D132" s="282"/>
      <c r="E132" s="282"/>
      <c r="F132" s="283"/>
      <c r="G132" s="281"/>
      <c r="H132" s="281"/>
      <c r="I132" s="281"/>
      <c r="J132" s="281"/>
      <c r="K132" s="281"/>
      <c r="L132" s="281"/>
      <c r="M132" s="97"/>
      <c r="N132" s="97"/>
      <c r="O132" s="97"/>
    </row>
    <row r="133" spans="1:20" ht="15">
      <c r="A133" s="97"/>
      <c r="B133" s="97"/>
      <c r="C133" s="97"/>
      <c r="D133" s="227"/>
      <c r="E133" s="97"/>
      <c r="F133" s="97"/>
      <c r="G133" s="227"/>
      <c r="H133" s="97"/>
      <c r="I133" s="97"/>
      <c r="J133" s="97"/>
      <c r="K133" s="97"/>
      <c r="L133" s="97"/>
      <c r="M133" s="97"/>
      <c r="N133" s="97"/>
      <c r="O133" s="97"/>
    </row>
    <row r="134" spans="1:20" ht="15">
      <c r="A134" s="97"/>
      <c r="B134" s="97"/>
      <c r="C134" s="97"/>
      <c r="D134" s="227"/>
      <c r="E134" s="97"/>
      <c r="F134" s="97"/>
      <c r="G134" s="97"/>
      <c r="H134" s="97"/>
      <c r="I134" s="97"/>
      <c r="J134" s="97"/>
      <c r="K134" s="97"/>
      <c r="L134" s="97"/>
      <c r="M134" s="97"/>
      <c r="N134" s="97"/>
      <c r="O134" s="97"/>
      <c r="P134" s="97"/>
      <c r="Q134" s="97"/>
    </row>
    <row r="135" spans="1:20" ht="15">
      <c r="A135" s="284"/>
      <c r="B135" s="97"/>
      <c r="C135" s="97"/>
      <c r="D135" s="97"/>
      <c r="E135" s="97"/>
      <c r="F135" s="97"/>
      <c r="G135" s="97"/>
      <c r="H135" s="97"/>
      <c r="I135" s="97"/>
      <c r="J135" s="97"/>
      <c r="K135" s="97"/>
      <c r="L135" s="97"/>
      <c r="M135" s="97"/>
      <c r="N135" s="97"/>
      <c r="O135" s="97"/>
      <c r="P135" s="97"/>
      <c r="Q135" s="97"/>
    </row>
    <row r="136" spans="1:20" ht="15">
      <c r="A136" s="97"/>
      <c r="B136" s="97"/>
      <c r="C136" s="97"/>
      <c r="D136" s="97"/>
      <c r="E136" s="97"/>
      <c r="F136" s="97"/>
      <c r="G136" s="97"/>
      <c r="H136" s="97"/>
      <c r="I136" s="97"/>
      <c r="J136" s="97"/>
      <c r="K136" s="97"/>
      <c r="L136" s="97"/>
      <c r="M136" s="97"/>
      <c r="N136" s="97"/>
    </row>
    <row r="137" spans="1:20" ht="15">
      <c r="A137" s="97"/>
      <c r="B137" s="97"/>
      <c r="C137" s="97"/>
      <c r="D137" s="97"/>
      <c r="E137" s="97"/>
      <c r="F137" s="97"/>
      <c r="G137" s="97"/>
      <c r="H137" s="97"/>
      <c r="I137" s="97"/>
      <c r="J137" s="97"/>
      <c r="K137" s="97"/>
      <c r="L137" s="97"/>
      <c r="M137" s="97"/>
      <c r="N137" s="97"/>
      <c r="O137"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W125"/>
  <sheetViews>
    <sheetView zoomScale="88" zoomScaleNormal="88" workbookViewId="0">
      <pane xSplit="1" ySplit="18" topLeftCell="B112"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1" customWidth="1"/>
    <col min="2" max="2" width="15.85546875" style="231" customWidth="1"/>
    <col min="3" max="3" width="14.5703125" style="231" customWidth="1"/>
    <col min="4" max="4" width="18.140625" style="231" customWidth="1"/>
    <col min="5" max="5" width="13.42578125" style="231" customWidth="1"/>
    <col min="6" max="7" width="15.5703125" style="231" bestFit="1" customWidth="1"/>
    <col min="8" max="8" width="14.140625" style="231" bestFit="1" customWidth="1"/>
    <col min="9" max="10" width="14.28515625" style="231" bestFit="1" customWidth="1"/>
    <col min="11" max="11" width="14.5703125" style="231" bestFit="1" customWidth="1"/>
    <col min="12" max="12" width="13.5703125" style="231" bestFit="1" customWidth="1"/>
    <col min="13" max="13" width="14.7109375" style="231" bestFit="1" customWidth="1"/>
    <col min="14" max="14" width="13.140625" style="231" bestFit="1" customWidth="1"/>
    <col min="15" max="15" width="12.85546875" style="231" customWidth="1"/>
    <col min="16" max="16" width="15.28515625" style="231" customWidth="1"/>
    <col min="17" max="17" width="8.85546875" style="231"/>
    <col min="18" max="18" width="10.7109375" style="231" customWidth="1"/>
    <col min="19" max="22" width="8.85546875" style="231"/>
    <col min="23" max="23" width="9.28515625" style="231" bestFit="1" customWidth="1"/>
    <col min="24" max="16384" width="8.85546875" style="231"/>
  </cols>
  <sheetData>
    <row r="1" spans="1:23" s="209" customFormat="1" ht="15">
      <c r="A1" s="204" t="s">
        <v>321</v>
      </c>
      <c r="B1" s="205"/>
      <c r="C1" s="205"/>
      <c r="D1" s="205"/>
      <c r="E1" s="205"/>
      <c r="F1" s="97"/>
      <c r="G1" s="97"/>
      <c r="H1" s="97"/>
      <c r="I1" s="97"/>
      <c r="J1" s="97"/>
      <c r="K1" s="97"/>
      <c r="L1" s="205"/>
      <c r="M1" s="205"/>
      <c r="N1" s="206"/>
      <c r="O1" s="207"/>
      <c r="P1" s="206"/>
      <c r="Q1" s="205"/>
      <c r="R1" s="205"/>
      <c r="S1" s="205"/>
      <c r="T1" s="205"/>
      <c r="U1" s="206"/>
      <c r="V1" s="208"/>
      <c r="W1" s="208"/>
    </row>
    <row r="2" spans="1:23" s="209" customFormat="1">
      <c r="A2" s="210"/>
      <c r="B2" s="208"/>
      <c r="C2" s="211"/>
      <c r="D2" s="212"/>
      <c r="E2" s="208"/>
      <c r="F2" s="205"/>
      <c r="G2" s="213"/>
      <c r="H2" s="213"/>
      <c r="I2" s="214"/>
      <c r="J2" s="205"/>
      <c r="K2" s="205"/>
      <c r="L2" s="205"/>
      <c r="M2" s="205"/>
      <c r="N2" s="215"/>
      <c r="O2" s="207"/>
      <c r="P2" s="206"/>
      <c r="Q2" s="208"/>
      <c r="R2" s="208"/>
      <c r="S2" s="205"/>
      <c r="T2" s="205"/>
      <c r="U2" s="205"/>
      <c r="V2" s="208"/>
      <c r="W2" s="208"/>
    </row>
    <row r="3" spans="1:23" s="209" customFormat="1" ht="18" customHeight="1">
      <c r="A3" s="216"/>
      <c r="B3" s="208"/>
      <c r="C3" s="217"/>
      <c r="D3" s="218"/>
      <c r="E3" s="218"/>
      <c r="F3" s="205"/>
      <c r="G3" s="219"/>
      <c r="H3" s="205"/>
      <c r="I3" s="208"/>
      <c r="J3" s="208"/>
      <c r="K3" s="208"/>
      <c r="L3" s="220"/>
      <c r="M3" s="220"/>
      <c r="N3" s="215"/>
      <c r="O3" s="207"/>
      <c r="P3" s="213"/>
      <c r="Q3" s="208"/>
      <c r="R3" s="208"/>
      <c r="S3" s="205"/>
      <c r="T3" s="205"/>
      <c r="U3" s="205"/>
      <c r="V3" s="208"/>
      <c r="W3" s="208"/>
    </row>
    <row r="4" spans="1:23" s="209" customFormat="1">
      <c r="A4" s="221" t="s">
        <v>322</v>
      </c>
      <c r="B4" s="222">
        <v>2025</v>
      </c>
      <c r="C4" s="222">
        <f>+B4+1</f>
        <v>2026</v>
      </c>
      <c r="D4" s="222">
        <f t="shared" ref="D4:E4" si="0">+C4+1</f>
        <v>2027</v>
      </c>
      <c r="E4" s="222">
        <f t="shared" si="0"/>
        <v>2028</v>
      </c>
      <c r="F4" s="222">
        <f>+E4+1</f>
        <v>2029</v>
      </c>
      <c r="G4" s="222">
        <f t="shared" ref="G4:P4" si="1">+F4+1</f>
        <v>2030</v>
      </c>
      <c r="H4" s="222">
        <f t="shared" si="1"/>
        <v>2031</v>
      </c>
      <c r="I4" s="222">
        <f t="shared" si="1"/>
        <v>2032</v>
      </c>
      <c r="J4" s="222">
        <f t="shared" si="1"/>
        <v>2033</v>
      </c>
      <c r="K4" s="222">
        <f t="shared" si="1"/>
        <v>2034</v>
      </c>
      <c r="L4" s="222">
        <f t="shared" si="1"/>
        <v>2035</v>
      </c>
      <c r="M4" s="222">
        <f t="shared" si="1"/>
        <v>2036</v>
      </c>
      <c r="N4" s="222">
        <f t="shared" si="1"/>
        <v>2037</v>
      </c>
      <c r="O4" s="222">
        <f t="shared" si="1"/>
        <v>2038</v>
      </c>
      <c r="P4" s="222">
        <f t="shared" si="1"/>
        <v>2039</v>
      </c>
    </row>
    <row r="5" spans="1:23" s="209" customFormat="1">
      <c r="A5" s="223" t="s">
        <v>323</v>
      </c>
      <c r="B5" s="224">
        <f t="array" ref="B5:P5">TRANSPOSE('MACRS W 50% BONUS'!Q6:Q20)</f>
        <v>0.1429</v>
      </c>
      <c r="C5" s="224">
        <v>0.24490000000000001</v>
      </c>
      <c r="D5" s="224">
        <v>0.1749</v>
      </c>
      <c r="E5" s="224">
        <v>0.1249</v>
      </c>
      <c r="F5" s="224">
        <v>8.9300000000000004E-2</v>
      </c>
      <c r="G5" s="224">
        <v>8.9200000000000002E-2</v>
      </c>
      <c r="H5" s="224">
        <v>8.9300000000000004E-2</v>
      </c>
      <c r="I5" s="224">
        <v>4.4600000000000001E-2</v>
      </c>
      <c r="J5" s="224">
        <v>0</v>
      </c>
      <c r="K5" s="224">
        <v>0</v>
      </c>
      <c r="L5" s="224">
        <v>0</v>
      </c>
      <c r="M5" s="224">
        <v>0</v>
      </c>
      <c r="N5" s="224">
        <v>0</v>
      </c>
      <c r="O5" s="224">
        <v>0</v>
      </c>
      <c r="P5" s="224">
        <v>0</v>
      </c>
    </row>
    <row r="6" spans="1:23" s="225" customFormat="1"/>
    <row r="7" spans="1:23" s="209" customFormat="1" ht="15">
      <c r="A7" s="225"/>
      <c r="B7" s="222">
        <f>+P4+1</f>
        <v>2040</v>
      </c>
      <c r="C7" s="222">
        <f>+B7+1</f>
        <v>2041</v>
      </c>
      <c r="D7" s="222">
        <f>+C7+1</f>
        <v>2042</v>
      </c>
      <c r="E7" s="222">
        <f>+D7+1</f>
        <v>2043</v>
      </c>
      <c r="F7" s="222">
        <f>+E7+1</f>
        <v>2044</v>
      </c>
      <c r="G7" s="222">
        <f>+F7+1</f>
        <v>2045</v>
      </c>
      <c r="H7" s="222" t="s">
        <v>302</v>
      </c>
      <c r="I7" s="97"/>
      <c r="J7" s="97"/>
      <c r="K7" s="97"/>
      <c r="L7" s="97"/>
      <c r="M7" s="97"/>
      <c r="N7" s="97"/>
      <c r="O7" s="97"/>
      <c r="P7" s="97"/>
    </row>
    <row r="8" spans="1:23" s="209" customFormat="1" ht="15">
      <c r="A8" s="225"/>
      <c r="B8" s="224">
        <f t="array" ref="B8:G8">TRANSPOSE('MACRS W 50% BONUS'!Q21:Q26)</f>
        <v>0</v>
      </c>
      <c r="C8" s="224">
        <v>0</v>
      </c>
      <c r="D8" s="224">
        <v>0</v>
      </c>
      <c r="E8" s="224">
        <v>0</v>
      </c>
      <c r="F8" s="224">
        <v>0</v>
      </c>
      <c r="G8" s="224">
        <v>0</v>
      </c>
      <c r="H8" s="226">
        <f>SUM(B5:P5,B8:G8)</f>
        <v>1.0000000000000002</v>
      </c>
      <c r="I8" s="97"/>
      <c r="J8" s="97"/>
      <c r="K8" s="97"/>
      <c r="L8" s="97"/>
      <c r="M8" s="97"/>
      <c r="N8" s="97"/>
      <c r="O8" s="97"/>
      <c r="P8" s="97"/>
    </row>
    <row r="9" spans="1:23" s="209" customFormat="1" ht="15">
      <c r="A9" s="225"/>
      <c r="B9" s="227"/>
      <c r="C9" s="227"/>
      <c r="D9" s="227"/>
      <c r="E9" s="227"/>
      <c r="F9" s="227"/>
      <c r="G9" s="227"/>
      <c r="H9" s="227"/>
      <c r="I9" s="227"/>
      <c r="J9" s="228"/>
      <c r="K9" s="228"/>
      <c r="L9" s="228"/>
      <c r="M9" s="228"/>
      <c r="N9" s="228"/>
      <c r="O9" s="228"/>
      <c r="P9" s="228"/>
      <c r="Q9" s="228"/>
      <c r="R9" s="228"/>
      <c r="S9" s="228"/>
      <c r="T9" s="228"/>
      <c r="U9" s="228"/>
      <c r="V9" s="228"/>
      <c r="W9" s="229"/>
    </row>
    <row r="10" spans="1:23" ht="5.0999999999999996" customHeight="1" thickBot="1">
      <c r="A10" s="230"/>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3">
      <c r="A11" s="232" t="s">
        <v>324</v>
      </c>
      <c r="B11" s="233" t="s">
        <v>325</v>
      </c>
      <c r="C11" s="234"/>
      <c r="D11" s="235" t="s">
        <v>306</v>
      </c>
      <c r="E11" s="236"/>
      <c r="F11" s="233" t="s">
        <v>326</v>
      </c>
      <c r="G11" s="234"/>
      <c r="H11" s="233" t="s">
        <v>327</v>
      </c>
      <c r="I11" s="234"/>
      <c r="J11" s="237" t="s">
        <v>328</v>
      </c>
      <c r="K11" s="237" t="s">
        <v>329</v>
      </c>
      <c r="L11" s="237" t="s">
        <v>330</v>
      </c>
      <c r="M11" s="237"/>
    </row>
    <row r="12" spans="1:23">
      <c r="A12" s="238"/>
      <c r="B12" s="239"/>
      <c r="C12" s="240"/>
      <c r="D12" s="241" t="s">
        <v>331</v>
      </c>
      <c r="E12" s="242">
        <f>1/5</f>
        <v>0.2</v>
      </c>
      <c r="F12" s="243"/>
      <c r="G12" s="244"/>
      <c r="H12" s="243"/>
      <c r="I12" s="244"/>
      <c r="J12" s="245"/>
      <c r="K12" s="245"/>
      <c r="L12" s="245"/>
      <c r="M12" s="245"/>
    </row>
    <row r="13" spans="1:23">
      <c r="A13" s="238"/>
      <c r="B13" s="246"/>
      <c r="C13" s="247"/>
      <c r="D13" s="246"/>
      <c r="E13" s="248"/>
      <c r="F13" s="246"/>
      <c r="G13" s="247"/>
      <c r="H13" s="249"/>
      <c r="I13" s="250" t="s">
        <v>332</v>
      </c>
      <c r="J13" s="251"/>
      <c r="K13" s="251"/>
      <c r="L13" s="251" t="s">
        <v>333</v>
      </c>
      <c r="M13" s="251"/>
    </row>
    <row r="14" spans="1:23">
      <c r="A14" s="252"/>
      <c r="B14" s="253" t="s">
        <v>334</v>
      </c>
      <c r="C14" s="254" t="s">
        <v>335</v>
      </c>
      <c r="D14" s="253" t="s">
        <v>336</v>
      </c>
      <c r="E14" s="254" t="s">
        <v>337</v>
      </c>
      <c r="F14" s="249" t="s">
        <v>334</v>
      </c>
      <c r="G14" s="250" t="s">
        <v>335</v>
      </c>
      <c r="H14" s="249" t="s">
        <v>334</v>
      </c>
      <c r="I14" s="250" t="s">
        <v>338</v>
      </c>
      <c r="J14" s="245" t="s">
        <v>339</v>
      </c>
      <c r="K14" s="255"/>
      <c r="L14" s="251" t="s">
        <v>340</v>
      </c>
      <c r="M14" s="251" t="s">
        <v>317</v>
      </c>
    </row>
    <row r="15" spans="1:23">
      <c r="A15" s="252"/>
      <c r="B15" s="253"/>
      <c r="C15" s="254"/>
      <c r="D15" s="253"/>
      <c r="E15" s="254"/>
      <c r="F15" s="249"/>
      <c r="G15" s="250"/>
      <c r="H15" s="249"/>
      <c r="I15" s="250"/>
      <c r="J15" s="245"/>
      <c r="K15" s="255">
        <v>0.21</v>
      </c>
      <c r="L15" s="251"/>
      <c r="M15" s="251"/>
    </row>
    <row r="16" spans="1:23">
      <c r="A16" s="252"/>
      <c r="B16" s="253"/>
      <c r="C16" s="254"/>
      <c r="D16" s="253" t="s">
        <v>341</v>
      </c>
      <c r="E16" s="250" t="s">
        <v>342</v>
      </c>
      <c r="F16" s="249" t="s">
        <v>343</v>
      </c>
      <c r="G16" s="250" t="s">
        <v>344</v>
      </c>
      <c r="H16" s="249"/>
      <c r="I16" s="250"/>
      <c r="J16" s="245"/>
      <c r="K16" s="255" t="s">
        <v>345</v>
      </c>
      <c r="L16" s="251" t="s">
        <v>346</v>
      </c>
      <c r="M16" s="251"/>
    </row>
    <row r="17" spans="1:20">
      <c r="A17" s="256"/>
      <c r="B17" s="257" t="s">
        <v>347</v>
      </c>
      <c r="C17" s="258" t="s">
        <v>348</v>
      </c>
      <c r="D17" s="257"/>
      <c r="E17" s="258" t="s">
        <v>349</v>
      </c>
      <c r="F17" s="259" t="s">
        <v>350</v>
      </c>
      <c r="G17" s="260" t="s">
        <v>351</v>
      </c>
      <c r="H17" s="259" t="s">
        <v>352</v>
      </c>
      <c r="I17" s="260" t="s">
        <v>353</v>
      </c>
      <c r="J17" s="261" t="s">
        <v>354</v>
      </c>
      <c r="K17" s="262" t="s">
        <v>355</v>
      </c>
      <c r="L17" s="263" t="s">
        <v>356</v>
      </c>
      <c r="M17" s="263" t="s">
        <v>357</v>
      </c>
    </row>
    <row r="18" spans="1:20" ht="7.5" customHeight="1">
      <c r="A18" s="264"/>
      <c r="B18" s="265"/>
      <c r="C18" s="265"/>
      <c r="D18" s="265"/>
      <c r="E18" s="265"/>
      <c r="F18" s="265"/>
      <c r="G18" s="265"/>
      <c r="H18" s="265"/>
      <c r="I18" s="265"/>
      <c r="J18" s="265"/>
      <c r="K18" s="265"/>
      <c r="L18" s="292"/>
      <c r="M18" s="293"/>
    </row>
    <row r="19" spans="1:20" s="230" customFormat="1">
      <c r="A19" s="267"/>
      <c r="B19" s="268"/>
      <c r="C19" s="269"/>
      <c r="D19" s="269"/>
      <c r="E19" s="269"/>
      <c r="F19" s="269"/>
      <c r="G19" s="269"/>
      <c r="H19" s="269"/>
      <c r="I19" s="269"/>
      <c r="J19" s="269"/>
      <c r="K19" s="269"/>
      <c r="L19" s="269"/>
      <c r="M19" s="270"/>
      <c r="N19" s="271"/>
      <c r="O19" s="271"/>
      <c r="P19" s="271"/>
      <c r="Q19" s="271"/>
      <c r="R19" s="271"/>
      <c r="S19" s="271"/>
      <c r="T19" s="271"/>
    </row>
    <row r="20" spans="1:20" s="230" customFormat="1">
      <c r="A20" s="267">
        <v>45688</v>
      </c>
      <c r="B20" s="269">
        <f>C20</f>
        <v>73110.230149038005</v>
      </c>
      <c r="C20" s="269">
        <f>'EV Capex Summary'!$L$57/12</f>
        <v>73110.230149038005</v>
      </c>
      <c r="D20" s="269">
        <f>B27*$B$5/8</f>
        <v>10447.451888297532</v>
      </c>
      <c r="E20" s="269">
        <f>C20*E$12/12</f>
        <v>1218.5038358173001</v>
      </c>
      <c r="F20" s="269">
        <f>-D20</f>
        <v>-10447.451888297532</v>
      </c>
      <c r="G20" s="269">
        <f>-E20</f>
        <v>-1218.5038358173001</v>
      </c>
      <c r="H20" s="269">
        <f t="shared" ref="H20:I38" si="2">B20+F20</f>
        <v>62662.778260740473</v>
      </c>
      <c r="I20" s="269">
        <f t="shared" si="2"/>
        <v>71891.726313220701</v>
      </c>
      <c r="J20" s="269">
        <f>I20-H20</f>
        <v>9228.9480524802275</v>
      </c>
      <c r="K20" s="269">
        <f t="shared" ref="K20:K51" si="3">-J20*$K$15</f>
        <v>-1938.0790910208477</v>
      </c>
      <c r="L20" s="269">
        <f>-K20</f>
        <v>1938.0790910208477</v>
      </c>
      <c r="M20" s="270">
        <f>I20+K20</f>
        <v>69953.647222199856</v>
      </c>
      <c r="N20" s="271"/>
      <c r="O20" s="271"/>
      <c r="P20" s="271"/>
      <c r="Q20" s="271"/>
      <c r="R20" s="271"/>
      <c r="S20" s="271"/>
      <c r="T20" s="271"/>
    </row>
    <row r="21" spans="1:20" s="230" customFormat="1">
      <c r="A21" s="267">
        <f>EOMONTH(A20,1)</f>
        <v>45716</v>
      </c>
      <c r="B21" s="269">
        <f t="shared" ref="B21:B31" si="4">C21</f>
        <v>146220.46029807601</v>
      </c>
      <c r="C21" s="269">
        <f>'EV Capex Summary'!$L$57/12+C20</f>
        <v>146220.46029807601</v>
      </c>
      <c r="D21" s="269">
        <f t="shared" ref="D21:D27" si="5">B28*$B$5/8</f>
        <v>11753.383374334722</v>
      </c>
      <c r="E21" s="269">
        <f>C21*E$12/12</f>
        <v>2437.0076716346002</v>
      </c>
      <c r="F21" s="269">
        <f t="shared" ref="F21:G36" si="6">F20-D21</f>
        <v>-22200.835262632252</v>
      </c>
      <c r="G21" s="269">
        <f t="shared" si="6"/>
        <v>-3655.5115074519003</v>
      </c>
      <c r="H21" s="269">
        <f t="shared" si="2"/>
        <v>124019.62503544375</v>
      </c>
      <c r="I21" s="269">
        <f t="shared" si="2"/>
        <v>142564.9487906241</v>
      </c>
      <c r="J21" s="269">
        <f t="shared" ref="J21:J84" si="7">I21-H21</f>
        <v>18545.323755180347</v>
      </c>
      <c r="K21" s="269">
        <f t="shared" si="3"/>
        <v>-3894.5179885878729</v>
      </c>
      <c r="L21" s="269">
        <f t="shared" ref="L21:L84" si="8">-K21+K20</f>
        <v>1956.4388975670252</v>
      </c>
      <c r="M21" s="270">
        <f t="shared" ref="M21:M84" si="9">I21+K21</f>
        <v>138670.43080203622</v>
      </c>
      <c r="N21" s="271"/>
      <c r="O21" s="271"/>
      <c r="P21" s="271"/>
      <c r="Q21" s="271"/>
      <c r="R21" s="271"/>
      <c r="S21" s="271"/>
      <c r="T21" s="271"/>
    </row>
    <row r="22" spans="1:20" s="230" customFormat="1">
      <c r="A22" s="267">
        <f t="shared" ref="A22:A85" si="10">EOMONTH(A21,1)</f>
        <v>45747</v>
      </c>
      <c r="B22" s="269">
        <f t="shared" si="4"/>
        <v>219330.690447114</v>
      </c>
      <c r="C22" s="269">
        <f>'EV Capex Summary'!$L$57/12+C21</f>
        <v>219330.690447114</v>
      </c>
      <c r="D22" s="269">
        <f t="shared" si="5"/>
        <v>13059.314860371915</v>
      </c>
      <c r="E22" s="269">
        <f t="shared" ref="E22:E74" si="11">C22*E$12/12</f>
        <v>3655.5115074519003</v>
      </c>
      <c r="F22" s="269">
        <f t="shared" si="6"/>
        <v>-35260.150123004169</v>
      </c>
      <c r="G22" s="269">
        <f t="shared" si="6"/>
        <v>-7311.0230149038007</v>
      </c>
      <c r="H22" s="269">
        <f t="shared" si="2"/>
        <v>184070.54032410984</v>
      </c>
      <c r="I22" s="269">
        <f t="shared" si="2"/>
        <v>212019.6674322102</v>
      </c>
      <c r="J22" s="269">
        <f t="shared" si="7"/>
        <v>27949.127108100365</v>
      </c>
      <c r="K22" s="269">
        <f t="shared" si="3"/>
        <v>-5869.3166927010761</v>
      </c>
      <c r="L22" s="269">
        <f t="shared" si="8"/>
        <v>1974.7987041132033</v>
      </c>
      <c r="M22" s="270">
        <f t="shared" si="9"/>
        <v>206150.35073950913</v>
      </c>
      <c r="N22" s="271"/>
      <c r="O22" s="271"/>
      <c r="P22" s="271"/>
      <c r="Q22" s="271"/>
      <c r="R22" s="271"/>
      <c r="S22" s="271"/>
      <c r="T22" s="271"/>
    </row>
    <row r="23" spans="1:20" s="230" customFormat="1">
      <c r="A23" s="267">
        <f t="shared" si="10"/>
        <v>45777</v>
      </c>
      <c r="B23" s="269">
        <f t="shared" si="4"/>
        <v>292440.92059615202</v>
      </c>
      <c r="C23" s="269">
        <f>'EV Capex Summary'!$L$57/12+C22</f>
        <v>292440.92059615202</v>
      </c>
      <c r="D23" s="269">
        <f t="shared" si="5"/>
        <v>14365.246346409105</v>
      </c>
      <c r="E23" s="269">
        <f t="shared" si="11"/>
        <v>4874.0153432692005</v>
      </c>
      <c r="F23" s="269">
        <f t="shared" si="6"/>
        <v>-49625.396469413274</v>
      </c>
      <c r="G23" s="269">
        <f t="shared" si="6"/>
        <v>-12185.038358173002</v>
      </c>
      <c r="H23" s="269">
        <f t="shared" si="2"/>
        <v>242815.52412673875</v>
      </c>
      <c r="I23" s="269">
        <f t="shared" si="2"/>
        <v>280255.88223797904</v>
      </c>
      <c r="J23" s="269">
        <f t="shared" si="7"/>
        <v>37440.35811124029</v>
      </c>
      <c r="K23" s="269">
        <f t="shared" si="3"/>
        <v>-7862.4752033604609</v>
      </c>
      <c r="L23" s="269">
        <f t="shared" si="8"/>
        <v>1993.1585106593848</v>
      </c>
      <c r="M23" s="270">
        <f t="shared" si="9"/>
        <v>272393.40703461855</v>
      </c>
      <c r="N23" s="272"/>
      <c r="O23" s="273"/>
      <c r="P23" s="271"/>
      <c r="Q23" s="271"/>
      <c r="R23" s="271"/>
      <c r="S23" s="271"/>
      <c r="T23" s="271"/>
    </row>
    <row r="24" spans="1:20" s="230" customFormat="1">
      <c r="A24" s="267">
        <f t="shared" si="10"/>
        <v>45808</v>
      </c>
      <c r="B24" s="269">
        <f t="shared" si="4"/>
        <v>365551.15074519004</v>
      </c>
      <c r="C24" s="269">
        <f>'EV Capex Summary'!$L$57/12+C23</f>
        <v>365551.15074519004</v>
      </c>
      <c r="D24" s="269">
        <f t="shared" si="5"/>
        <v>15671.177832446298</v>
      </c>
      <c r="E24" s="269">
        <f t="shared" si="11"/>
        <v>6092.5191790865001</v>
      </c>
      <c r="F24" s="269">
        <f t="shared" si="6"/>
        <v>-65296.574301859568</v>
      </c>
      <c r="G24" s="269">
        <f t="shared" si="6"/>
        <v>-18277.557537259501</v>
      </c>
      <c r="H24" s="269">
        <f t="shared" si="2"/>
        <v>300254.5764433305</v>
      </c>
      <c r="I24" s="269">
        <f t="shared" si="2"/>
        <v>347273.59320793056</v>
      </c>
      <c r="J24" s="269">
        <f t="shared" si="7"/>
        <v>47019.016764600063</v>
      </c>
      <c r="K24" s="269">
        <f t="shared" si="3"/>
        <v>-9873.9935205660131</v>
      </c>
      <c r="L24" s="269">
        <f t="shared" si="8"/>
        <v>2011.5183172055522</v>
      </c>
      <c r="M24" s="270">
        <f t="shared" si="9"/>
        <v>337399.59968736453</v>
      </c>
      <c r="N24" s="271"/>
      <c r="O24" s="271"/>
      <c r="P24" s="271"/>
      <c r="Q24" s="271"/>
      <c r="R24" s="271"/>
      <c r="S24" s="271"/>
      <c r="T24" s="271"/>
    </row>
    <row r="25" spans="1:20" s="230" customFormat="1">
      <c r="A25" s="267">
        <f t="shared" si="10"/>
        <v>45838</v>
      </c>
      <c r="B25" s="269">
        <f t="shared" si="4"/>
        <v>438661.38089422806</v>
      </c>
      <c r="C25" s="269">
        <f>'EV Capex Summary'!$L$57/12+C24</f>
        <v>438661.38089422806</v>
      </c>
      <c r="D25" s="269">
        <f t="shared" si="5"/>
        <v>15671.177832446298</v>
      </c>
      <c r="E25" s="269">
        <f t="shared" si="11"/>
        <v>7311.0230149038007</v>
      </c>
      <c r="F25" s="269">
        <f t="shared" si="6"/>
        <v>-80967.752134305862</v>
      </c>
      <c r="G25" s="269">
        <f t="shared" si="6"/>
        <v>-25588.580552163301</v>
      </c>
      <c r="H25" s="269">
        <f t="shared" si="2"/>
        <v>357693.62875992223</v>
      </c>
      <c r="I25" s="269">
        <f t="shared" si="2"/>
        <v>413072.80034206476</v>
      </c>
      <c r="J25" s="269">
        <f t="shared" si="7"/>
        <v>55379.171582142531</v>
      </c>
      <c r="K25" s="269">
        <f t="shared" si="3"/>
        <v>-11629.626032249931</v>
      </c>
      <c r="L25" s="269">
        <f t="shared" si="8"/>
        <v>1755.632511683918</v>
      </c>
      <c r="M25" s="270">
        <f t="shared" si="9"/>
        <v>401443.17430981481</v>
      </c>
      <c r="N25" s="271"/>
      <c r="O25" s="271"/>
      <c r="P25" s="271"/>
      <c r="Q25" s="271"/>
      <c r="R25" s="271"/>
      <c r="S25" s="271"/>
      <c r="T25" s="271"/>
    </row>
    <row r="26" spans="1:20" s="230" customFormat="1">
      <c r="A26" s="267">
        <f t="shared" si="10"/>
        <v>45869</v>
      </c>
      <c r="B26" s="269">
        <f t="shared" si="4"/>
        <v>511771.61104326608</v>
      </c>
      <c r="C26" s="269">
        <f>'EV Capex Summary'!$L$57/12+C25</f>
        <v>511771.61104326608</v>
      </c>
      <c r="D26" s="269">
        <f t="shared" si="5"/>
        <v>15671.177832446298</v>
      </c>
      <c r="E26" s="269">
        <f t="shared" si="11"/>
        <v>8529.5268507211022</v>
      </c>
      <c r="F26" s="269">
        <f t="shared" si="6"/>
        <v>-96638.929966752155</v>
      </c>
      <c r="G26" s="269">
        <f t="shared" si="6"/>
        <v>-34118.107402884401</v>
      </c>
      <c r="H26" s="269">
        <f t="shared" si="2"/>
        <v>415132.68107651395</v>
      </c>
      <c r="I26" s="269">
        <f t="shared" si="2"/>
        <v>477653.50364038168</v>
      </c>
      <c r="J26" s="269">
        <f t="shared" si="7"/>
        <v>62520.822563867725</v>
      </c>
      <c r="K26" s="269">
        <f t="shared" si="3"/>
        <v>-13129.372738412221</v>
      </c>
      <c r="L26" s="269">
        <f>-K26+K25</f>
        <v>1499.7467061622901</v>
      </c>
      <c r="M26" s="270">
        <f t="shared" si="9"/>
        <v>464524.13090196945</v>
      </c>
      <c r="N26" s="271"/>
      <c r="O26" s="271"/>
      <c r="P26" s="271"/>
      <c r="Q26" s="271"/>
      <c r="R26" s="271"/>
      <c r="S26" s="271"/>
      <c r="T26" s="271"/>
    </row>
    <row r="27" spans="1:20" s="230" customFormat="1">
      <c r="A27" s="267">
        <f t="shared" si="10"/>
        <v>45900</v>
      </c>
      <c r="B27" s="269">
        <f t="shared" si="4"/>
        <v>584881.84119230404</v>
      </c>
      <c r="C27" s="269">
        <f>'EV Capex Summary'!$L$57/12+C26</f>
        <v>584881.84119230404</v>
      </c>
      <c r="D27" s="269">
        <f t="shared" si="5"/>
        <v>15671.177832446298</v>
      </c>
      <c r="E27" s="269">
        <f t="shared" si="11"/>
        <v>9748.0306865384009</v>
      </c>
      <c r="F27" s="269">
        <f t="shared" si="6"/>
        <v>-112310.10779919845</v>
      </c>
      <c r="G27" s="269">
        <f t="shared" si="6"/>
        <v>-43866.138089422806</v>
      </c>
      <c r="H27" s="269">
        <f t="shared" si="2"/>
        <v>472571.73339310556</v>
      </c>
      <c r="I27" s="269">
        <f t="shared" si="2"/>
        <v>541015.70310288121</v>
      </c>
      <c r="J27" s="269">
        <f t="shared" si="7"/>
        <v>68443.969709775643</v>
      </c>
      <c r="K27" s="269">
        <f t="shared" si="3"/>
        <v>-14373.233639052885</v>
      </c>
      <c r="L27" s="269">
        <f>-K27+K26</f>
        <v>1243.8609006406641</v>
      </c>
      <c r="M27" s="270">
        <f t="shared" si="9"/>
        <v>526642.46946382837</v>
      </c>
      <c r="N27" s="271"/>
      <c r="O27" s="271"/>
      <c r="P27" s="271"/>
      <c r="Q27" s="271"/>
      <c r="R27" s="271"/>
      <c r="S27" s="271"/>
      <c r="T27" s="271"/>
    </row>
    <row r="28" spans="1:20" s="230" customFormat="1">
      <c r="A28" s="267">
        <f t="shared" si="10"/>
        <v>45930</v>
      </c>
      <c r="B28" s="269">
        <f t="shared" si="4"/>
        <v>657992.07134134206</v>
      </c>
      <c r="C28" s="269">
        <f>'EV Capex Summary'!$L$57/12+C27</f>
        <v>657992.07134134206</v>
      </c>
      <c r="D28" s="269">
        <f t="shared" ref="D28:D39" si="12">B28*$C$5/12</f>
        <v>13428.521522624556</v>
      </c>
      <c r="E28" s="269">
        <f t="shared" si="11"/>
        <v>10966.534522355701</v>
      </c>
      <c r="F28" s="269">
        <f t="shared" si="6"/>
        <v>-125738.62932182301</v>
      </c>
      <c r="G28" s="269">
        <f t="shared" si="6"/>
        <v>-54832.672611778507</v>
      </c>
      <c r="H28" s="269">
        <f t="shared" si="2"/>
        <v>532253.44201951905</v>
      </c>
      <c r="I28" s="269">
        <f t="shared" si="2"/>
        <v>603159.39872956357</v>
      </c>
      <c r="J28" s="269">
        <f t="shared" si="7"/>
        <v>70905.956710044527</v>
      </c>
      <c r="K28" s="269">
        <f t="shared" si="3"/>
        <v>-14890.250909109351</v>
      </c>
      <c r="L28" s="269">
        <f>-K28+K27</f>
        <v>517.01727005646535</v>
      </c>
      <c r="M28" s="270">
        <f t="shared" si="9"/>
        <v>588269.14782045421</v>
      </c>
      <c r="N28" s="271"/>
      <c r="O28" s="271"/>
      <c r="P28" s="271"/>
      <c r="Q28" s="271"/>
      <c r="R28" s="271"/>
      <c r="S28" s="271"/>
      <c r="T28" s="271"/>
    </row>
    <row r="29" spans="1:20" s="230" customFormat="1">
      <c r="A29" s="267">
        <f t="shared" si="10"/>
        <v>45961</v>
      </c>
      <c r="B29" s="269">
        <f t="shared" si="4"/>
        <v>731102.30149038008</v>
      </c>
      <c r="C29" s="269">
        <f>'EV Capex Summary'!$L$57/12+C28</f>
        <v>731102.30149038008</v>
      </c>
      <c r="D29" s="269">
        <f t="shared" si="12"/>
        <v>14920.579469582839</v>
      </c>
      <c r="E29" s="269">
        <f t="shared" si="11"/>
        <v>12185.038358173</v>
      </c>
      <c r="F29" s="269">
        <f t="shared" si="6"/>
        <v>-140659.20879140586</v>
      </c>
      <c r="G29" s="269">
        <f t="shared" si="6"/>
        <v>-67017.710969951513</v>
      </c>
      <c r="H29" s="269">
        <f t="shared" si="2"/>
        <v>590443.09269897419</v>
      </c>
      <c r="I29" s="269">
        <f t="shared" si="2"/>
        <v>664084.59052042861</v>
      </c>
      <c r="J29" s="269">
        <f t="shared" si="7"/>
        <v>73641.497821454424</v>
      </c>
      <c r="K29" s="269">
        <f t="shared" si="3"/>
        <v>-15464.714542505428</v>
      </c>
      <c r="L29" s="269">
        <f t="shared" si="8"/>
        <v>574.46363339607706</v>
      </c>
      <c r="M29" s="270">
        <f t="shared" si="9"/>
        <v>648619.87597792316</v>
      </c>
      <c r="N29" s="271"/>
      <c r="O29" s="271"/>
      <c r="P29" s="271"/>
      <c r="Q29" s="271"/>
      <c r="R29" s="271"/>
      <c r="S29" s="271"/>
      <c r="T29" s="271"/>
    </row>
    <row r="30" spans="1:20" s="230" customFormat="1">
      <c r="A30" s="267">
        <f t="shared" si="10"/>
        <v>45991</v>
      </c>
      <c r="B30" s="269">
        <f t="shared" si="4"/>
        <v>804212.5316394181</v>
      </c>
      <c r="C30" s="269">
        <f>'EV Capex Summary'!$L$57/12+C29</f>
        <v>804212.5316394181</v>
      </c>
      <c r="D30" s="269">
        <f t="shared" si="12"/>
        <v>16412.637416541125</v>
      </c>
      <c r="E30" s="269">
        <f t="shared" si="11"/>
        <v>13403.542193990303</v>
      </c>
      <c r="F30" s="269">
        <f t="shared" si="6"/>
        <v>-157071.846207947</v>
      </c>
      <c r="G30" s="269">
        <f t="shared" si="6"/>
        <v>-80421.253163941816</v>
      </c>
      <c r="H30" s="269">
        <f t="shared" si="2"/>
        <v>647140.68543147109</v>
      </c>
      <c r="I30" s="269">
        <f t="shared" si="2"/>
        <v>723791.27847547631</v>
      </c>
      <c r="J30" s="269">
        <f t="shared" si="7"/>
        <v>76650.593044005218</v>
      </c>
      <c r="K30" s="269">
        <f t="shared" si="3"/>
        <v>-16096.624539241095</v>
      </c>
      <c r="L30" s="269">
        <f t="shared" si="8"/>
        <v>631.90999673566694</v>
      </c>
      <c r="M30" s="270">
        <f t="shared" si="9"/>
        <v>707694.65393623523</v>
      </c>
      <c r="N30" s="271"/>
      <c r="O30" s="271"/>
      <c r="P30" s="271"/>
      <c r="Q30" s="271"/>
      <c r="R30" s="271"/>
      <c r="S30" s="271"/>
      <c r="T30" s="271"/>
    </row>
    <row r="31" spans="1:20" s="230" customFormat="1">
      <c r="A31" s="267">
        <f t="shared" si="10"/>
        <v>46022</v>
      </c>
      <c r="B31" s="269">
        <f t="shared" si="4"/>
        <v>877322.76178845612</v>
      </c>
      <c r="C31" s="269">
        <f>'EV Capex Summary'!$L$57/12+C30</f>
        <v>877322.76178845612</v>
      </c>
      <c r="D31" s="269">
        <f t="shared" si="12"/>
        <v>17904.69536349941</v>
      </c>
      <c r="E31" s="269">
        <f t="shared" si="11"/>
        <v>14622.046029807601</v>
      </c>
      <c r="F31" s="269">
        <f t="shared" si="6"/>
        <v>-174976.5415714464</v>
      </c>
      <c r="G31" s="269">
        <f t="shared" si="6"/>
        <v>-95043.299193749423</v>
      </c>
      <c r="H31" s="269">
        <f t="shared" si="2"/>
        <v>702346.22021700977</v>
      </c>
      <c r="I31" s="269">
        <f t="shared" si="2"/>
        <v>782279.46259470668</v>
      </c>
      <c r="J31" s="269">
        <f t="shared" si="7"/>
        <v>79933.242377696908</v>
      </c>
      <c r="K31" s="269">
        <f t="shared" si="3"/>
        <v>-16785.98089931635</v>
      </c>
      <c r="L31" s="269">
        <f t="shared" si="8"/>
        <v>689.356360075255</v>
      </c>
      <c r="M31" s="270">
        <f t="shared" si="9"/>
        <v>765493.48169539031</v>
      </c>
      <c r="N31" s="271"/>
      <c r="O31" s="271"/>
      <c r="P31" s="271"/>
      <c r="Q31" s="271"/>
      <c r="R31" s="271"/>
      <c r="S31" s="271"/>
      <c r="T31" s="271"/>
    </row>
    <row r="32" spans="1:20" s="230" customFormat="1">
      <c r="A32" s="267">
        <f t="shared" si="10"/>
        <v>46053</v>
      </c>
      <c r="B32" s="269">
        <f>B31</f>
        <v>877322.76178845612</v>
      </c>
      <c r="C32" s="269">
        <f t="shared" ref="C32:C95" si="13">C31</f>
        <v>877322.76178845612</v>
      </c>
      <c r="D32" s="269">
        <f t="shared" si="12"/>
        <v>17904.69536349941</v>
      </c>
      <c r="E32" s="269">
        <f t="shared" si="11"/>
        <v>14622.046029807601</v>
      </c>
      <c r="F32" s="269">
        <f t="shared" si="6"/>
        <v>-192881.2369349458</v>
      </c>
      <c r="G32" s="269">
        <f t="shared" si="6"/>
        <v>-109665.34522355703</v>
      </c>
      <c r="H32" s="269">
        <f t="shared" si="2"/>
        <v>684441.52485351032</v>
      </c>
      <c r="I32" s="269">
        <f t="shared" si="2"/>
        <v>767657.41656489903</v>
      </c>
      <c r="J32" s="269">
        <f t="shared" si="7"/>
        <v>83215.891711388715</v>
      </c>
      <c r="K32" s="269">
        <f t="shared" si="3"/>
        <v>-17475.337259391628</v>
      </c>
      <c r="L32" s="269">
        <f t="shared" si="8"/>
        <v>689.35636007527864</v>
      </c>
      <c r="M32" s="270">
        <f t="shared" si="9"/>
        <v>750182.07930550736</v>
      </c>
      <c r="N32" s="271"/>
      <c r="O32" s="271"/>
      <c r="P32" s="271"/>
      <c r="Q32" s="271"/>
      <c r="R32" s="271"/>
      <c r="S32" s="271"/>
      <c r="T32" s="271"/>
    </row>
    <row r="33" spans="1:20" s="230" customFormat="1">
      <c r="A33" s="267">
        <f t="shared" si="10"/>
        <v>46081</v>
      </c>
      <c r="B33" s="269">
        <f t="shared" ref="B33:C96" si="14">B32</f>
        <v>877322.76178845612</v>
      </c>
      <c r="C33" s="269">
        <f t="shared" si="13"/>
        <v>877322.76178845612</v>
      </c>
      <c r="D33" s="269">
        <f t="shared" si="12"/>
        <v>17904.69536349941</v>
      </c>
      <c r="E33" s="269">
        <f t="shared" si="11"/>
        <v>14622.046029807601</v>
      </c>
      <c r="F33" s="269">
        <f t="shared" si="6"/>
        <v>-210785.9322984452</v>
      </c>
      <c r="G33" s="269">
        <f t="shared" si="6"/>
        <v>-124287.39125336464</v>
      </c>
      <c r="H33" s="269">
        <f t="shared" si="2"/>
        <v>666536.82949001086</v>
      </c>
      <c r="I33" s="269">
        <f t="shared" si="2"/>
        <v>753035.3705350915</v>
      </c>
      <c r="J33" s="269">
        <f t="shared" si="7"/>
        <v>86498.541045080638</v>
      </c>
      <c r="K33" s="269">
        <f t="shared" si="3"/>
        <v>-18164.693619466932</v>
      </c>
      <c r="L33" s="269">
        <f t="shared" si="8"/>
        <v>689.35636007530411</v>
      </c>
      <c r="M33" s="270">
        <f t="shared" si="9"/>
        <v>734870.67691562453</v>
      </c>
      <c r="N33" s="274"/>
      <c r="O33" s="271"/>
      <c r="P33" s="271"/>
      <c r="Q33" s="271"/>
      <c r="R33" s="271"/>
      <c r="S33" s="271"/>
      <c r="T33" s="271"/>
    </row>
    <row r="34" spans="1:20" s="230" customFormat="1">
      <c r="A34" s="267">
        <f t="shared" si="10"/>
        <v>46112</v>
      </c>
      <c r="B34" s="269">
        <f t="shared" si="14"/>
        <v>877322.76178845612</v>
      </c>
      <c r="C34" s="269">
        <f t="shared" si="13"/>
        <v>877322.76178845612</v>
      </c>
      <c r="D34" s="269">
        <f t="shared" si="12"/>
        <v>17904.69536349941</v>
      </c>
      <c r="E34" s="269">
        <f t="shared" si="11"/>
        <v>14622.046029807601</v>
      </c>
      <c r="F34" s="269">
        <f t="shared" si="6"/>
        <v>-228690.6276619446</v>
      </c>
      <c r="G34" s="269">
        <f t="shared" si="6"/>
        <v>-138909.43728317224</v>
      </c>
      <c r="H34" s="269">
        <f t="shared" si="2"/>
        <v>648632.13412651152</v>
      </c>
      <c r="I34" s="269">
        <f t="shared" si="2"/>
        <v>738413.32450528385</v>
      </c>
      <c r="J34" s="269">
        <f t="shared" si="7"/>
        <v>89781.190378772328</v>
      </c>
      <c r="K34" s="269">
        <f t="shared" si="3"/>
        <v>-18854.049979542189</v>
      </c>
      <c r="L34" s="269">
        <f t="shared" si="8"/>
        <v>689.35636007525682</v>
      </c>
      <c r="M34" s="270">
        <f t="shared" si="9"/>
        <v>719559.2745257417</v>
      </c>
      <c r="N34" s="274"/>
      <c r="O34" s="271"/>
      <c r="P34" s="271"/>
      <c r="Q34" s="271"/>
      <c r="R34" s="271"/>
      <c r="S34" s="271"/>
      <c r="T34" s="271"/>
    </row>
    <row r="35" spans="1:20" s="230" customFormat="1">
      <c r="A35" s="267">
        <f t="shared" si="10"/>
        <v>46142</v>
      </c>
      <c r="B35" s="269">
        <f t="shared" si="14"/>
        <v>877322.76178845612</v>
      </c>
      <c r="C35" s="269">
        <f t="shared" si="13"/>
        <v>877322.76178845612</v>
      </c>
      <c r="D35" s="269">
        <f t="shared" si="12"/>
        <v>17904.69536349941</v>
      </c>
      <c r="E35" s="269">
        <f t="shared" si="11"/>
        <v>14622.046029807601</v>
      </c>
      <c r="F35" s="269">
        <f t="shared" si="6"/>
        <v>-246595.323025444</v>
      </c>
      <c r="G35" s="269">
        <f t="shared" si="6"/>
        <v>-153531.48331297984</v>
      </c>
      <c r="H35" s="269">
        <f t="shared" si="2"/>
        <v>630727.43876301218</v>
      </c>
      <c r="I35" s="269">
        <f t="shared" si="2"/>
        <v>723791.27847547631</v>
      </c>
      <c r="J35" s="269">
        <f t="shared" si="7"/>
        <v>93063.839712464134</v>
      </c>
      <c r="K35" s="269">
        <f t="shared" si="3"/>
        <v>-19543.406339617468</v>
      </c>
      <c r="L35" s="269">
        <f t="shared" si="8"/>
        <v>689.35636007527864</v>
      </c>
      <c r="M35" s="270">
        <f t="shared" si="9"/>
        <v>704247.87213585887</v>
      </c>
      <c r="N35" s="274"/>
      <c r="O35" s="271"/>
      <c r="P35" s="271"/>
      <c r="Q35" s="271"/>
      <c r="R35" s="271"/>
      <c r="S35" s="271"/>
      <c r="T35" s="271"/>
    </row>
    <row r="36" spans="1:20" s="230" customFormat="1">
      <c r="A36" s="267">
        <f t="shared" si="10"/>
        <v>46173</v>
      </c>
      <c r="B36" s="269">
        <f t="shared" si="14"/>
        <v>877322.76178845612</v>
      </c>
      <c r="C36" s="269">
        <f t="shared" si="13"/>
        <v>877322.76178845612</v>
      </c>
      <c r="D36" s="269">
        <f t="shared" si="12"/>
        <v>17904.69536349941</v>
      </c>
      <c r="E36" s="269">
        <f t="shared" si="11"/>
        <v>14622.046029807601</v>
      </c>
      <c r="F36" s="269">
        <f t="shared" si="6"/>
        <v>-264500.0183889434</v>
      </c>
      <c r="G36" s="269">
        <f t="shared" si="6"/>
        <v>-168153.52934278743</v>
      </c>
      <c r="H36" s="269">
        <f t="shared" si="2"/>
        <v>612822.74339951272</v>
      </c>
      <c r="I36" s="269">
        <f t="shared" si="2"/>
        <v>709169.23244566866</v>
      </c>
      <c r="J36" s="269">
        <f t="shared" si="7"/>
        <v>96346.489046155941</v>
      </c>
      <c r="K36" s="269">
        <f t="shared" si="3"/>
        <v>-20232.762699692747</v>
      </c>
      <c r="L36" s="269">
        <f t="shared" si="8"/>
        <v>689.35636007527864</v>
      </c>
      <c r="M36" s="270">
        <f t="shared" si="9"/>
        <v>688936.46974597592</v>
      </c>
      <c r="N36" s="271"/>
      <c r="O36" s="275"/>
      <c r="P36" s="271"/>
      <c r="Q36" s="271"/>
      <c r="R36" s="271"/>
      <c r="S36" s="271"/>
      <c r="T36" s="271"/>
    </row>
    <row r="37" spans="1:20" s="230" customFormat="1">
      <c r="A37" s="267">
        <f t="shared" si="10"/>
        <v>46203</v>
      </c>
      <c r="B37" s="269">
        <f t="shared" si="14"/>
        <v>877322.76178845612</v>
      </c>
      <c r="C37" s="269">
        <f t="shared" si="13"/>
        <v>877322.76178845612</v>
      </c>
      <c r="D37" s="269">
        <f t="shared" si="12"/>
        <v>17904.69536349941</v>
      </c>
      <c r="E37" s="269">
        <f t="shared" si="11"/>
        <v>14622.046029807601</v>
      </c>
      <c r="F37" s="269">
        <f t="shared" ref="F37:G52" si="15">F36-D37</f>
        <v>-282404.7137524428</v>
      </c>
      <c r="G37" s="269">
        <f t="shared" si="15"/>
        <v>-182775.57537259502</v>
      </c>
      <c r="H37" s="269">
        <f t="shared" si="2"/>
        <v>594918.04803601326</v>
      </c>
      <c r="I37" s="269">
        <f t="shared" si="2"/>
        <v>694547.18641586113</v>
      </c>
      <c r="J37" s="269">
        <f t="shared" si="7"/>
        <v>99629.138379847864</v>
      </c>
      <c r="K37" s="269">
        <f t="shared" si="3"/>
        <v>-20922.119059768051</v>
      </c>
      <c r="L37" s="269">
        <f t="shared" si="8"/>
        <v>689.35636007530411</v>
      </c>
      <c r="M37" s="270">
        <f t="shared" si="9"/>
        <v>673625.06735609309</v>
      </c>
      <c r="N37" s="271"/>
      <c r="O37" s="275"/>
      <c r="P37" s="271"/>
      <c r="Q37" s="271"/>
      <c r="R37" s="271"/>
      <c r="S37" s="271"/>
      <c r="T37" s="271"/>
    </row>
    <row r="38" spans="1:20" s="230" customFormat="1">
      <c r="A38" s="267">
        <f t="shared" si="10"/>
        <v>46234</v>
      </c>
      <c r="B38" s="269">
        <f t="shared" si="14"/>
        <v>877322.76178845612</v>
      </c>
      <c r="C38" s="269">
        <f t="shared" si="13"/>
        <v>877322.76178845612</v>
      </c>
      <c r="D38" s="269">
        <f t="shared" si="12"/>
        <v>17904.69536349941</v>
      </c>
      <c r="E38" s="269">
        <f t="shared" si="11"/>
        <v>14622.046029807601</v>
      </c>
      <c r="F38" s="269">
        <f t="shared" si="15"/>
        <v>-300309.4091159422</v>
      </c>
      <c r="G38" s="269">
        <f t="shared" si="15"/>
        <v>-197397.62140240261</v>
      </c>
      <c r="H38" s="269">
        <f t="shared" si="2"/>
        <v>577013.35267251392</v>
      </c>
      <c r="I38" s="269">
        <f t="shared" si="2"/>
        <v>679925.14038605348</v>
      </c>
      <c r="J38" s="269">
        <f t="shared" si="7"/>
        <v>102911.78771353955</v>
      </c>
      <c r="K38" s="269">
        <f t="shared" si="3"/>
        <v>-21611.475419843304</v>
      </c>
      <c r="L38" s="269">
        <f t="shared" si="8"/>
        <v>689.35636007525318</v>
      </c>
      <c r="M38" s="270">
        <f t="shared" si="9"/>
        <v>658313.66496621014</v>
      </c>
      <c r="N38" s="271"/>
      <c r="O38" s="275"/>
      <c r="P38" s="271"/>
      <c r="Q38" s="271"/>
      <c r="R38" s="271"/>
      <c r="S38" s="271"/>
      <c r="T38" s="271"/>
    </row>
    <row r="39" spans="1:20" s="230" customFormat="1">
      <c r="A39" s="267">
        <f t="shared" si="10"/>
        <v>46265</v>
      </c>
      <c r="B39" s="269">
        <f t="shared" si="14"/>
        <v>877322.76178845612</v>
      </c>
      <c r="C39" s="269">
        <f t="shared" si="13"/>
        <v>877322.76178845612</v>
      </c>
      <c r="D39" s="269">
        <f t="shared" si="12"/>
        <v>17904.69536349941</v>
      </c>
      <c r="E39" s="269">
        <f t="shared" si="11"/>
        <v>14622.046029807601</v>
      </c>
      <c r="F39" s="269">
        <f t="shared" si="15"/>
        <v>-318214.10447944159</v>
      </c>
      <c r="G39" s="269">
        <f t="shared" si="15"/>
        <v>-212019.6674322102</v>
      </c>
      <c r="H39" s="269">
        <f t="shared" ref="H39:I74" si="16">B39+F39</f>
        <v>559108.65730901458</v>
      </c>
      <c r="I39" s="269">
        <f t="shared" si="16"/>
        <v>665303.09435624594</v>
      </c>
      <c r="J39" s="269">
        <f t="shared" si="7"/>
        <v>106194.43704723136</v>
      </c>
      <c r="K39" s="269">
        <f t="shared" si="3"/>
        <v>-22300.831779918586</v>
      </c>
      <c r="L39" s="269">
        <f t="shared" si="8"/>
        <v>689.35636007528228</v>
      </c>
      <c r="M39" s="270">
        <f t="shared" si="9"/>
        <v>643002.26257632731</v>
      </c>
      <c r="N39" s="271"/>
      <c r="O39" s="275"/>
      <c r="P39" s="271"/>
      <c r="Q39" s="271"/>
      <c r="R39" s="271"/>
      <c r="S39" s="271"/>
      <c r="T39" s="271"/>
    </row>
    <row r="40" spans="1:20" s="230" customFormat="1">
      <c r="A40" s="267">
        <f t="shared" si="10"/>
        <v>46295</v>
      </c>
      <c r="B40" s="269">
        <f t="shared" si="14"/>
        <v>877322.76178845612</v>
      </c>
      <c r="C40" s="269">
        <f t="shared" si="13"/>
        <v>877322.76178845612</v>
      </c>
      <c r="D40" s="269">
        <f>B40*$D$5/12</f>
        <v>12786.979253066747</v>
      </c>
      <c r="E40" s="269">
        <f t="shared" si="11"/>
        <v>14622.046029807601</v>
      </c>
      <c r="F40" s="269">
        <f t="shared" si="15"/>
        <v>-331001.08373250836</v>
      </c>
      <c r="G40" s="269">
        <f t="shared" si="15"/>
        <v>-226641.7134620178</v>
      </c>
      <c r="H40" s="269">
        <f t="shared" si="16"/>
        <v>546321.67805594776</v>
      </c>
      <c r="I40" s="269">
        <f t="shared" si="16"/>
        <v>650681.04832643829</v>
      </c>
      <c r="J40" s="269">
        <f t="shared" si="7"/>
        <v>104359.37027049053</v>
      </c>
      <c r="K40" s="269">
        <f t="shared" si="3"/>
        <v>-21915.467756803009</v>
      </c>
      <c r="L40" s="269">
        <f t="shared" si="8"/>
        <v>-385.36402311557686</v>
      </c>
      <c r="M40" s="270">
        <f t="shared" si="9"/>
        <v>628765.58056963526</v>
      </c>
      <c r="N40" s="271"/>
      <c r="O40" s="275"/>
      <c r="P40" s="271"/>
      <c r="Q40" s="271"/>
      <c r="R40" s="271"/>
      <c r="S40" s="271"/>
      <c r="T40" s="271"/>
    </row>
    <row r="41" spans="1:20" s="230" customFormat="1">
      <c r="A41" s="267">
        <f t="shared" si="10"/>
        <v>46326</v>
      </c>
      <c r="B41" s="269">
        <f t="shared" si="14"/>
        <v>877322.76178845612</v>
      </c>
      <c r="C41" s="269">
        <f t="shared" si="13"/>
        <v>877322.76178845612</v>
      </c>
      <c r="D41" s="269">
        <f t="shared" ref="D41:D51" si="17">B41*$D$5/12</f>
        <v>12786.979253066747</v>
      </c>
      <c r="E41" s="269">
        <f t="shared" si="11"/>
        <v>14622.046029807601</v>
      </c>
      <c r="F41" s="269">
        <f t="shared" si="15"/>
        <v>-343788.06298557512</v>
      </c>
      <c r="G41" s="269">
        <f t="shared" si="15"/>
        <v>-241263.75949182539</v>
      </c>
      <c r="H41" s="269">
        <f t="shared" si="16"/>
        <v>533534.69880288094</v>
      </c>
      <c r="I41" s="269">
        <f t="shared" si="16"/>
        <v>636059.00229663076</v>
      </c>
      <c r="J41" s="269">
        <f t="shared" si="7"/>
        <v>102524.30349374982</v>
      </c>
      <c r="K41" s="269">
        <f t="shared" si="3"/>
        <v>-21530.103733687461</v>
      </c>
      <c r="L41" s="269">
        <f t="shared" si="8"/>
        <v>-385.36402311554775</v>
      </c>
      <c r="M41" s="270">
        <f t="shared" si="9"/>
        <v>614528.89856294333</v>
      </c>
      <c r="N41" s="271"/>
      <c r="O41" s="275"/>
      <c r="P41" s="271"/>
      <c r="Q41" s="271"/>
      <c r="R41" s="271"/>
      <c r="S41" s="271"/>
      <c r="T41" s="271"/>
    </row>
    <row r="42" spans="1:20" s="230" customFormat="1">
      <c r="A42" s="267">
        <f t="shared" si="10"/>
        <v>46356</v>
      </c>
      <c r="B42" s="269">
        <f t="shared" si="14"/>
        <v>877322.76178845612</v>
      </c>
      <c r="C42" s="269">
        <f t="shared" si="13"/>
        <v>877322.76178845612</v>
      </c>
      <c r="D42" s="269">
        <f t="shared" si="17"/>
        <v>12786.979253066747</v>
      </c>
      <c r="E42" s="269">
        <f t="shared" si="11"/>
        <v>14622.046029807601</v>
      </c>
      <c r="F42" s="269">
        <f t="shared" si="15"/>
        <v>-356575.04223864188</v>
      </c>
      <c r="G42" s="269">
        <f t="shared" si="15"/>
        <v>-255885.80552163298</v>
      </c>
      <c r="H42" s="269">
        <f t="shared" si="16"/>
        <v>520747.71954981424</v>
      </c>
      <c r="I42" s="269">
        <f t="shared" si="16"/>
        <v>621436.95626682311</v>
      </c>
      <c r="J42" s="269">
        <f t="shared" si="7"/>
        <v>100689.23671700887</v>
      </c>
      <c r="K42" s="269">
        <f t="shared" si="3"/>
        <v>-21144.739710571863</v>
      </c>
      <c r="L42" s="269">
        <f t="shared" si="8"/>
        <v>-385.36402311559868</v>
      </c>
      <c r="M42" s="270">
        <f t="shared" si="9"/>
        <v>600292.21655625128</v>
      </c>
      <c r="N42" s="271"/>
      <c r="O42" s="275"/>
      <c r="P42" s="271"/>
      <c r="Q42" s="271"/>
      <c r="R42" s="271"/>
      <c r="S42" s="271"/>
      <c r="T42" s="271"/>
    </row>
    <row r="43" spans="1:20" s="230" customFormat="1">
      <c r="A43" s="267">
        <f t="shared" si="10"/>
        <v>46387</v>
      </c>
      <c r="B43" s="269">
        <f t="shared" si="14"/>
        <v>877322.76178845612</v>
      </c>
      <c r="C43" s="269">
        <f t="shared" si="13"/>
        <v>877322.76178845612</v>
      </c>
      <c r="D43" s="269">
        <f t="shared" si="17"/>
        <v>12786.979253066747</v>
      </c>
      <c r="E43" s="269">
        <f t="shared" si="11"/>
        <v>14622.046029807601</v>
      </c>
      <c r="F43" s="269">
        <f t="shared" si="15"/>
        <v>-369362.02149170864</v>
      </c>
      <c r="G43" s="269">
        <f t="shared" si="15"/>
        <v>-270507.8515514406</v>
      </c>
      <c r="H43" s="269">
        <f t="shared" si="16"/>
        <v>507960.74029674748</v>
      </c>
      <c r="I43" s="269">
        <f t="shared" si="16"/>
        <v>606814.91023701546</v>
      </c>
      <c r="J43" s="269">
        <f t="shared" si="7"/>
        <v>98854.169940267981</v>
      </c>
      <c r="K43" s="269">
        <f t="shared" si="3"/>
        <v>-20759.375687456275</v>
      </c>
      <c r="L43" s="269">
        <f t="shared" si="8"/>
        <v>-385.36402311558777</v>
      </c>
      <c r="M43" s="270">
        <f t="shared" si="9"/>
        <v>586055.53454955923</v>
      </c>
      <c r="N43" s="271"/>
      <c r="O43" s="275"/>
      <c r="P43" s="271"/>
      <c r="Q43" s="271"/>
      <c r="R43" s="271"/>
      <c r="S43" s="271"/>
      <c r="T43" s="271"/>
    </row>
    <row r="44" spans="1:20" s="230" customFormat="1">
      <c r="A44" s="267">
        <f t="shared" si="10"/>
        <v>46418</v>
      </c>
      <c r="B44" s="269">
        <f t="shared" si="14"/>
        <v>877322.76178845612</v>
      </c>
      <c r="C44" s="269">
        <f t="shared" si="13"/>
        <v>877322.76178845612</v>
      </c>
      <c r="D44" s="269">
        <f t="shared" si="17"/>
        <v>12786.979253066747</v>
      </c>
      <c r="E44" s="269">
        <f t="shared" si="11"/>
        <v>14622.046029807601</v>
      </c>
      <c r="F44" s="269">
        <f t="shared" si="15"/>
        <v>-382149.0007447754</v>
      </c>
      <c r="G44" s="269">
        <f t="shared" si="15"/>
        <v>-285129.89758124819</v>
      </c>
      <c r="H44" s="269">
        <f t="shared" si="16"/>
        <v>495173.76104368072</v>
      </c>
      <c r="I44" s="269">
        <f t="shared" si="16"/>
        <v>592192.86420720792</v>
      </c>
      <c r="J44" s="269">
        <f t="shared" si="7"/>
        <v>97019.103163527208</v>
      </c>
      <c r="K44" s="269">
        <f t="shared" si="3"/>
        <v>-20374.011664340713</v>
      </c>
      <c r="L44" s="269">
        <f t="shared" si="8"/>
        <v>-385.3640231155623</v>
      </c>
      <c r="M44" s="270">
        <f t="shared" si="9"/>
        <v>571818.85254286719</v>
      </c>
      <c r="N44" s="271"/>
      <c r="O44" s="275"/>
      <c r="P44" s="271"/>
      <c r="Q44" s="271"/>
      <c r="R44" s="271"/>
      <c r="S44" s="271"/>
      <c r="T44" s="271"/>
    </row>
    <row r="45" spans="1:20" s="230" customFormat="1">
      <c r="A45" s="267">
        <f t="shared" si="10"/>
        <v>46446</v>
      </c>
      <c r="B45" s="269">
        <f t="shared" si="14"/>
        <v>877322.76178845612</v>
      </c>
      <c r="C45" s="269">
        <f t="shared" si="13"/>
        <v>877322.76178845612</v>
      </c>
      <c r="D45" s="269">
        <f t="shared" si="17"/>
        <v>12786.979253066747</v>
      </c>
      <c r="E45" s="269">
        <f t="shared" si="11"/>
        <v>14622.046029807601</v>
      </c>
      <c r="F45" s="269">
        <f t="shared" si="15"/>
        <v>-394935.97999784217</v>
      </c>
      <c r="G45" s="269">
        <f t="shared" si="15"/>
        <v>-299751.94361105579</v>
      </c>
      <c r="H45" s="269">
        <f t="shared" si="16"/>
        <v>482386.78179061395</v>
      </c>
      <c r="I45" s="269">
        <f t="shared" si="16"/>
        <v>577570.81817740039</v>
      </c>
      <c r="J45" s="269">
        <f t="shared" si="7"/>
        <v>95184.036386786436</v>
      </c>
      <c r="K45" s="269">
        <f t="shared" si="3"/>
        <v>-19988.64764122515</v>
      </c>
      <c r="L45" s="269">
        <f t="shared" si="8"/>
        <v>-385.3640231155623</v>
      </c>
      <c r="M45" s="270">
        <f t="shared" si="9"/>
        <v>557582.17053617525</v>
      </c>
      <c r="N45" s="271"/>
      <c r="O45" s="275"/>
      <c r="P45" s="271"/>
      <c r="Q45" s="271"/>
      <c r="R45" s="271"/>
      <c r="S45" s="271"/>
      <c r="T45" s="271"/>
    </row>
    <row r="46" spans="1:20" s="230" customFormat="1">
      <c r="A46" s="267">
        <f t="shared" si="10"/>
        <v>46477</v>
      </c>
      <c r="B46" s="269">
        <f t="shared" si="14"/>
        <v>877322.76178845612</v>
      </c>
      <c r="C46" s="269">
        <f t="shared" si="13"/>
        <v>877322.76178845612</v>
      </c>
      <c r="D46" s="269">
        <f t="shared" si="17"/>
        <v>12786.979253066747</v>
      </c>
      <c r="E46" s="269">
        <f t="shared" si="11"/>
        <v>14622.046029807601</v>
      </c>
      <c r="F46" s="269">
        <f t="shared" si="15"/>
        <v>-407722.95925090893</v>
      </c>
      <c r="G46" s="269">
        <f t="shared" si="15"/>
        <v>-314373.98964086338</v>
      </c>
      <c r="H46" s="269">
        <f t="shared" si="16"/>
        <v>469599.80253754719</v>
      </c>
      <c r="I46" s="269">
        <f t="shared" si="16"/>
        <v>562948.77214759274</v>
      </c>
      <c r="J46" s="269">
        <f t="shared" si="7"/>
        <v>93348.969610045548</v>
      </c>
      <c r="K46" s="269">
        <f t="shared" si="3"/>
        <v>-19603.283618109563</v>
      </c>
      <c r="L46" s="269">
        <f t="shared" si="8"/>
        <v>-385.36402311558777</v>
      </c>
      <c r="M46" s="270">
        <f t="shared" si="9"/>
        <v>543345.48852948321</v>
      </c>
      <c r="N46" s="271"/>
      <c r="O46" s="275"/>
      <c r="P46" s="271"/>
      <c r="Q46" s="271"/>
      <c r="R46" s="271"/>
      <c r="S46" s="271"/>
      <c r="T46" s="271"/>
    </row>
    <row r="47" spans="1:20" s="230" customFormat="1">
      <c r="A47" s="267">
        <f t="shared" si="10"/>
        <v>46507</v>
      </c>
      <c r="B47" s="269">
        <f t="shared" si="14"/>
        <v>877322.76178845612</v>
      </c>
      <c r="C47" s="269">
        <f t="shared" si="13"/>
        <v>877322.76178845612</v>
      </c>
      <c r="D47" s="269">
        <f t="shared" si="17"/>
        <v>12786.979253066747</v>
      </c>
      <c r="E47" s="269">
        <f t="shared" si="11"/>
        <v>14622.046029807601</v>
      </c>
      <c r="F47" s="269">
        <f t="shared" si="15"/>
        <v>-420509.93850397569</v>
      </c>
      <c r="G47" s="269">
        <f t="shared" si="15"/>
        <v>-328996.03567067097</v>
      </c>
      <c r="H47" s="269">
        <f t="shared" si="16"/>
        <v>456812.82328448043</v>
      </c>
      <c r="I47" s="269">
        <f t="shared" si="16"/>
        <v>548326.72611778509</v>
      </c>
      <c r="J47" s="269">
        <f t="shared" si="7"/>
        <v>91513.902833304659</v>
      </c>
      <c r="K47" s="269">
        <f t="shared" si="3"/>
        <v>-19217.919594993979</v>
      </c>
      <c r="L47" s="269">
        <f t="shared" si="8"/>
        <v>-385.36402311558413</v>
      </c>
      <c r="M47" s="270">
        <f t="shared" si="9"/>
        <v>529108.80652279116</v>
      </c>
      <c r="N47" s="271"/>
      <c r="O47" s="275"/>
      <c r="P47" s="271"/>
      <c r="Q47" s="271"/>
      <c r="R47" s="271"/>
      <c r="S47" s="271"/>
      <c r="T47" s="271"/>
    </row>
    <row r="48" spans="1:20" s="230" customFormat="1">
      <c r="A48" s="267">
        <f t="shared" si="10"/>
        <v>46538</v>
      </c>
      <c r="B48" s="269">
        <f t="shared" si="14"/>
        <v>877322.76178845612</v>
      </c>
      <c r="C48" s="269">
        <f t="shared" si="13"/>
        <v>877322.76178845612</v>
      </c>
      <c r="D48" s="269">
        <f t="shared" si="17"/>
        <v>12786.979253066747</v>
      </c>
      <c r="E48" s="269">
        <f t="shared" si="11"/>
        <v>14622.046029807601</v>
      </c>
      <c r="F48" s="269">
        <f t="shared" si="15"/>
        <v>-433296.91775704245</v>
      </c>
      <c r="G48" s="269">
        <f t="shared" si="15"/>
        <v>-343618.08170047856</v>
      </c>
      <c r="H48" s="269">
        <f t="shared" si="16"/>
        <v>444025.84403141367</v>
      </c>
      <c r="I48" s="269">
        <f t="shared" si="16"/>
        <v>533704.68008797755</v>
      </c>
      <c r="J48" s="269">
        <f t="shared" si="7"/>
        <v>89678.836056563887</v>
      </c>
      <c r="K48" s="269">
        <f t="shared" si="3"/>
        <v>-18832.555571878416</v>
      </c>
      <c r="L48" s="269">
        <f t="shared" si="8"/>
        <v>-385.3640231155623</v>
      </c>
      <c r="M48" s="270">
        <f t="shared" si="9"/>
        <v>514872.12451609911</v>
      </c>
      <c r="N48" s="271"/>
      <c r="O48" s="275"/>
      <c r="P48" s="271"/>
      <c r="Q48" s="271"/>
      <c r="R48" s="271"/>
      <c r="S48" s="271"/>
      <c r="T48" s="271"/>
    </row>
    <row r="49" spans="1:20" s="230" customFormat="1">
      <c r="A49" s="267">
        <f t="shared" si="10"/>
        <v>46568</v>
      </c>
      <c r="B49" s="269">
        <f t="shared" si="14"/>
        <v>877322.76178845612</v>
      </c>
      <c r="C49" s="269">
        <f t="shared" si="13"/>
        <v>877322.76178845612</v>
      </c>
      <c r="D49" s="269">
        <f t="shared" si="17"/>
        <v>12786.979253066747</v>
      </c>
      <c r="E49" s="269">
        <f t="shared" si="11"/>
        <v>14622.046029807601</v>
      </c>
      <c r="F49" s="269">
        <f t="shared" si="15"/>
        <v>-446083.89701010921</v>
      </c>
      <c r="G49" s="269">
        <f t="shared" si="15"/>
        <v>-358240.12773028616</v>
      </c>
      <c r="H49" s="269">
        <f t="shared" si="16"/>
        <v>431238.86477834691</v>
      </c>
      <c r="I49" s="269">
        <f t="shared" si="16"/>
        <v>519082.63405816996</v>
      </c>
      <c r="J49" s="269">
        <f t="shared" si="7"/>
        <v>87843.769279823056</v>
      </c>
      <c r="K49" s="269">
        <f t="shared" si="3"/>
        <v>-18447.191548762839</v>
      </c>
      <c r="L49" s="269">
        <f t="shared" si="8"/>
        <v>-385.36402311557686</v>
      </c>
      <c r="M49" s="270">
        <f t="shared" si="9"/>
        <v>500635.44250940712</v>
      </c>
      <c r="N49" s="271"/>
      <c r="O49" s="275"/>
      <c r="P49" s="271"/>
      <c r="Q49" s="271"/>
      <c r="R49" s="271"/>
      <c r="S49" s="271"/>
      <c r="T49" s="271"/>
    </row>
    <row r="50" spans="1:20" s="230" customFormat="1">
      <c r="A50" s="267">
        <f t="shared" si="10"/>
        <v>46599</v>
      </c>
      <c r="B50" s="269">
        <f t="shared" si="14"/>
        <v>877322.76178845612</v>
      </c>
      <c r="C50" s="269">
        <f t="shared" si="13"/>
        <v>877322.76178845612</v>
      </c>
      <c r="D50" s="269">
        <f t="shared" si="17"/>
        <v>12786.979253066747</v>
      </c>
      <c r="E50" s="269">
        <f t="shared" si="11"/>
        <v>14622.046029807601</v>
      </c>
      <c r="F50" s="269">
        <f t="shared" si="15"/>
        <v>-458870.87626317597</v>
      </c>
      <c r="G50" s="269">
        <f t="shared" si="15"/>
        <v>-372862.17376009375</v>
      </c>
      <c r="H50" s="269">
        <f t="shared" si="16"/>
        <v>418451.88552528014</v>
      </c>
      <c r="I50" s="269">
        <f t="shared" si="16"/>
        <v>504460.58802836237</v>
      </c>
      <c r="J50" s="269">
        <f t="shared" si="7"/>
        <v>86008.702503082226</v>
      </c>
      <c r="K50" s="269">
        <f t="shared" si="3"/>
        <v>-18061.827525647266</v>
      </c>
      <c r="L50" s="269">
        <f t="shared" si="8"/>
        <v>-385.36402311557322</v>
      </c>
      <c r="M50" s="270">
        <f t="shared" si="9"/>
        <v>486398.76050271513</v>
      </c>
      <c r="N50" s="271"/>
      <c r="O50" s="275"/>
      <c r="P50" s="271"/>
      <c r="Q50" s="271"/>
      <c r="R50" s="271"/>
      <c r="S50" s="271"/>
      <c r="T50" s="271"/>
    </row>
    <row r="51" spans="1:20" s="230" customFormat="1">
      <c r="A51" s="267">
        <f t="shared" si="10"/>
        <v>46630</v>
      </c>
      <c r="B51" s="269">
        <f t="shared" si="14"/>
        <v>877322.76178845612</v>
      </c>
      <c r="C51" s="269">
        <f t="shared" si="13"/>
        <v>877322.76178845612</v>
      </c>
      <c r="D51" s="269">
        <f t="shared" si="17"/>
        <v>12786.979253066747</v>
      </c>
      <c r="E51" s="269">
        <f t="shared" si="11"/>
        <v>14622.046029807601</v>
      </c>
      <c r="F51" s="269">
        <f t="shared" si="15"/>
        <v>-471657.85551624274</v>
      </c>
      <c r="G51" s="269">
        <f t="shared" si="15"/>
        <v>-387484.21978990134</v>
      </c>
      <c r="H51" s="269">
        <f t="shared" si="16"/>
        <v>405664.90627221338</v>
      </c>
      <c r="I51" s="269">
        <f t="shared" si="16"/>
        <v>489838.54199855478</v>
      </c>
      <c r="J51" s="269">
        <f t="shared" si="7"/>
        <v>84173.635726341396</v>
      </c>
      <c r="K51" s="269">
        <f t="shared" si="3"/>
        <v>-17676.463502531693</v>
      </c>
      <c r="L51" s="269">
        <f t="shared" si="8"/>
        <v>-385.36402311557322</v>
      </c>
      <c r="M51" s="270">
        <f t="shared" si="9"/>
        <v>472162.07849602308</v>
      </c>
      <c r="N51" s="271"/>
      <c r="O51" s="275"/>
      <c r="P51" s="271"/>
      <c r="Q51" s="271"/>
      <c r="R51" s="271"/>
      <c r="S51" s="271"/>
      <c r="T51" s="271"/>
    </row>
    <row r="52" spans="1:20" s="230" customFormat="1">
      <c r="A52" s="267">
        <f t="shared" si="10"/>
        <v>46660</v>
      </c>
      <c r="B52" s="269">
        <f t="shared" si="14"/>
        <v>877322.76178845612</v>
      </c>
      <c r="C52" s="269">
        <f t="shared" si="13"/>
        <v>877322.76178845612</v>
      </c>
      <c r="D52" s="269">
        <f>B52*$E$5/12</f>
        <v>9131.4677456148474</v>
      </c>
      <c r="E52" s="269">
        <f t="shared" si="11"/>
        <v>14622.046029807601</v>
      </c>
      <c r="F52" s="269">
        <f t="shared" si="15"/>
        <v>-480789.32326185756</v>
      </c>
      <c r="G52" s="269">
        <f t="shared" si="15"/>
        <v>-402106.26581970893</v>
      </c>
      <c r="H52" s="269">
        <f t="shared" si="16"/>
        <v>396533.43852659856</v>
      </c>
      <c r="I52" s="269">
        <f t="shared" si="16"/>
        <v>475216.49596874719</v>
      </c>
      <c r="J52" s="269">
        <f t="shared" si="7"/>
        <v>78683.057442148624</v>
      </c>
      <c r="K52" s="269">
        <f t="shared" ref="K52:K83" si="18">-J52*$K$15</f>
        <v>-16523.442062851209</v>
      </c>
      <c r="L52" s="269">
        <f t="shared" si="8"/>
        <v>-1153.021439680484</v>
      </c>
      <c r="M52" s="270">
        <f t="shared" si="9"/>
        <v>458693.05390589597</v>
      </c>
      <c r="N52" s="271"/>
      <c r="O52" s="275"/>
      <c r="P52" s="271"/>
      <c r="Q52" s="271"/>
      <c r="R52" s="271"/>
      <c r="S52" s="271"/>
      <c r="T52" s="271"/>
    </row>
    <row r="53" spans="1:20" s="230" customFormat="1">
      <c r="A53" s="267">
        <f t="shared" si="10"/>
        <v>46691</v>
      </c>
      <c r="B53" s="269">
        <f t="shared" si="14"/>
        <v>877322.76178845612</v>
      </c>
      <c r="C53" s="269">
        <f t="shared" si="13"/>
        <v>877322.76178845612</v>
      </c>
      <c r="D53" s="269">
        <f t="shared" ref="D53:D63" si="19">B53*$E$5/12</f>
        <v>9131.4677456148474</v>
      </c>
      <c r="E53" s="269">
        <f t="shared" si="11"/>
        <v>14622.046029807601</v>
      </c>
      <c r="F53" s="269">
        <f t="shared" ref="F53:G68" si="20">F52-D53</f>
        <v>-489920.79100747238</v>
      </c>
      <c r="G53" s="269">
        <f t="shared" si="20"/>
        <v>-416728.31184951653</v>
      </c>
      <c r="H53" s="269">
        <f t="shared" si="16"/>
        <v>387401.97078098374</v>
      </c>
      <c r="I53" s="269">
        <f t="shared" si="16"/>
        <v>460594.44993893959</v>
      </c>
      <c r="J53" s="269">
        <f t="shared" si="7"/>
        <v>73192.479157955851</v>
      </c>
      <c r="K53" s="269">
        <f t="shared" si="18"/>
        <v>-15370.420623170729</v>
      </c>
      <c r="L53" s="269">
        <f t="shared" si="8"/>
        <v>-1153.0214396804804</v>
      </c>
      <c r="M53" s="270">
        <f t="shared" si="9"/>
        <v>445224.02931576886</v>
      </c>
      <c r="N53" s="271"/>
      <c r="O53" s="275"/>
      <c r="P53" s="271"/>
      <c r="Q53" s="271"/>
      <c r="R53" s="271"/>
      <c r="S53" s="271"/>
      <c r="T53" s="271"/>
    </row>
    <row r="54" spans="1:20" s="230" customFormat="1">
      <c r="A54" s="267">
        <f t="shared" si="10"/>
        <v>46721</v>
      </c>
      <c r="B54" s="269">
        <f t="shared" si="14"/>
        <v>877322.76178845612</v>
      </c>
      <c r="C54" s="269">
        <f t="shared" si="13"/>
        <v>877322.76178845612</v>
      </c>
      <c r="D54" s="269">
        <f t="shared" si="19"/>
        <v>9131.4677456148474</v>
      </c>
      <c r="E54" s="269">
        <f t="shared" si="11"/>
        <v>14622.046029807601</v>
      </c>
      <c r="F54" s="269">
        <f t="shared" si="20"/>
        <v>-499052.2587530872</v>
      </c>
      <c r="G54" s="269">
        <f t="shared" si="20"/>
        <v>-431350.35787932412</v>
      </c>
      <c r="H54" s="269">
        <f t="shared" si="16"/>
        <v>378270.50303536892</v>
      </c>
      <c r="I54" s="269">
        <f t="shared" si="16"/>
        <v>445972.403909132</v>
      </c>
      <c r="J54" s="269">
        <f t="shared" si="7"/>
        <v>67701.900873763079</v>
      </c>
      <c r="K54" s="269">
        <f t="shared" si="18"/>
        <v>-14217.399183490246</v>
      </c>
      <c r="L54" s="269">
        <f t="shared" si="8"/>
        <v>-1153.0214396804822</v>
      </c>
      <c r="M54" s="270">
        <f t="shared" si="9"/>
        <v>431755.00472564175</v>
      </c>
      <c r="N54" s="271"/>
      <c r="O54" s="275"/>
      <c r="P54" s="271"/>
      <c r="Q54" s="271"/>
      <c r="R54" s="271"/>
      <c r="S54" s="271"/>
      <c r="T54" s="271"/>
    </row>
    <row r="55" spans="1:20" s="230" customFormat="1">
      <c r="A55" s="267">
        <f t="shared" si="10"/>
        <v>46752</v>
      </c>
      <c r="B55" s="269">
        <f t="shared" si="14"/>
        <v>877322.76178845612</v>
      </c>
      <c r="C55" s="269">
        <f t="shared" si="13"/>
        <v>877322.76178845612</v>
      </c>
      <c r="D55" s="269">
        <f t="shared" si="19"/>
        <v>9131.4677456148474</v>
      </c>
      <c r="E55" s="269">
        <f t="shared" si="11"/>
        <v>14622.046029807601</v>
      </c>
      <c r="F55" s="269">
        <f t="shared" si="20"/>
        <v>-508183.72649870202</v>
      </c>
      <c r="G55" s="269">
        <f t="shared" si="20"/>
        <v>-445972.40390913171</v>
      </c>
      <c r="H55" s="269">
        <f t="shared" si="16"/>
        <v>369139.0352897541</v>
      </c>
      <c r="I55" s="269">
        <f t="shared" si="16"/>
        <v>431350.35787932441</v>
      </c>
      <c r="J55" s="269">
        <f t="shared" si="7"/>
        <v>62211.322589570307</v>
      </c>
      <c r="K55" s="269">
        <f t="shared" si="18"/>
        <v>-13064.377743809764</v>
      </c>
      <c r="L55" s="269">
        <f t="shared" si="8"/>
        <v>-1153.0214396804822</v>
      </c>
      <c r="M55" s="270">
        <f t="shared" si="9"/>
        <v>418285.98013551463</v>
      </c>
      <c r="N55" s="271"/>
      <c r="O55" s="275"/>
      <c r="P55" s="271"/>
      <c r="Q55" s="271"/>
      <c r="R55" s="271"/>
      <c r="S55" s="271"/>
      <c r="T55" s="271"/>
    </row>
    <row r="56" spans="1:20" s="230" customFormat="1">
      <c r="A56" s="267">
        <f t="shared" si="10"/>
        <v>46783</v>
      </c>
      <c r="B56" s="269">
        <f t="shared" si="14"/>
        <v>877322.76178845612</v>
      </c>
      <c r="C56" s="269">
        <f t="shared" si="13"/>
        <v>877322.76178845612</v>
      </c>
      <c r="D56" s="269">
        <f t="shared" si="19"/>
        <v>9131.4677456148474</v>
      </c>
      <c r="E56" s="269">
        <f t="shared" si="11"/>
        <v>14622.046029807601</v>
      </c>
      <c r="F56" s="269">
        <f t="shared" si="20"/>
        <v>-517315.19424431684</v>
      </c>
      <c r="G56" s="269">
        <f t="shared" si="20"/>
        <v>-460594.4499389393</v>
      </c>
      <c r="H56" s="269">
        <f t="shared" si="16"/>
        <v>360007.56754413928</v>
      </c>
      <c r="I56" s="269">
        <f t="shared" si="16"/>
        <v>416728.31184951682</v>
      </c>
      <c r="J56" s="269">
        <f t="shared" si="7"/>
        <v>56720.744305377535</v>
      </c>
      <c r="K56" s="269">
        <f t="shared" si="18"/>
        <v>-11911.356304129282</v>
      </c>
      <c r="L56" s="269">
        <f t="shared" si="8"/>
        <v>-1153.0214396804822</v>
      </c>
      <c r="M56" s="270">
        <f t="shared" si="9"/>
        <v>404816.95554538752</v>
      </c>
      <c r="N56" s="271"/>
      <c r="O56" s="275"/>
      <c r="P56" s="271"/>
      <c r="Q56" s="271"/>
      <c r="R56" s="271"/>
      <c r="S56" s="271"/>
      <c r="T56" s="271"/>
    </row>
    <row r="57" spans="1:20" s="230" customFormat="1">
      <c r="A57" s="267">
        <f t="shared" si="10"/>
        <v>46812</v>
      </c>
      <c r="B57" s="269">
        <f t="shared" si="14"/>
        <v>877322.76178845612</v>
      </c>
      <c r="C57" s="269">
        <f t="shared" si="13"/>
        <v>877322.76178845612</v>
      </c>
      <c r="D57" s="269">
        <f t="shared" si="19"/>
        <v>9131.4677456148474</v>
      </c>
      <c r="E57" s="269">
        <f t="shared" si="11"/>
        <v>14622.046029807601</v>
      </c>
      <c r="F57" s="269">
        <f t="shared" si="20"/>
        <v>-526446.66198993172</v>
      </c>
      <c r="G57" s="269">
        <f t="shared" si="20"/>
        <v>-475216.49596874689</v>
      </c>
      <c r="H57" s="269">
        <f t="shared" si="16"/>
        <v>350876.0997985244</v>
      </c>
      <c r="I57" s="269">
        <f t="shared" si="16"/>
        <v>402106.26581970922</v>
      </c>
      <c r="J57" s="269">
        <f t="shared" si="7"/>
        <v>51230.166021184821</v>
      </c>
      <c r="K57" s="269">
        <f t="shared" si="18"/>
        <v>-10758.334864448812</v>
      </c>
      <c r="L57" s="269">
        <f t="shared" si="8"/>
        <v>-1153.0214396804695</v>
      </c>
      <c r="M57" s="270">
        <f t="shared" si="9"/>
        <v>391347.93095526041</v>
      </c>
      <c r="N57" s="271"/>
      <c r="O57" s="275"/>
      <c r="P57" s="271"/>
      <c r="Q57" s="271"/>
      <c r="R57" s="271"/>
      <c r="S57" s="271"/>
      <c r="T57" s="271"/>
    </row>
    <row r="58" spans="1:20" s="230" customFormat="1">
      <c r="A58" s="267">
        <f t="shared" si="10"/>
        <v>46843</v>
      </c>
      <c r="B58" s="269">
        <f t="shared" si="14"/>
        <v>877322.76178845612</v>
      </c>
      <c r="C58" s="269">
        <f t="shared" si="13"/>
        <v>877322.76178845612</v>
      </c>
      <c r="D58" s="269">
        <f t="shared" si="19"/>
        <v>9131.4677456148474</v>
      </c>
      <c r="E58" s="269">
        <f t="shared" si="11"/>
        <v>14622.046029807601</v>
      </c>
      <c r="F58" s="269">
        <f t="shared" si="20"/>
        <v>-535578.12973554654</v>
      </c>
      <c r="G58" s="269">
        <f t="shared" si="20"/>
        <v>-489838.54199855449</v>
      </c>
      <c r="H58" s="269">
        <f t="shared" si="16"/>
        <v>341744.63205290958</v>
      </c>
      <c r="I58" s="269">
        <f t="shared" si="16"/>
        <v>387484.21978990163</v>
      </c>
      <c r="J58" s="269">
        <f t="shared" si="7"/>
        <v>45739.587736992049</v>
      </c>
      <c r="K58" s="269">
        <f t="shared" si="18"/>
        <v>-9605.3134247683302</v>
      </c>
      <c r="L58" s="269">
        <f t="shared" si="8"/>
        <v>-1153.0214396804822</v>
      </c>
      <c r="M58" s="270">
        <f t="shared" si="9"/>
        <v>377878.9063651333</v>
      </c>
      <c r="N58" s="271"/>
      <c r="O58" s="275"/>
      <c r="P58" s="271"/>
      <c r="Q58" s="271"/>
      <c r="R58" s="271"/>
      <c r="S58" s="271"/>
      <c r="T58" s="271"/>
    </row>
    <row r="59" spans="1:20" s="230" customFormat="1">
      <c r="A59" s="267">
        <f t="shared" si="10"/>
        <v>46873</v>
      </c>
      <c r="B59" s="269">
        <f t="shared" si="14"/>
        <v>877322.76178845612</v>
      </c>
      <c r="C59" s="269">
        <f t="shared" si="13"/>
        <v>877322.76178845612</v>
      </c>
      <c r="D59" s="269">
        <f t="shared" si="19"/>
        <v>9131.4677456148474</v>
      </c>
      <c r="E59" s="269">
        <f t="shared" si="11"/>
        <v>14622.046029807601</v>
      </c>
      <c r="F59" s="269">
        <f t="shared" si="20"/>
        <v>-544709.59748116136</v>
      </c>
      <c r="G59" s="269">
        <f t="shared" si="20"/>
        <v>-504460.58802836208</v>
      </c>
      <c r="H59" s="269">
        <f t="shared" si="16"/>
        <v>332613.16430729476</v>
      </c>
      <c r="I59" s="269">
        <f t="shared" si="16"/>
        <v>372862.17376009404</v>
      </c>
      <c r="J59" s="269">
        <f t="shared" si="7"/>
        <v>40249.009452799277</v>
      </c>
      <c r="K59" s="269">
        <f t="shared" si="18"/>
        <v>-8452.2919850878479</v>
      </c>
      <c r="L59" s="269">
        <f t="shared" si="8"/>
        <v>-1153.0214396804822</v>
      </c>
      <c r="M59" s="270">
        <f t="shared" si="9"/>
        <v>364409.88177500619</v>
      </c>
      <c r="N59" s="271"/>
      <c r="O59" s="271"/>
      <c r="P59" s="271"/>
      <c r="Q59" s="271"/>
      <c r="R59" s="271"/>
      <c r="S59" s="271"/>
      <c r="T59" s="271"/>
    </row>
    <row r="60" spans="1:20" s="230" customFormat="1">
      <c r="A60" s="267">
        <f t="shared" si="10"/>
        <v>46904</v>
      </c>
      <c r="B60" s="269">
        <f t="shared" si="14"/>
        <v>877322.76178845612</v>
      </c>
      <c r="C60" s="269">
        <f t="shared" si="13"/>
        <v>877322.76178845612</v>
      </c>
      <c r="D60" s="269">
        <f t="shared" si="19"/>
        <v>9131.4677456148474</v>
      </c>
      <c r="E60" s="269">
        <f t="shared" si="11"/>
        <v>14622.046029807601</v>
      </c>
      <c r="F60" s="269">
        <f t="shared" si="20"/>
        <v>-553841.06522677618</v>
      </c>
      <c r="G60" s="269">
        <f t="shared" si="20"/>
        <v>-519082.63405816967</v>
      </c>
      <c r="H60" s="269">
        <f t="shared" si="16"/>
        <v>323481.69656167994</v>
      </c>
      <c r="I60" s="269">
        <f t="shared" si="16"/>
        <v>358240.12773028645</v>
      </c>
      <c r="J60" s="269">
        <f t="shared" si="7"/>
        <v>34758.431168606505</v>
      </c>
      <c r="K60" s="269">
        <f t="shared" si="18"/>
        <v>-7299.2705454073657</v>
      </c>
      <c r="L60" s="269">
        <f t="shared" si="8"/>
        <v>-1153.0214396804822</v>
      </c>
      <c r="M60" s="270">
        <f t="shared" si="9"/>
        <v>350940.85718487907</v>
      </c>
      <c r="N60" s="271"/>
      <c r="O60" s="271"/>
      <c r="P60" s="271"/>
      <c r="Q60" s="271"/>
      <c r="R60" s="271"/>
      <c r="S60" s="271"/>
      <c r="T60" s="271"/>
    </row>
    <row r="61" spans="1:20" s="230" customFormat="1">
      <c r="A61" s="267">
        <f t="shared" si="10"/>
        <v>46934</v>
      </c>
      <c r="B61" s="269">
        <f t="shared" si="14"/>
        <v>877322.76178845612</v>
      </c>
      <c r="C61" s="269">
        <f t="shared" si="13"/>
        <v>877322.76178845612</v>
      </c>
      <c r="D61" s="269">
        <f t="shared" si="19"/>
        <v>9131.4677456148474</v>
      </c>
      <c r="E61" s="269">
        <f t="shared" si="11"/>
        <v>14622.046029807601</v>
      </c>
      <c r="F61" s="269">
        <f t="shared" si="20"/>
        <v>-562972.532972391</v>
      </c>
      <c r="G61" s="269">
        <f t="shared" si="20"/>
        <v>-533704.68008797732</v>
      </c>
      <c r="H61" s="269">
        <f t="shared" si="16"/>
        <v>314350.22881606512</v>
      </c>
      <c r="I61" s="269">
        <f t="shared" si="16"/>
        <v>343618.0817004788</v>
      </c>
      <c r="J61" s="269">
        <f t="shared" si="7"/>
        <v>29267.852884413674</v>
      </c>
      <c r="K61" s="269">
        <f t="shared" si="18"/>
        <v>-6146.2491057268717</v>
      </c>
      <c r="L61" s="269">
        <f t="shared" si="8"/>
        <v>-1153.021439680494</v>
      </c>
      <c r="M61" s="270">
        <f t="shared" si="9"/>
        <v>337471.8325947519</v>
      </c>
      <c r="N61" s="271"/>
      <c r="O61" s="271"/>
      <c r="P61" s="271"/>
      <c r="Q61" s="271"/>
      <c r="R61" s="271"/>
      <c r="S61" s="271"/>
      <c r="T61" s="271"/>
    </row>
    <row r="62" spans="1:20" s="230" customFormat="1" ht="15">
      <c r="A62" s="267">
        <f t="shared" si="10"/>
        <v>46965</v>
      </c>
      <c r="B62" s="269">
        <f t="shared" si="14"/>
        <v>877322.76178845612</v>
      </c>
      <c r="C62" s="269">
        <f t="shared" si="13"/>
        <v>877322.76178845612</v>
      </c>
      <c r="D62" s="269">
        <f t="shared" si="19"/>
        <v>9131.4677456148474</v>
      </c>
      <c r="E62" s="269">
        <f t="shared" si="11"/>
        <v>14622.046029807601</v>
      </c>
      <c r="F62" s="269">
        <f t="shared" si="20"/>
        <v>-572104.00071800582</v>
      </c>
      <c r="G62" s="269">
        <f t="shared" si="20"/>
        <v>-548326.72611778497</v>
      </c>
      <c r="H62" s="269">
        <f t="shared" si="16"/>
        <v>305218.7610704503</v>
      </c>
      <c r="I62" s="269">
        <f t="shared" si="16"/>
        <v>328996.03567067115</v>
      </c>
      <c r="J62" s="269">
        <f t="shared" si="7"/>
        <v>23777.274600220844</v>
      </c>
      <c r="K62" s="269">
        <f t="shared" si="18"/>
        <v>-4993.2276660463767</v>
      </c>
      <c r="L62" s="269">
        <f t="shared" si="8"/>
        <v>-1153.021439680495</v>
      </c>
      <c r="M62" s="270">
        <f t="shared" si="9"/>
        <v>324002.80800462479</v>
      </c>
      <c r="N62" s="97"/>
      <c r="O62" s="271"/>
      <c r="P62" s="271"/>
      <c r="Q62" s="271"/>
      <c r="R62" s="271"/>
      <c r="S62" s="271"/>
      <c r="T62" s="271"/>
    </row>
    <row r="63" spans="1:20" s="230" customFormat="1" ht="15">
      <c r="A63" s="267">
        <f t="shared" si="10"/>
        <v>46996</v>
      </c>
      <c r="B63" s="269">
        <f t="shared" si="14"/>
        <v>877322.76178845612</v>
      </c>
      <c r="C63" s="269">
        <f t="shared" si="13"/>
        <v>877322.76178845612</v>
      </c>
      <c r="D63" s="269">
        <f t="shared" si="19"/>
        <v>9131.4677456148474</v>
      </c>
      <c r="E63" s="269">
        <f t="shared" si="11"/>
        <v>14622.046029807601</v>
      </c>
      <c r="F63" s="269">
        <f t="shared" si="20"/>
        <v>-581235.46846362064</v>
      </c>
      <c r="G63" s="269">
        <f t="shared" si="20"/>
        <v>-562948.77214759262</v>
      </c>
      <c r="H63" s="269">
        <f t="shared" si="16"/>
        <v>296087.29332483548</v>
      </c>
      <c r="I63" s="269">
        <f t="shared" si="16"/>
        <v>314373.9896408635</v>
      </c>
      <c r="J63" s="269">
        <f t="shared" si="7"/>
        <v>18286.696316028014</v>
      </c>
      <c r="K63" s="269">
        <f t="shared" si="18"/>
        <v>-3840.2062263658827</v>
      </c>
      <c r="L63" s="269">
        <f t="shared" si="8"/>
        <v>-1153.021439680494</v>
      </c>
      <c r="M63" s="270">
        <f t="shared" si="9"/>
        <v>310533.78341449762</v>
      </c>
      <c r="N63" s="21"/>
      <c r="O63" s="271"/>
      <c r="P63" s="271"/>
      <c r="Q63" s="271"/>
      <c r="R63" s="271"/>
      <c r="S63" s="271"/>
      <c r="T63" s="271"/>
    </row>
    <row r="64" spans="1:20" s="230" customFormat="1" ht="15">
      <c r="A64" s="267">
        <f t="shared" si="10"/>
        <v>47026</v>
      </c>
      <c r="B64" s="269">
        <f t="shared" si="14"/>
        <v>877322.76178845612</v>
      </c>
      <c r="C64" s="269">
        <f t="shared" si="13"/>
        <v>877322.76178845612</v>
      </c>
      <c r="D64" s="269">
        <f t="shared" ref="D64:D75" si="21">B64*$F$5/12</f>
        <v>6528.7435523090944</v>
      </c>
      <c r="E64" s="269">
        <f t="shared" si="11"/>
        <v>14622.046029807601</v>
      </c>
      <c r="F64" s="269">
        <f t="shared" si="20"/>
        <v>-587764.21201592975</v>
      </c>
      <c r="G64" s="269">
        <f t="shared" si="20"/>
        <v>-577570.81817740027</v>
      </c>
      <c r="H64" s="269">
        <f t="shared" si="16"/>
        <v>289558.54977252637</v>
      </c>
      <c r="I64" s="269">
        <f t="shared" si="16"/>
        <v>299751.94361105585</v>
      </c>
      <c r="J64" s="269">
        <f t="shared" si="7"/>
        <v>10193.393838529475</v>
      </c>
      <c r="K64" s="269">
        <f t="shared" si="18"/>
        <v>-2140.6127060911895</v>
      </c>
      <c r="L64" s="269">
        <f t="shared" si="8"/>
        <v>-1699.5935202746932</v>
      </c>
      <c r="M64" s="270">
        <f t="shared" si="9"/>
        <v>297611.33090496465</v>
      </c>
      <c r="N64" s="21"/>
      <c r="O64" s="271"/>
      <c r="P64" s="271"/>
      <c r="Q64" s="271"/>
      <c r="R64" s="271"/>
      <c r="S64" s="271"/>
      <c r="T64" s="271"/>
    </row>
    <row r="65" spans="1:20" s="230" customFormat="1" ht="15">
      <c r="A65" s="267">
        <f t="shared" si="10"/>
        <v>47057</v>
      </c>
      <c r="B65" s="269">
        <f t="shared" si="14"/>
        <v>877322.76178845612</v>
      </c>
      <c r="C65" s="269">
        <f t="shared" si="13"/>
        <v>877322.76178845612</v>
      </c>
      <c r="D65" s="269">
        <f t="shared" si="21"/>
        <v>6528.7435523090944</v>
      </c>
      <c r="E65" s="269">
        <f t="shared" si="11"/>
        <v>14622.046029807601</v>
      </c>
      <c r="F65" s="269">
        <f t="shared" si="20"/>
        <v>-594292.95556823886</v>
      </c>
      <c r="G65" s="269">
        <f t="shared" si="20"/>
        <v>-592192.86420720792</v>
      </c>
      <c r="H65" s="269">
        <f t="shared" si="16"/>
        <v>283029.80622021726</v>
      </c>
      <c r="I65" s="269">
        <f t="shared" si="16"/>
        <v>285129.89758124819</v>
      </c>
      <c r="J65" s="269">
        <f t="shared" si="7"/>
        <v>2100.0913610309362</v>
      </c>
      <c r="K65" s="269">
        <f t="shared" si="18"/>
        <v>-441.01918581649659</v>
      </c>
      <c r="L65" s="269">
        <f t="shared" si="8"/>
        <v>-1699.5935202746928</v>
      </c>
      <c r="M65" s="270">
        <f t="shared" si="9"/>
        <v>284688.87839543168</v>
      </c>
      <c r="N65" s="21"/>
      <c r="O65" s="271"/>
      <c r="P65" s="271"/>
      <c r="Q65" s="271"/>
      <c r="R65" s="271"/>
      <c r="S65" s="271"/>
      <c r="T65" s="271"/>
    </row>
    <row r="66" spans="1:20" s="230" customFormat="1" ht="15">
      <c r="A66" s="267">
        <f t="shared" si="10"/>
        <v>47087</v>
      </c>
      <c r="B66" s="269">
        <f t="shared" si="14"/>
        <v>877322.76178845612</v>
      </c>
      <c r="C66" s="269">
        <f t="shared" si="13"/>
        <v>877322.76178845612</v>
      </c>
      <c r="D66" s="269">
        <f t="shared" si="21"/>
        <v>6528.7435523090944</v>
      </c>
      <c r="E66" s="269">
        <f t="shared" si="11"/>
        <v>14622.046029807601</v>
      </c>
      <c r="F66" s="269">
        <f t="shared" si="20"/>
        <v>-600821.69912054797</v>
      </c>
      <c r="G66" s="269">
        <f t="shared" si="20"/>
        <v>-606814.91023701557</v>
      </c>
      <c r="H66" s="269">
        <f t="shared" si="16"/>
        <v>276501.06266790815</v>
      </c>
      <c r="I66" s="269">
        <f t="shared" si="16"/>
        <v>270507.85155144054</v>
      </c>
      <c r="J66" s="269">
        <f t="shared" si="7"/>
        <v>-5993.2111164676026</v>
      </c>
      <c r="K66" s="269">
        <f t="shared" si="18"/>
        <v>1258.5743344581965</v>
      </c>
      <c r="L66" s="269">
        <f t="shared" si="8"/>
        <v>-1699.5935202746932</v>
      </c>
      <c r="M66" s="270">
        <f t="shared" si="9"/>
        <v>271766.42588589876</v>
      </c>
      <c r="N66" s="21"/>
      <c r="O66" s="271"/>
      <c r="P66" s="271"/>
      <c r="Q66" s="271"/>
      <c r="R66" s="271"/>
      <c r="S66" s="271"/>
      <c r="T66" s="271"/>
    </row>
    <row r="67" spans="1:20" s="230" customFormat="1" ht="15">
      <c r="A67" s="267">
        <f t="shared" si="10"/>
        <v>47118</v>
      </c>
      <c r="B67" s="269">
        <f t="shared" si="14"/>
        <v>877322.76178845612</v>
      </c>
      <c r="C67" s="269">
        <f t="shared" si="13"/>
        <v>877322.76178845612</v>
      </c>
      <c r="D67" s="269">
        <f t="shared" si="21"/>
        <v>6528.7435523090944</v>
      </c>
      <c r="E67" s="269">
        <f t="shared" si="11"/>
        <v>14622.046029807601</v>
      </c>
      <c r="F67" s="269">
        <f t="shared" si="20"/>
        <v>-607350.44267285708</v>
      </c>
      <c r="G67" s="269">
        <f t="shared" si="20"/>
        <v>-621436.95626682322</v>
      </c>
      <c r="H67" s="269">
        <f t="shared" si="16"/>
        <v>269972.31911559904</v>
      </c>
      <c r="I67" s="269">
        <f t="shared" si="16"/>
        <v>255885.80552163289</v>
      </c>
      <c r="J67" s="269">
        <f t="shared" si="7"/>
        <v>-14086.513593966141</v>
      </c>
      <c r="K67" s="269">
        <f t="shared" si="18"/>
        <v>2958.1678547328897</v>
      </c>
      <c r="L67" s="269">
        <f t="shared" si="8"/>
        <v>-1699.5935202746932</v>
      </c>
      <c r="M67" s="270">
        <f t="shared" si="9"/>
        <v>258843.97337636579</v>
      </c>
      <c r="N67" s="21"/>
      <c r="O67" s="271"/>
      <c r="P67" s="271"/>
      <c r="Q67" s="271"/>
      <c r="R67" s="271"/>
      <c r="S67" s="271"/>
      <c r="T67" s="271"/>
    </row>
    <row r="68" spans="1:20" s="230" customFormat="1" ht="15">
      <c r="A68" s="267">
        <f t="shared" si="10"/>
        <v>47149</v>
      </c>
      <c r="B68" s="269">
        <f t="shared" si="14"/>
        <v>877322.76178845612</v>
      </c>
      <c r="C68" s="269">
        <f t="shared" si="13"/>
        <v>877322.76178845612</v>
      </c>
      <c r="D68" s="269">
        <f t="shared" si="21"/>
        <v>6528.7435523090944</v>
      </c>
      <c r="E68" s="269">
        <f t="shared" si="11"/>
        <v>14622.046029807601</v>
      </c>
      <c r="F68" s="269">
        <f t="shared" si="20"/>
        <v>-613879.1862251662</v>
      </c>
      <c r="G68" s="269">
        <f t="shared" si="20"/>
        <v>-636059.00229663088</v>
      </c>
      <c r="H68" s="269">
        <f t="shared" si="16"/>
        <v>263443.57556328992</v>
      </c>
      <c r="I68" s="269">
        <f t="shared" si="16"/>
        <v>241263.75949182524</v>
      </c>
      <c r="J68" s="269">
        <f t="shared" si="7"/>
        <v>-22179.81607146468</v>
      </c>
      <c r="K68" s="269">
        <f t="shared" si="18"/>
        <v>4657.7613750075825</v>
      </c>
      <c r="L68" s="269">
        <f t="shared" si="8"/>
        <v>-1699.5935202746928</v>
      </c>
      <c r="M68" s="270">
        <f t="shared" si="9"/>
        <v>245921.52086683281</v>
      </c>
      <c r="N68" s="21"/>
      <c r="O68" s="271"/>
      <c r="P68" s="271"/>
      <c r="Q68" s="271"/>
      <c r="R68" s="271"/>
      <c r="S68" s="271"/>
      <c r="T68" s="271"/>
    </row>
    <row r="69" spans="1:20" s="230" customFormat="1" ht="15">
      <c r="A69" s="267">
        <f t="shared" si="10"/>
        <v>47177</v>
      </c>
      <c r="B69" s="269">
        <f t="shared" si="14"/>
        <v>877322.76178845612</v>
      </c>
      <c r="C69" s="269">
        <f t="shared" si="13"/>
        <v>877322.76178845612</v>
      </c>
      <c r="D69" s="269">
        <f t="shared" si="21"/>
        <v>6528.7435523090944</v>
      </c>
      <c r="E69" s="269">
        <f t="shared" si="11"/>
        <v>14622.046029807601</v>
      </c>
      <c r="F69" s="269">
        <f t="shared" ref="F69:G84" si="22">F68-D69</f>
        <v>-620407.92977747531</v>
      </c>
      <c r="G69" s="269">
        <f t="shared" si="22"/>
        <v>-650681.04832643853</v>
      </c>
      <c r="H69" s="269">
        <f t="shared" si="16"/>
        <v>256914.83201098081</v>
      </c>
      <c r="I69" s="269">
        <f t="shared" si="16"/>
        <v>226641.71346201759</v>
      </c>
      <c r="J69" s="269">
        <f t="shared" si="7"/>
        <v>-30273.118548963219</v>
      </c>
      <c r="K69" s="269">
        <f t="shared" si="18"/>
        <v>6357.3548952822757</v>
      </c>
      <c r="L69" s="269">
        <f t="shared" si="8"/>
        <v>-1699.5935202746932</v>
      </c>
      <c r="M69" s="270">
        <f t="shared" si="9"/>
        <v>232999.06835729987</v>
      </c>
      <c r="N69" s="21"/>
      <c r="O69" s="271"/>
      <c r="P69" s="271"/>
      <c r="Q69" s="271"/>
      <c r="R69" s="271"/>
      <c r="S69" s="271"/>
      <c r="T69" s="271"/>
    </row>
    <row r="70" spans="1:20" s="230" customFormat="1" ht="15">
      <c r="A70" s="267">
        <f t="shared" si="10"/>
        <v>47208</v>
      </c>
      <c r="B70" s="269">
        <f t="shared" si="14"/>
        <v>877322.76178845612</v>
      </c>
      <c r="C70" s="269">
        <f t="shared" si="13"/>
        <v>877322.76178845612</v>
      </c>
      <c r="D70" s="269">
        <f t="shared" si="21"/>
        <v>6528.7435523090944</v>
      </c>
      <c r="E70" s="269">
        <f t="shared" si="11"/>
        <v>14622.046029807601</v>
      </c>
      <c r="F70" s="269">
        <f t="shared" si="22"/>
        <v>-626936.67332978442</v>
      </c>
      <c r="G70" s="269">
        <f t="shared" si="22"/>
        <v>-665303.09435624618</v>
      </c>
      <c r="H70" s="269">
        <f t="shared" si="16"/>
        <v>250386.0884586717</v>
      </c>
      <c r="I70" s="269">
        <f t="shared" si="16"/>
        <v>212019.66743220994</v>
      </c>
      <c r="J70" s="269">
        <f t="shared" si="7"/>
        <v>-38366.421026461758</v>
      </c>
      <c r="K70" s="269">
        <f t="shared" si="18"/>
        <v>8056.9484155569689</v>
      </c>
      <c r="L70" s="269">
        <f t="shared" si="8"/>
        <v>-1699.5935202746932</v>
      </c>
      <c r="M70" s="270">
        <f t="shared" si="9"/>
        <v>220076.61584776692</v>
      </c>
      <c r="N70" s="21"/>
      <c r="O70" s="271"/>
      <c r="P70" s="271"/>
      <c r="Q70" s="271"/>
      <c r="R70" s="271"/>
      <c r="S70" s="271"/>
      <c r="T70" s="271"/>
    </row>
    <row r="71" spans="1:20" s="230" customFormat="1" ht="15">
      <c r="A71" s="267">
        <f t="shared" si="10"/>
        <v>47238</v>
      </c>
      <c r="B71" s="269">
        <f t="shared" si="14"/>
        <v>877322.76178845612</v>
      </c>
      <c r="C71" s="269">
        <f t="shared" si="13"/>
        <v>877322.76178845612</v>
      </c>
      <c r="D71" s="269">
        <f t="shared" si="21"/>
        <v>6528.7435523090944</v>
      </c>
      <c r="E71" s="269">
        <f t="shared" si="11"/>
        <v>14622.046029807601</v>
      </c>
      <c r="F71" s="269">
        <f t="shared" si="22"/>
        <v>-633465.41688209353</v>
      </c>
      <c r="G71" s="269">
        <f t="shared" si="22"/>
        <v>-679925.14038605383</v>
      </c>
      <c r="H71" s="269">
        <f t="shared" si="16"/>
        <v>243857.34490636259</v>
      </c>
      <c r="I71" s="269">
        <f t="shared" si="16"/>
        <v>197397.62140240229</v>
      </c>
      <c r="J71" s="269">
        <f t="shared" si="7"/>
        <v>-46459.723503960297</v>
      </c>
      <c r="K71" s="269">
        <f t="shared" si="18"/>
        <v>9756.5419358316612</v>
      </c>
      <c r="L71" s="269">
        <f t="shared" si="8"/>
        <v>-1699.5935202746923</v>
      </c>
      <c r="M71" s="270">
        <f t="shared" si="9"/>
        <v>207154.16333823395</v>
      </c>
      <c r="N71" s="21"/>
      <c r="O71" s="271"/>
      <c r="P71" s="271"/>
      <c r="Q71" s="271"/>
      <c r="R71" s="271"/>
      <c r="S71" s="271"/>
      <c r="T71" s="271"/>
    </row>
    <row r="72" spans="1:20" s="230" customFormat="1" ht="15">
      <c r="A72" s="267">
        <f t="shared" si="10"/>
        <v>47269</v>
      </c>
      <c r="B72" s="269">
        <f t="shared" si="14"/>
        <v>877322.76178845612</v>
      </c>
      <c r="C72" s="269">
        <f t="shared" si="13"/>
        <v>877322.76178845612</v>
      </c>
      <c r="D72" s="269">
        <f t="shared" si="21"/>
        <v>6528.7435523090944</v>
      </c>
      <c r="E72" s="269">
        <f t="shared" si="11"/>
        <v>14622.046029807601</v>
      </c>
      <c r="F72" s="269">
        <f t="shared" si="22"/>
        <v>-639994.16043440264</v>
      </c>
      <c r="G72" s="269">
        <f t="shared" si="22"/>
        <v>-694547.18641586148</v>
      </c>
      <c r="H72" s="269">
        <f t="shared" si="16"/>
        <v>237328.60135405348</v>
      </c>
      <c r="I72" s="269">
        <f t="shared" si="16"/>
        <v>182775.57537259464</v>
      </c>
      <c r="J72" s="269">
        <f t="shared" si="7"/>
        <v>-54553.025981458835</v>
      </c>
      <c r="K72" s="269">
        <f t="shared" si="18"/>
        <v>11456.135456106354</v>
      </c>
      <c r="L72" s="269">
        <f t="shared" si="8"/>
        <v>-1699.5935202746932</v>
      </c>
      <c r="M72" s="270">
        <f t="shared" si="9"/>
        <v>194231.71082870101</v>
      </c>
      <c r="N72" s="21"/>
      <c r="O72" s="271"/>
      <c r="P72" s="271"/>
      <c r="Q72" s="271"/>
      <c r="R72" s="271"/>
      <c r="S72" s="271"/>
      <c r="T72" s="271"/>
    </row>
    <row r="73" spans="1:20" s="230" customFormat="1" ht="15">
      <c r="A73" s="267">
        <f t="shared" si="10"/>
        <v>47299</v>
      </c>
      <c r="B73" s="269">
        <f t="shared" si="14"/>
        <v>877322.76178845612</v>
      </c>
      <c r="C73" s="269">
        <f t="shared" si="13"/>
        <v>877322.76178845612</v>
      </c>
      <c r="D73" s="269">
        <f t="shared" si="21"/>
        <v>6528.7435523090944</v>
      </c>
      <c r="E73" s="269">
        <f t="shared" si="11"/>
        <v>14622.046029807601</v>
      </c>
      <c r="F73" s="269">
        <f t="shared" si="22"/>
        <v>-646522.90398671175</v>
      </c>
      <c r="G73" s="269">
        <f t="shared" si="22"/>
        <v>-709169.23244566913</v>
      </c>
      <c r="H73" s="269">
        <f t="shared" si="16"/>
        <v>230799.85780174437</v>
      </c>
      <c r="I73" s="269">
        <f t="shared" si="16"/>
        <v>168153.52934278699</v>
      </c>
      <c r="J73" s="269">
        <f t="shared" si="7"/>
        <v>-62646.328458957374</v>
      </c>
      <c r="K73" s="269">
        <f t="shared" si="18"/>
        <v>13155.728976381048</v>
      </c>
      <c r="L73" s="269">
        <f t="shared" si="8"/>
        <v>-1699.5935202746932</v>
      </c>
      <c r="M73" s="270">
        <f t="shared" si="9"/>
        <v>181309.25831916803</v>
      </c>
      <c r="N73" s="21"/>
      <c r="O73" s="271"/>
      <c r="P73" s="271"/>
      <c r="Q73" s="271"/>
      <c r="R73" s="271"/>
      <c r="S73" s="271"/>
      <c r="T73" s="271"/>
    </row>
    <row r="74" spans="1:20" s="230" customFormat="1" ht="15">
      <c r="A74" s="267">
        <f t="shared" si="10"/>
        <v>47330</v>
      </c>
      <c r="B74" s="269">
        <f t="shared" si="14"/>
        <v>877322.76178845612</v>
      </c>
      <c r="C74" s="269">
        <f t="shared" si="13"/>
        <v>877322.76178845612</v>
      </c>
      <c r="D74" s="269">
        <f t="shared" si="21"/>
        <v>6528.7435523090944</v>
      </c>
      <c r="E74" s="269">
        <f t="shared" si="11"/>
        <v>14622.046029807601</v>
      </c>
      <c r="F74" s="269">
        <f t="shared" si="22"/>
        <v>-653051.64753902087</v>
      </c>
      <c r="G74" s="269">
        <f t="shared" si="22"/>
        <v>-723791.27847547678</v>
      </c>
      <c r="H74" s="269">
        <f t="shared" si="16"/>
        <v>224271.11424943525</v>
      </c>
      <c r="I74" s="269">
        <f t="shared" si="16"/>
        <v>153531.48331297934</v>
      </c>
      <c r="J74" s="269">
        <f t="shared" si="7"/>
        <v>-70739.630936455913</v>
      </c>
      <c r="K74" s="269">
        <f t="shared" si="18"/>
        <v>14855.322496655741</v>
      </c>
      <c r="L74" s="269">
        <f t="shared" si="8"/>
        <v>-1699.5935202746932</v>
      </c>
      <c r="M74" s="270">
        <f t="shared" si="9"/>
        <v>168386.80580963509</v>
      </c>
      <c r="N74" s="21"/>
      <c r="O74" s="271"/>
      <c r="P74" s="271"/>
      <c r="Q74" s="271"/>
      <c r="R74" s="271"/>
      <c r="S74" s="271"/>
      <c r="T74" s="271"/>
    </row>
    <row r="75" spans="1:20" s="230" customFormat="1" ht="15">
      <c r="A75" s="267">
        <f t="shared" si="10"/>
        <v>47361</v>
      </c>
      <c r="B75" s="269">
        <f t="shared" si="14"/>
        <v>877322.76178845612</v>
      </c>
      <c r="C75" s="269">
        <f t="shared" si="13"/>
        <v>877322.76178845612</v>
      </c>
      <c r="D75" s="269">
        <f t="shared" si="21"/>
        <v>6528.7435523090944</v>
      </c>
      <c r="E75" s="269">
        <f>C75*E$12/12</f>
        <v>14622.046029807601</v>
      </c>
      <c r="F75" s="269">
        <f t="shared" si="22"/>
        <v>-659580.39109132998</v>
      </c>
      <c r="G75" s="269">
        <f t="shared" si="22"/>
        <v>-738413.32450528443</v>
      </c>
      <c r="H75" s="269">
        <f t="shared" ref="H75:I90" si="23">B75+F75</f>
        <v>217742.37069712614</v>
      </c>
      <c r="I75" s="269">
        <f t="shared" si="23"/>
        <v>138909.43728317169</v>
      </c>
      <c r="J75" s="269">
        <f t="shared" si="7"/>
        <v>-78832.933413954452</v>
      </c>
      <c r="K75" s="269">
        <f t="shared" si="18"/>
        <v>16554.916016930434</v>
      </c>
      <c r="L75" s="269">
        <f t="shared" si="8"/>
        <v>-1699.5935202746932</v>
      </c>
      <c r="M75" s="270">
        <f t="shared" si="9"/>
        <v>155464.35330010211</v>
      </c>
      <c r="N75" s="21"/>
      <c r="O75" s="271"/>
      <c r="P75" s="271"/>
      <c r="Q75" s="271"/>
      <c r="R75" s="271"/>
      <c r="S75" s="271"/>
      <c r="T75" s="271"/>
    </row>
    <row r="76" spans="1:20" s="230" customFormat="1" ht="15">
      <c r="A76" s="267">
        <f t="shared" si="10"/>
        <v>47391</v>
      </c>
      <c r="B76" s="269">
        <f t="shared" si="14"/>
        <v>877322.76178845612</v>
      </c>
      <c r="C76" s="269">
        <f t="shared" si="13"/>
        <v>877322.76178845612</v>
      </c>
      <c r="D76" s="269">
        <f t="shared" ref="D76:D87" si="24">B76*$G$5/12</f>
        <v>6521.4325292941903</v>
      </c>
      <c r="E76" s="269">
        <f>C76*E$12/12</f>
        <v>14622.046029807601</v>
      </c>
      <c r="F76" s="269">
        <f t="shared" si="22"/>
        <v>-666101.82362062414</v>
      </c>
      <c r="G76" s="269">
        <f t="shared" si="22"/>
        <v>-753035.37053509208</v>
      </c>
      <c r="H76" s="269">
        <f t="shared" si="23"/>
        <v>211220.93816783198</v>
      </c>
      <c r="I76" s="269">
        <f t="shared" si="23"/>
        <v>124287.39125336404</v>
      </c>
      <c r="J76" s="269">
        <f t="shared" si="7"/>
        <v>-86933.546914467937</v>
      </c>
      <c r="K76" s="269">
        <f t="shared" si="18"/>
        <v>18256.044852038267</v>
      </c>
      <c r="L76" s="269">
        <f t="shared" si="8"/>
        <v>-1701.1288351078329</v>
      </c>
      <c r="M76" s="270">
        <f t="shared" si="9"/>
        <v>142543.4361054023</v>
      </c>
      <c r="N76" s="21"/>
      <c r="O76" s="271"/>
      <c r="P76" s="271"/>
      <c r="Q76" s="271"/>
      <c r="R76" s="271"/>
      <c r="S76" s="271"/>
      <c r="T76" s="271"/>
    </row>
    <row r="77" spans="1:20" s="230" customFormat="1" ht="15">
      <c r="A77" s="267">
        <f t="shared" si="10"/>
        <v>47422</v>
      </c>
      <c r="B77" s="269">
        <f t="shared" si="14"/>
        <v>877322.76178845612</v>
      </c>
      <c r="C77" s="269">
        <f t="shared" si="13"/>
        <v>877322.76178845612</v>
      </c>
      <c r="D77" s="269">
        <f t="shared" si="24"/>
        <v>6521.4325292941903</v>
      </c>
      <c r="E77" s="269">
        <f>C77*E$12/12</f>
        <v>14622.046029807601</v>
      </c>
      <c r="F77" s="269">
        <f t="shared" si="22"/>
        <v>-672623.25614991831</v>
      </c>
      <c r="G77" s="269">
        <f t="shared" si="22"/>
        <v>-767657.41656489973</v>
      </c>
      <c r="H77" s="269">
        <f t="shared" si="23"/>
        <v>204699.50563853781</v>
      </c>
      <c r="I77" s="269">
        <f t="shared" si="23"/>
        <v>109665.34522355639</v>
      </c>
      <c r="J77" s="269">
        <f t="shared" si="7"/>
        <v>-95034.160414981423</v>
      </c>
      <c r="K77" s="269">
        <f t="shared" si="18"/>
        <v>19957.1736871461</v>
      </c>
      <c r="L77" s="269">
        <f t="shared" si="8"/>
        <v>-1701.1288351078329</v>
      </c>
      <c r="M77" s="270">
        <f t="shared" si="9"/>
        <v>129622.51891070249</v>
      </c>
      <c r="N77" s="21"/>
      <c r="O77" s="271"/>
      <c r="P77" s="271"/>
      <c r="Q77" s="271"/>
      <c r="R77" s="271"/>
      <c r="S77" s="271"/>
      <c r="T77" s="271"/>
    </row>
    <row r="78" spans="1:20" s="230" customFormat="1" ht="15">
      <c r="A78" s="267">
        <f t="shared" si="10"/>
        <v>47452</v>
      </c>
      <c r="B78" s="269">
        <f t="shared" si="14"/>
        <v>877322.76178845612</v>
      </c>
      <c r="C78" s="269">
        <f t="shared" si="13"/>
        <v>877322.76178845612</v>
      </c>
      <c r="D78" s="269">
        <f t="shared" si="24"/>
        <v>6521.4325292941903</v>
      </c>
      <c r="E78" s="269">
        <f>C78*E$12/12</f>
        <v>14622.046029807601</v>
      </c>
      <c r="F78" s="269">
        <f t="shared" si="22"/>
        <v>-679144.68867921247</v>
      </c>
      <c r="G78" s="269">
        <f t="shared" si="22"/>
        <v>-782279.46259470738</v>
      </c>
      <c r="H78" s="269">
        <f t="shared" si="23"/>
        <v>198178.07310924365</v>
      </c>
      <c r="I78" s="269">
        <f t="shared" si="23"/>
        <v>95043.299193748739</v>
      </c>
      <c r="J78" s="269">
        <f t="shared" si="7"/>
        <v>-103134.77391549491</v>
      </c>
      <c r="K78" s="269">
        <f t="shared" si="18"/>
        <v>21658.302522253929</v>
      </c>
      <c r="L78" s="269">
        <f t="shared" si="8"/>
        <v>-1701.1288351078292</v>
      </c>
      <c r="M78" s="270">
        <f t="shared" si="9"/>
        <v>116701.60171600267</v>
      </c>
      <c r="N78" s="21"/>
      <c r="O78" s="271"/>
      <c r="P78" s="271"/>
      <c r="Q78" s="271"/>
      <c r="R78" s="271"/>
      <c r="S78" s="271"/>
      <c r="T78" s="271"/>
    </row>
    <row r="79" spans="1:20" s="230" customFormat="1" ht="15">
      <c r="A79" s="267">
        <f t="shared" si="10"/>
        <v>47483</v>
      </c>
      <c r="B79" s="269">
        <f t="shared" si="14"/>
        <v>877322.76178845612</v>
      </c>
      <c r="C79" s="269">
        <f t="shared" si="13"/>
        <v>877322.76178845612</v>
      </c>
      <c r="D79" s="269">
        <f t="shared" si="24"/>
        <v>6521.4325292941903</v>
      </c>
      <c r="E79" s="269">
        <f>C79*E$12/12</f>
        <v>14622.046029807601</v>
      </c>
      <c r="F79" s="269">
        <f t="shared" si="22"/>
        <v>-685666.12120850664</v>
      </c>
      <c r="G79" s="269">
        <f t="shared" si="22"/>
        <v>-796901.50862451503</v>
      </c>
      <c r="H79" s="269">
        <f t="shared" si="23"/>
        <v>191656.64057994948</v>
      </c>
      <c r="I79" s="269">
        <f t="shared" si="23"/>
        <v>80421.253163941088</v>
      </c>
      <c r="J79" s="269">
        <f t="shared" si="7"/>
        <v>-111235.38741600839</v>
      </c>
      <c r="K79" s="269">
        <f t="shared" si="18"/>
        <v>23359.431357361762</v>
      </c>
      <c r="L79" s="269">
        <f t="shared" si="8"/>
        <v>-1701.1288351078329</v>
      </c>
      <c r="M79" s="270">
        <f t="shared" si="9"/>
        <v>103780.68452130284</v>
      </c>
      <c r="N79" s="21"/>
      <c r="O79" s="271"/>
      <c r="P79" s="271"/>
      <c r="Q79" s="271"/>
      <c r="R79" s="271"/>
      <c r="S79" s="271"/>
      <c r="T79" s="271"/>
    </row>
    <row r="80" spans="1:20" s="230" customFormat="1" ht="15">
      <c r="A80" s="267">
        <f t="shared" si="10"/>
        <v>47514</v>
      </c>
      <c r="B80" s="269">
        <f t="shared" si="14"/>
        <v>877322.76178845612</v>
      </c>
      <c r="C80" s="269">
        <f t="shared" si="13"/>
        <v>877322.76178845612</v>
      </c>
      <c r="D80" s="269">
        <f t="shared" si="24"/>
        <v>6521.4325292941903</v>
      </c>
      <c r="E80" s="269">
        <f t="shared" ref="E80:E84" si="25">C80*E$12/12</f>
        <v>14622.046029807601</v>
      </c>
      <c r="F80" s="269">
        <f t="shared" si="22"/>
        <v>-692187.5537378008</v>
      </c>
      <c r="G80" s="269">
        <f t="shared" si="22"/>
        <v>-811523.55465432268</v>
      </c>
      <c r="H80" s="269">
        <f t="shared" si="23"/>
        <v>185135.20805065532</v>
      </c>
      <c r="I80" s="269">
        <f t="shared" si="23"/>
        <v>65799.207134133438</v>
      </c>
      <c r="J80" s="269">
        <f t="shared" si="7"/>
        <v>-119336.00091652188</v>
      </c>
      <c r="K80" s="269">
        <f t="shared" si="18"/>
        <v>25060.560192469595</v>
      </c>
      <c r="L80" s="269">
        <f t="shared" si="8"/>
        <v>-1701.1288351078329</v>
      </c>
      <c r="M80" s="270">
        <f t="shared" si="9"/>
        <v>90859.767326603032</v>
      </c>
      <c r="N80" s="21"/>
      <c r="O80" s="271"/>
      <c r="P80" s="271"/>
      <c r="Q80" s="271"/>
      <c r="R80" s="271"/>
      <c r="S80" s="271"/>
      <c r="T80" s="271"/>
    </row>
    <row r="81" spans="1:20" s="230" customFormat="1" ht="15">
      <c r="A81" s="267">
        <f t="shared" si="10"/>
        <v>47542</v>
      </c>
      <c r="B81" s="269">
        <f t="shared" si="14"/>
        <v>877322.76178845612</v>
      </c>
      <c r="C81" s="269">
        <f t="shared" si="13"/>
        <v>877322.76178845612</v>
      </c>
      <c r="D81" s="269">
        <f t="shared" si="24"/>
        <v>6521.4325292941903</v>
      </c>
      <c r="E81" s="269">
        <f t="shared" si="25"/>
        <v>14622.046029807601</v>
      </c>
      <c r="F81" s="269">
        <f t="shared" si="22"/>
        <v>-698708.98626709497</v>
      </c>
      <c r="G81" s="269">
        <f t="shared" si="22"/>
        <v>-826145.60068413033</v>
      </c>
      <c r="H81" s="269">
        <f t="shared" si="23"/>
        <v>178613.77552136115</v>
      </c>
      <c r="I81" s="269">
        <f t="shared" si="23"/>
        <v>51177.161104325787</v>
      </c>
      <c r="J81" s="269">
        <f t="shared" si="7"/>
        <v>-127436.61441703537</v>
      </c>
      <c r="K81" s="269">
        <f t="shared" si="18"/>
        <v>26761.689027577424</v>
      </c>
      <c r="L81" s="269">
        <f t="shared" si="8"/>
        <v>-1701.1288351078292</v>
      </c>
      <c r="M81" s="270">
        <f t="shared" si="9"/>
        <v>77938.850131903208</v>
      </c>
      <c r="N81" s="21"/>
      <c r="O81" s="271"/>
      <c r="P81" s="271"/>
      <c r="Q81" s="271"/>
      <c r="R81" s="271"/>
      <c r="S81" s="271"/>
      <c r="T81" s="271"/>
    </row>
    <row r="82" spans="1:20" s="230" customFormat="1" ht="15">
      <c r="A82" s="267">
        <f t="shared" si="10"/>
        <v>47573</v>
      </c>
      <c r="B82" s="269">
        <f t="shared" si="14"/>
        <v>877322.76178845612</v>
      </c>
      <c r="C82" s="269">
        <f t="shared" si="13"/>
        <v>877322.76178845612</v>
      </c>
      <c r="D82" s="269">
        <f t="shared" si="24"/>
        <v>6521.4325292941903</v>
      </c>
      <c r="E82" s="269">
        <f t="shared" si="25"/>
        <v>14622.046029807601</v>
      </c>
      <c r="F82" s="269">
        <f t="shared" si="22"/>
        <v>-705230.41879638913</v>
      </c>
      <c r="G82" s="269">
        <f t="shared" si="22"/>
        <v>-840767.64671393798</v>
      </c>
      <c r="H82" s="269">
        <f t="shared" si="23"/>
        <v>172092.34299206699</v>
      </c>
      <c r="I82" s="269">
        <f t="shared" si="23"/>
        <v>36555.115074518137</v>
      </c>
      <c r="J82" s="269">
        <f t="shared" si="7"/>
        <v>-135537.22791754885</v>
      </c>
      <c r="K82" s="269">
        <f t="shared" si="18"/>
        <v>28462.817862685257</v>
      </c>
      <c r="L82" s="269">
        <f t="shared" si="8"/>
        <v>-1701.1288351078329</v>
      </c>
      <c r="M82" s="270">
        <f t="shared" si="9"/>
        <v>65017.932937203397</v>
      </c>
      <c r="N82" s="21"/>
      <c r="O82" s="271"/>
      <c r="P82" s="271"/>
      <c r="Q82" s="271"/>
      <c r="R82" s="271"/>
      <c r="S82" s="271"/>
      <c r="T82" s="271"/>
    </row>
    <row r="83" spans="1:20" s="230" customFormat="1" ht="15">
      <c r="A83" s="267">
        <f t="shared" si="10"/>
        <v>47603</v>
      </c>
      <c r="B83" s="269">
        <f t="shared" si="14"/>
        <v>877322.76178845612</v>
      </c>
      <c r="C83" s="269">
        <f t="shared" si="13"/>
        <v>877322.76178845612</v>
      </c>
      <c r="D83" s="269">
        <f t="shared" si="24"/>
        <v>6521.4325292941903</v>
      </c>
      <c r="E83" s="269">
        <f t="shared" si="25"/>
        <v>14622.046029807601</v>
      </c>
      <c r="F83" s="269">
        <f t="shared" si="22"/>
        <v>-711751.8513256833</v>
      </c>
      <c r="G83" s="269">
        <f t="shared" si="22"/>
        <v>-855389.69274374563</v>
      </c>
      <c r="H83" s="269">
        <f t="shared" si="23"/>
        <v>165570.91046277282</v>
      </c>
      <c r="I83" s="269">
        <f t="shared" si="23"/>
        <v>21933.069044710486</v>
      </c>
      <c r="J83" s="269">
        <f t="shared" si="7"/>
        <v>-143637.84141806234</v>
      </c>
      <c r="K83" s="269">
        <f t="shared" si="18"/>
        <v>30163.94669779309</v>
      </c>
      <c r="L83" s="269">
        <f t="shared" si="8"/>
        <v>-1701.1288351078329</v>
      </c>
      <c r="M83" s="270">
        <f t="shared" si="9"/>
        <v>52097.015742503572</v>
      </c>
      <c r="N83" s="21"/>
      <c r="O83" s="271"/>
      <c r="P83" s="271"/>
      <c r="Q83" s="271"/>
      <c r="R83" s="271"/>
      <c r="S83" s="271"/>
      <c r="T83" s="271"/>
    </row>
    <row r="84" spans="1:20" s="230" customFormat="1" ht="15">
      <c r="A84" s="267">
        <f t="shared" si="10"/>
        <v>47634</v>
      </c>
      <c r="B84" s="269">
        <f t="shared" si="14"/>
        <v>877322.76178845612</v>
      </c>
      <c r="C84" s="269">
        <f t="shared" si="13"/>
        <v>877322.76178845612</v>
      </c>
      <c r="D84" s="269">
        <f t="shared" si="24"/>
        <v>6521.4325292941903</v>
      </c>
      <c r="E84" s="269">
        <f t="shared" si="25"/>
        <v>14622.046029807601</v>
      </c>
      <c r="F84" s="269">
        <f t="shared" si="22"/>
        <v>-718273.28385497746</v>
      </c>
      <c r="G84" s="269">
        <f t="shared" si="22"/>
        <v>-870011.73877355328</v>
      </c>
      <c r="H84" s="269">
        <f t="shared" si="23"/>
        <v>159049.47793347866</v>
      </c>
      <c r="I84" s="269">
        <f t="shared" si="23"/>
        <v>7311.0230149028357</v>
      </c>
      <c r="J84" s="269">
        <f t="shared" si="7"/>
        <v>-151738.45491857582</v>
      </c>
      <c r="K84" s="269">
        <f t="shared" ref="K84:K115" si="26">-J84*$K$15</f>
        <v>31865.075532900923</v>
      </c>
      <c r="L84" s="269">
        <f t="shared" si="8"/>
        <v>-1701.1288351078329</v>
      </c>
      <c r="M84" s="270">
        <f t="shared" si="9"/>
        <v>39176.098547803762</v>
      </c>
      <c r="N84" s="21"/>
      <c r="O84" s="271"/>
      <c r="P84" s="271"/>
      <c r="Q84" s="271"/>
      <c r="R84" s="271"/>
      <c r="S84" s="271"/>
      <c r="T84" s="271"/>
    </row>
    <row r="85" spans="1:20" s="230" customFormat="1" ht="15">
      <c r="A85" s="267">
        <f t="shared" si="10"/>
        <v>47664</v>
      </c>
      <c r="B85" s="269">
        <f t="shared" si="14"/>
        <v>877322.76178845612</v>
      </c>
      <c r="C85" s="269">
        <f t="shared" si="13"/>
        <v>877322.76178845612</v>
      </c>
      <c r="D85" s="269">
        <f t="shared" si="24"/>
        <v>6521.4325292941903</v>
      </c>
      <c r="E85" s="269">
        <f>C84+G84</f>
        <v>7311.0230149028357</v>
      </c>
      <c r="F85" s="269">
        <f t="shared" ref="F85:G100" si="27">F84-D85</f>
        <v>-724794.71638427163</v>
      </c>
      <c r="G85" s="269">
        <f t="shared" si="27"/>
        <v>-877322.76178845612</v>
      </c>
      <c r="H85" s="269">
        <f t="shared" si="23"/>
        <v>152528.04540418449</v>
      </c>
      <c r="I85" s="269">
        <f t="shared" si="23"/>
        <v>0</v>
      </c>
      <c r="J85" s="269">
        <f t="shared" ref="J85:J118" si="28">I85-H85</f>
        <v>-152528.04540418449</v>
      </c>
      <c r="K85" s="269">
        <f t="shared" si="26"/>
        <v>32030.889534878741</v>
      </c>
      <c r="L85" s="269">
        <f t="shared" ref="L85:L118" si="29">-K85+K84</f>
        <v>-165.81400197781841</v>
      </c>
      <c r="M85" s="270">
        <f t="shared" ref="M85:M119" si="30">I85+K85</f>
        <v>32030.889534878741</v>
      </c>
      <c r="N85" s="21"/>
      <c r="O85" s="271"/>
      <c r="P85" s="271"/>
      <c r="Q85" s="271"/>
      <c r="R85" s="271"/>
      <c r="S85" s="271"/>
      <c r="T85" s="271"/>
    </row>
    <row r="86" spans="1:20" s="230" customFormat="1" ht="15">
      <c r="A86" s="267">
        <f t="shared" ref="A86:A118" si="31">EOMONTH(A85,1)</f>
        <v>47695</v>
      </c>
      <c r="B86" s="269">
        <f t="shared" si="14"/>
        <v>877322.76178845612</v>
      </c>
      <c r="C86" s="269">
        <f t="shared" si="13"/>
        <v>877322.76178845612</v>
      </c>
      <c r="D86" s="269">
        <f t="shared" si="24"/>
        <v>6521.4325292941903</v>
      </c>
      <c r="E86" s="269"/>
      <c r="F86" s="269">
        <f t="shared" si="27"/>
        <v>-731316.14891356579</v>
      </c>
      <c r="G86" s="269">
        <f t="shared" si="27"/>
        <v>-877322.76178845612</v>
      </c>
      <c r="H86" s="269">
        <f t="shared" si="23"/>
        <v>146006.61287489033</v>
      </c>
      <c r="I86" s="269">
        <f t="shared" si="23"/>
        <v>0</v>
      </c>
      <c r="J86" s="269">
        <f t="shared" si="28"/>
        <v>-146006.61287489033</v>
      </c>
      <c r="K86" s="269">
        <f t="shared" si="26"/>
        <v>30661.388703726967</v>
      </c>
      <c r="L86" s="269">
        <f t="shared" si="29"/>
        <v>1369.500831151774</v>
      </c>
      <c r="M86" s="270">
        <f t="shared" si="30"/>
        <v>30661.388703726967</v>
      </c>
      <c r="N86" s="21"/>
      <c r="O86" s="271"/>
      <c r="P86" s="271"/>
      <c r="Q86" s="271"/>
      <c r="R86" s="271"/>
      <c r="S86" s="271"/>
      <c r="T86" s="271"/>
    </row>
    <row r="87" spans="1:20" s="230" customFormat="1" ht="15">
      <c r="A87" s="267">
        <f t="shared" si="31"/>
        <v>47726</v>
      </c>
      <c r="B87" s="269">
        <f t="shared" si="14"/>
        <v>877322.76178845612</v>
      </c>
      <c r="C87" s="269">
        <f t="shared" si="13"/>
        <v>877322.76178845612</v>
      </c>
      <c r="D87" s="269">
        <f t="shared" si="24"/>
        <v>6521.4325292941903</v>
      </c>
      <c r="E87" s="269"/>
      <c r="F87" s="269">
        <f t="shared" si="27"/>
        <v>-737837.58144285996</v>
      </c>
      <c r="G87" s="269">
        <f t="shared" si="27"/>
        <v>-877322.76178845612</v>
      </c>
      <c r="H87" s="269">
        <f t="shared" si="23"/>
        <v>139485.18034559616</v>
      </c>
      <c r="I87" s="269">
        <f t="shared" si="23"/>
        <v>0</v>
      </c>
      <c r="J87" s="269">
        <f t="shared" si="28"/>
        <v>-139485.18034559616</v>
      </c>
      <c r="K87" s="269">
        <f t="shared" si="26"/>
        <v>29291.887872575193</v>
      </c>
      <c r="L87" s="269">
        <f t="shared" si="29"/>
        <v>1369.500831151774</v>
      </c>
      <c r="M87" s="270">
        <f t="shared" si="30"/>
        <v>29291.887872575193</v>
      </c>
      <c r="N87" s="21"/>
      <c r="O87" s="271"/>
      <c r="P87" s="271"/>
      <c r="Q87" s="271"/>
      <c r="R87" s="271"/>
      <c r="S87" s="271"/>
      <c r="T87" s="271"/>
    </row>
    <row r="88" spans="1:20" s="230" customFormat="1" ht="15">
      <c r="A88" s="267">
        <f t="shared" si="31"/>
        <v>47756</v>
      </c>
      <c r="B88" s="269">
        <f t="shared" si="14"/>
        <v>877322.76178845612</v>
      </c>
      <c r="C88" s="269">
        <f t="shared" si="13"/>
        <v>877322.76178845612</v>
      </c>
      <c r="D88" s="269">
        <f t="shared" ref="D88:D99" si="32">B88*$H$5/12</f>
        <v>6528.7435523090944</v>
      </c>
      <c r="E88" s="269"/>
      <c r="F88" s="269">
        <f t="shared" si="27"/>
        <v>-744366.32499516907</v>
      </c>
      <c r="G88" s="269">
        <f t="shared" si="27"/>
        <v>-877322.76178845612</v>
      </c>
      <c r="H88" s="269">
        <f t="shared" si="23"/>
        <v>132956.43679328705</v>
      </c>
      <c r="I88" s="269">
        <f t="shared" si="23"/>
        <v>0</v>
      </c>
      <c r="J88" s="269">
        <f t="shared" si="28"/>
        <v>-132956.43679328705</v>
      </c>
      <c r="K88" s="269">
        <f t="shared" si="26"/>
        <v>27920.851726590281</v>
      </c>
      <c r="L88" s="269">
        <f t="shared" si="29"/>
        <v>1371.0361459849119</v>
      </c>
      <c r="M88" s="270">
        <f t="shared" si="30"/>
        <v>27920.851726590281</v>
      </c>
      <c r="N88" s="21"/>
      <c r="O88" s="271"/>
      <c r="P88" s="271"/>
      <c r="Q88" s="271"/>
      <c r="R88" s="271"/>
      <c r="S88" s="271"/>
      <c r="T88" s="271"/>
    </row>
    <row r="89" spans="1:20" s="230" customFormat="1" ht="15">
      <c r="A89" s="267">
        <f t="shared" si="31"/>
        <v>47787</v>
      </c>
      <c r="B89" s="269">
        <f t="shared" si="14"/>
        <v>877322.76178845612</v>
      </c>
      <c r="C89" s="269">
        <f t="shared" si="13"/>
        <v>877322.76178845612</v>
      </c>
      <c r="D89" s="269">
        <f t="shared" si="32"/>
        <v>6528.7435523090944</v>
      </c>
      <c r="E89" s="269"/>
      <c r="F89" s="269">
        <f t="shared" si="27"/>
        <v>-750895.06854747818</v>
      </c>
      <c r="G89" s="269">
        <f t="shared" si="27"/>
        <v>-877322.76178845612</v>
      </c>
      <c r="H89" s="269">
        <f t="shared" si="23"/>
        <v>126427.69324097794</v>
      </c>
      <c r="I89" s="269">
        <f t="shared" si="23"/>
        <v>0</v>
      </c>
      <c r="J89" s="269">
        <f t="shared" si="28"/>
        <v>-126427.69324097794</v>
      </c>
      <c r="K89" s="269">
        <f t="shared" si="26"/>
        <v>26549.815580605366</v>
      </c>
      <c r="L89" s="269">
        <f t="shared" si="29"/>
        <v>1371.0361459849155</v>
      </c>
      <c r="M89" s="270">
        <f t="shared" si="30"/>
        <v>26549.815580605366</v>
      </c>
      <c r="N89" s="21"/>
      <c r="O89" s="271"/>
      <c r="P89" s="271"/>
      <c r="Q89" s="271"/>
      <c r="R89" s="271"/>
      <c r="S89" s="271"/>
      <c r="T89" s="271"/>
    </row>
    <row r="90" spans="1:20" s="230" customFormat="1" ht="15">
      <c r="A90" s="267">
        <f t="shared" si="31"/>
        <v>47817</v>
      </c>
      <c r="B90" s="269">
        <f t="shared" si="14"/>
        <v>877322.76178845612</v>
      </c>
      <c r="C90" s="269">
        <f t="shared" si="13"/>
        <v>877322.76178845612</v>
      </c>
      <c r="D90" s="269">
        <f t="shared" si="32"/>
        <v>6528.7435523090944</v>
      </c>
      <c r="E90" s="269"/>
      <c r="F90" s="269">
        <f t="shared" si="27"/>
        <v>-757423.81209978729</v>
      </c>
      <c r="G90" s="269">
        <f t="shared" si="27"/>
        <v>-877322.76178845612</v>
      </c>
      <c r="H90" s="269">
        <f t="shared" si="23"/>
        <v>119898.94968866883</v>
      </c>
      <c r="I90" s="269">
        <f t="shared" si="23"/>
        <v>0</v>
      </c>
      <c r="J90" s="269">
        <f t="shared" si="28"/>
        <v>-119898.94968866883</v>
      </c>
      <c r="K90" s="269">
        <f t="shared" si="26"/>
        <v>25178.779434620454</v>
      </c>
      <c r="L90" s="269">
        <f t="shared" si="29"/>
        <v>1371.0361459849119</v>
      </c>
      <c r="M90" s="270">
        <f t="shared" si="30"/>
        <v>25178.779434620454</v>
      </c>
      <c r="N90" s="21"/>
      <c r="O90" s="271"/>
      <c r="P90" s="271"/>
      <c r="Q90" s="271"/>
      <c r="R90" s="271"/>
      <c r="S90" s="271"/>
      <c r="T90" s="271"/>
    </row>
    <row r="91" spans="1:20" s="230" customFormat="1" ht="15">
      <c r="A91" s="267">
        <f t="shared" si="31"/>
        <v>47848</v>
      </c>
      <c r="B91" s="269">
        <f t="shared" si="14"/>
        <v>877322.76178845612</v>
      </c>
      <c r="C91" s="269">
        <f t="shared" si="13"/>
        <v>877322.76178845612</v>
      </c>
      <c r="D91" s="269">
        <f t="shared" si="32"/>
        <v>6528.7435523090944</v>
      </c>
      <c r="E91" s="269"/>
      <c r="F91" s="269">
        <f t="shared" si="27"/>
        <v>-763952.5556520964</v>
      </c>
      <c r="G91" s="269">
        <f t="shared" si="27"/>
        <v>-877322.76178845612</v>
      </c>
      <c r="H91" s="269">
        <f t="shared" ref="H91:I111" si="33">B91+F91</f>
        <v>113370.20613635972</v>
      </c>
      <c r="I91" s="269">
        <f t="shared" si="33"/>
        <v>0</v>
      </c>
      <c r="J91" s="269">
        <f t="shared" si="28"/>
        <v>-113370.20613635972</v>
      </c>
      <c r="K91" s="269">
        <f t="shared" si="26"/>
        <v>23807.743288635538</v>
      </c>
      <c r="L91" s="269">
        <f t="shared" si="29"/>
        <v>1371.0361459849155</v>
      </c>
      <c r="M91" s="270">
        <f t="shared" si="30"/>
        <v>23807.743288635538</v>
      </c>
      <c r="N91" s="21"/>
      <c r="O91" s="271"/>
      <c r="P91" s="271"/>
      <c r="Q91" s="271"/>
      <c r="R91" s="271"/>
      <c r="S91" s="271"/>
      <c r="T91" s="271"/>
    </row>
    <row r="92" spans="1:20" s="230" customFormat="1" ht="15">
      <c r="A92" s="267">
        <f t="shared" si="31"/>
        <v>47879</v>
      </c>
      <c r="B92" s="269">
        <f t="shared" si="14"/>
        <v>877322.76178845612</v>
      </c>
      <c r="C92" s="269">
        <f t="shared" si="13"/>
        <v>877322.76178845612</v>
      </c>
      <c r="D92" s="269">
        <f t="shared" si="32"/>
        <v>6528.7435523090944</v>
      </c>
      <c r="E92" s="269"/>
      <c r="F92" s="269">
        <f t="shared" si="27"/>
        <v>-770481.29920440551</v>
      </c>
      <c r="G92" s="269">
        <f t="shared" si="27"/>
        <v>-877322.76178845612</v>
      </c>
      <c r="H92" s="269">
        <f t="shared" si="33"/>
        <v>106841.46258405061</v>
      </c>
      <c r="I92" s="269">
        <f t="shared" si="33"/>
        <v>0</v>
      </c>
      <c r="J92" s="269">
        <f t="shared" si="28"/>
        <v>-106841.46258405061</v>
      </c>
      <c r="K92" s="269">
        <f t="shared" si="26"/>
        <v>22436.707142650626</v>
      </c>
      <c r="L92" s="269">
        <f t="shared" si="29"/>
        <v>1371.0361459849119</v>
      </c>
      <c r="M92" s="270">
        <f t="shared" si="30"/>
        <v>22436.707142650626</v>
      </c>
      <c r="N92" s="21"/>
      <c r="O92" s="271"/>
      <c r="P92" s="271"/>
      <c r="Q92" s="271"/>
      <c r="R92" s="271"/>
      <c r="S92" s="271"/>
      <c r="T92" s="271"/>
    </row>
    <row r="93" spans="1:20" s="230" customFormat="1" ht="15">
      <c r="A93" s="267">
        <f t="shared" si="31"/>
        <v>47907</v>
      </c>
      <c r="B93" s="269">
        <f t="shared" si="14"/>
        <v>877322.76178845612</v>
      </c>
      <c r="C93" s="269">
        <f t="shared" si="13"/>
        <v>877322.76178845612</v>
      </c>
      <c r="D93" s="269">
        <f t="shared" si="32"/>
        <v>6528.7435523090944</v>
      </c>
      <c r="E93" s="269"/>
      <c r="F93" s="269">
        <f t="shared" si="27"/>
        <v>-777010.04275671463</v>
      </c>
      <c r="G93" s="269">
        <f t="shared" si="27"/>
        <v>-877322.76178845612</v>
      </c>
      <c r="H93" s="269">
        <f t="shared" si="33"/>
        <v>100312.71903174149</v>
      </c>
      <c r="I93" s="269">
        <f t="shared" si="33"/>
        <v>0</v>
      </c>
      <c r="J93" s="269">
        <f t="shared" si="28"/>
        <v>-100312.71903174149</v>
      </c>
      <c r="K93" s="269">
        <f t="shared" si="26"/>
        <v>21065.670996665714</v>
      </c>
      <c r="L93" s="269">
        <f t="shared" si="29"/>
        <v>1371.0361459849119</v>
      </c>
      <c r="M93" s="270">
        <f t="shared" si="30"/>
        <v>21065.670996665714</v>
      </c>
      <c r="N93" s="21"/>
      <c r="O93" s="271"/>
      <c r="P93" s="271"/>
      <c r="Q93" s="271"/>
      <c r="R93" s="271"/>
      <c r="S93" s="271"/>
      <c r="T93" s="271"/>
    </row>
    <row r="94" spans="1:20" s="230" customFormat="1" ht="15">
      <c r="A94" s="267">
        <f t="shared" si="31"/>
        <v>47938</v>
      </c>
      <c r="B94" s="269">
        <f t="shared" si="14"/>
        <v>877322.76178845612</v>
      </c>
      <c r="C94" s="269">
        <f t="shared" si="13"/>
        <v>877322.76178845612</v>
      </c>
      <c r="D94" s="269">
        <f t="shared" si="32"/>
        <v>6528.7435523090944</v>
      </c>
      <c r="E94" s="269"/>
      <c r="F94" s="269">
        <f t="shared" si="27"/>
        <v>-783538.78630902374</v>
      </c>
      <c r="G94" s="269">
        <f t="shared" si="27"/>
        <v>-877322.76178845612</v>
      </c>
      <c r="H94" s="269">
        <f t="shared" si="33"/>
        <v>93783.975479432382</v>
      </c>
      <c r="I94" s="269">
        <f t="shared" si="33"/>
        <v>0</v>
      </c>
      <c r="J94" s="269">
        <f t="shared" si="28"/>
        <v>-93783.975479432382</v>
      </c>
      <c r="K94" s="269">
        <f t="shared" si="26"/>
        <v>19694.634850680799</v>
      </c>
      <c r="L94" s="269">
        <f t="shared" si="29"/>
        <v>1371.0361459849155</v>
      </c>
      <c r="M94" s="270">
        <f t="shared" si="30"/>
        <v>19694.634850680799</v>
      </c>
      <c r="N94" s="21"/>
      <c r="O94" s="271"/>
      <c r="P94" s="271"/>
      <c r="Q94" s="271"/>
      <c r="R94" s="271"/>
      <c r="S94" s="271"/>
      <c r="T94" s="271"/>
    </row>
    <row r="95" spans="1:20" s="230" customFormat="1" ht="15">
      <c r="A95" s="267">
        <f t="shared" si="31"/>
        <v>47968</v>
      </c>
      <c r="B95" s="269">
        <f t="shared" si="14"/>
        <v>877322.76178845612</v>
      </c>
      <c r="C95" s="269">
        <f t="shared" si="13"/>
        <v>877322.76178845612</v>
      </c>
      <c r="D95" s="269">
        <f t="shared" si="32"/>
        <v>6528.7435523090944</v>
      </c>
      <c r="E95" s="269"/>
      <c r="F95" s="269">
        <f t="shared" si="27"/>
        <v>-790067.52986133285</v>
      </c>
      <c r="G95" s="269">
        <f t="shared" si="27"/>
        <v>-877322.76178845612</v>
      </c>
      <c r="H95" s="269">
        <f t="shared" si="33"/>
        <v>87255.23192712327</v>
      </c>
      <c r="I95" s="269">
        <f t="shared" si="33"/>
        <v>0</v>
      </c>
      <c r="J95" s="269">
        <f t="shared" si="28"/>
        <v>-87255.23192712327</v>
      </c>
      <c r="K95" s="269">
        <f t="shared" si="26"/>
        <v>18323.598704695887</v>
      </c>
      <c r="L95" s="269">
        <f t="shared" si="29"/>
        <v>1371.0361459849119</v>
      </c>
      <c r="M95" s="270">
        <f t="shared" si="30"/>
        <v>18323.598704695887</v>
      </c>
      <c r="N95" s="21"/>
      <c r="O95" s="271"/>
      <c r="P95" s="271"/>
      <c r="Q95" s="271"/>
      <c r="R95" s="271"/>
      <c r="S95" s="271"/>
      <c r="T95" s="271"/>
    </row>
    <row r="96" spans="1:20" s="230" customFormat="1" ht="15">
      <c r="A96" s="267">
        <f t="shared" si="31"/>
        <v>47999</v>
      </c>
      <c r="B96" s="269">
        <f t="shared" si="14"/>
        <v>877322.76178845612</v>
      </c>
      <c r="C96" s="269">
        <f t="shared" si="14"/>
        <v>877322.76178845612</v>
      </c>
      <c r="D96" s="269">
        <f t="shared" si="32"/>
        <v>6528.7435523090944</v>
      </c>
      <c r="E96" s="269"/>
      <c r="F96" s="269">
        <f t="shared" si="27"/>
        <v>-796596.27341364196</v>
      </c>
      <c r="G96" s="269">
        <f t="shared" si="27"/>
        <v>-877322.76178845612</v>
      </c>
      <c r="H96" s="269">
        <f t="shared" si="33"/>
        <v>80726.488374814158</v>
      </c>
      <c r="I96" s="269">
        <f t="shared" si="33"/>
        <v>0</v>
      </c>
      <c r="J96" s="269">
        <f t="shared" si="28"/>
        <v>-80726.488374814158</v>
      </c>
      <c r="K96" s="269">
        <f t="shared" si="26"/>
        <v>16952.562558710972</v>
      </c>
      <c r="L96" s="269">
        <f t="shared" si="29"/>
        <v>1371.0361459849155</v>
      </c>
      <c r="M96" s="270">
        <f t="shared" si="30"/>
        <v>16952.562558710972</v>
      </c>
      <c r="N96" s="21"/>
      <c r="O96" s="271"/>
      <c r="P96" s="271"/>
      <c r="Q96" s="271"/>
      <c r="R96" s="271"/>
      <c r="S96" s="271"/>
      <c r="T96" s="271"/>
    </row>
    <row r="97" spans="1:20" s="230" customFormat="1" ht="15">
      <c r="A97" s="267">
        <f t="shared" si="31"/>
        <v>48029</v>
      </c>
      <c r="B97" s="269">
        <f t="shared" ref="B97:C118" si="34">B96</f>
        <v>877322.76178845612</v>
      </c>
      <c r="C97" s="269">
        <f t="shared" si="34"/>
        <v>877322.76178845612</v>
      </c>
      <c r="D97" s="269">
        <f t="shared" si="32"/>
        <v>6528.7435523090944</v>
      </c>
      <c r="E97" s="269"/>
      <c r="F97" s="269">
        <f t="shared" si="27"/>
        <v>-803125.01696595107</v>
      </c>
      <c r="G97" s="269">
        <f t="shared" si="27"/>
        <v>-877322.76178845612</v>
      </c>
      <c r="H97" s="269">
        <f t="shared" si="33"/>
        <v>74197.744822505047</v>
      </c>
      <c r="I97" s="269">
        <f t="shared" si="33"/>
        <v>0</v>
      </c>
      <c r="J97" s="269">
        <f t="shared" si="28"/>
        <v>-74197.744822505047</v>
      </c>
      <c r="K97" s="269">
        <f t="shared" si="26"/>
        <v>15581.52641272606</v>
      </c>
      <c r="L97" s="269">
        <f t="shared" si="29"/>
        <v>1371.0361459849119</v>
      </c>
      <c r="M97" s="270">
        <f t="shared" si="30"/>
        <v>15581.52641272606</v>
      </c>
      <c r="N97" s="21"/>
      <c r="O97" s="271"/>
      <c r="P97" s="271"/>
      <c r="Q97" s="271"/>
      <c r="R97" s="271"/>
      <c r="S97" s="271"/>
      <c r="T97" s="271"/>
    </row>
    <row r="98" spans="1:20" s="230" customFormat="1" ht="15">
      <c r="A98" s="267">
        <f t="shared" si="31"/>
        <v>48060</v>
      </c>
      <c r="B98" s="269">
        <f t="shared" si="34"/>
        <v>877322.76178845612</v>
      </c>
      <c r="C98" s="269">
        <f t="shared" si="34"/>
        <v>877322.76178845612</v>
      </c>
      <c r="D98" s="269">
        <f t="shared" si="32"/>
        <v>6528.7435523090944</v>
      </c>
      <c r="E98" s="269"/>
      <c r="F98" s="269">
        <f t="shared" si="27"/>
        <v>-809653.76051826018</v>
      </c>
      <c r="G98" s="269">
        <f t="shared" si="27"/>
        <v>-877322.76178845612</v>
      </c>
      <c r="H98" s="269">
        <f t="shared" si="33"/>
        <v>67669.001270195935</v>
      </c>
      <c r="I98" s="269">
        <f t="shared" si="33"/>
        <v>0</v>
      </c>
      <c r="J98" s="269">
        <f t="shared" si="28"/>
        <v>-67669.001270195935</v>
      </c>
      <c r="K98" s="269">
        <f t="shared" si="26"/>
        <v>14210.490266741146</v>
      </c>
      <c r="L98" s="269">
        <f t="shared" si="29"/>
        <v>1371.0361459849137</v>
      </c>
      <c r="M98" s="270">
        <f t="shared" si="30"/>
        <v>14210.490266741146</v>
      </c>
      <c r="N98" s="21"/>
      <c r="O98" s="271"/>
      <c r="P98" s="271"/>
      <c r="Q98" s="271"/>
      <c r="R98" s="271"/>
      <c r="S98" s="271"/>
      <c r="T98" s="271"/>
    </row>
    <row r="99" spans="1:20" s="230" customFormat="1" ht="15">
      <c r="A99" s="267">
        <f t="shared" si="31"/>
        <v>48091</v>
      </c>
      <c r="B99" s="269">
        <f t="shared" si="34"/>
        <v>877322.76178845612</v>
      </c>
      <c r="C99" s="269">
        <f t="shared" si="34"/>
        <v>877322.76178845612</v>
      </c>
      <c r="D99" s="269">
        <f t="shared" si="32"/>
        <v>6528.7435523090944</v>
      </c>
      <c r="E99" s="269"/>
      <c r="F99" s="269">
        <f t="shared" si="27"/>
        <v>-816182.5040705693</v>
      </c>
      <c r="G99" s="269">
        <f t="shared" si="27"/>
        <v>-877322.76178845612</v>
      </c>
      <c r="H99" s="269">
        <f t="shared" si="33"/>
        <v>61140.257717886823</v>
      </c>
      <c r="I99" s="269">
        <f t="shared" si="33"/>
        <v>0</v>
      </c>
      <c r="J99" s="269">
        <f t="shared" si="28"/>
        <v>-61140.257717886823</v>
      </c>
      <c r="K99" s="269">
        <f t="shared" si="26"/>
        <v>12839.454120756232</v>
      </c>
      <c r="L99" s="269">
        <f t="shared" si="29"/>
        <v>1371.0361459849137</v>
      </c>
      <c r="M99" s="270">
        <f t="shared" si="30"/>
        <v>12839.454120756232</v>
      </c>
      <c r="N99" s="21"/>
      <c r="O99" s="271"/>
      <c r="P99" s="271"/>
      <c r="Q99" s="271"/>
      <c r="R99" s="271"/>
      <c r="S99" s="271"/>
      <c r="T99" s="271"/>
    </row>
    <row r="100" spans="1:20" s="230" customFormat="1" ht="15">
      <c r="A100" s="267">
        <f t="shared" si="31"/>
        <v>48121</v>
      </c>
      <c r="B100" s="269">
        <f t="shared" si="34"/>
        <v>877322.76178845612</v>
      </c>
      <c r="C100" s="269">
        <f t="shared" si="34"/>
        <v>877322.76178845612</v>
      </c>
      <c r="D100" s="269">
        <f t="shared" ref="D100:D117" si="35">B100*$I$5/12</f>
        <v>3260.7162646470952</v>
      </c>
      <c r="E100" s="269"/>
      <c r="F100" s="269">
        <f t="shared" si="27"/>
        <v>-819443.22033521638</v>
      </c>
      <c r="G100" s="269">
        <f t="shared" si="27"/>
        <v>-877322.76178845612</v>
      </c>
      <c r="H100" s="269">
        <f t="shared" si="33"/>
        <v>57879.541453239741</v>
      </c>
      <c r="I100" s="269">
        <f t="shared" si="33"/>
        <v>0</v>
      </c>
      <c r="J100" s="269">
        <f t="shared" si="28"/>
        <v>-57879.541453239741</v>
      </c>
      <c r="K100" s="269">
        <f t="shared" si="26"/>
        <v>12154.703705180345</v>
      </c>
      <c r="L100" s="269">
        <f t="shared" si="29"/>
        <v>684.75041557588702</v>
      </c>
      <c r="M100" s="270">
        <f t="shared" si="30"/>
        <v>12154.703705180345</v>
      </c>
      <c r="N100" s="21"/>
      <c r="O100" s="271"/>
      <c r="P100" s="271"/>
      <c r="Q100" s="271"/>
      <c r="R100" s="271"/>
      <c r="S100" s="271"/>
      <c r="T100" s="271"/>
    </row>
    <row r="101" spans="1:20" s="230" customFormat="1" ht="15">
      <c r="A101" s="267">
        <f t="shared" si="31"/>
        <v>48152</v>
      </c>
      <c r="B101" s="269">
        <f t="shared" si="34"/>
        <v>877322.76178845612</v>
      </c>
      <c r="C101" s="269">
        <f t="shared" si="34"/>
        <v>877322.76178845612</v>
      </c>
      <c r="D101" s="269">
        <f t="shared" si="35"/>
        <v>3260.7162646470952</v>
      </c>
      <c r="E101" s="269"/>
      <c r="F101" s="269">
        <f t="shared" ref="F101:G116" si="36">F100-D101</f>
        <v>-822703.93659986346</v>
      </c>
      <c r="G101" s="269">
        <f t="shared" si="36"/>
        <v>-877322.76178845612</v>
      </c>
      <c r="H101" s="269">
        <f t="shared" si="33"/>
        <v>54618.825188592658</v>
      </c>
      <c r="I101" s="269">
        <f t="shared" si="33"/>
        <v>0</v>
      </c>
      <c r="J101" s="269">
        <f t="shared" si="28"/>
        <v>-54618.825188592658</v>
      </c>
      <c r="K101" s="269">
        <f t="shared" si="26"/>
        <v>11469.953289604458</v>
      </c>
      <c r="L101" s="269">
        <f t="shared" si="29"/>
        <v>684.75041557588702</v>
      </c>
      <c r="M101" s="270">
        <f t="shared" si="30"/>
        <v>11469.953289604458</v>
      </c>
      <c r="N101" s="21"/>
      <c r="O101" s="271"/>
      <c r="P101" s="271"/>
      <c r="Q101" s="271"/>
      <c r="R101" s="271"/>
      <c r="S101" s="271"/>
      <c r="T101" s="271"/>
    </row>
    <row r="102" spans="1:20" s="230" customFormat="1" ht="15">
      <c r="A102" s="267">
        <f t="shared" si="31"/>
        <v>48182</v>
      </c>
      <c r="B102" s="269">
        <f t="shared" si="34"/>
        <v>877322.76178845612</v>
      </c>
      <c r="C102" s="269">
        <f t="shared" si="34"/>
        <v>877322.76178845612</v>
      </c>
      <c r="D102" s="269">
        <f t="shared" si="35"/>
        <v>3260.7162646470952</v>
      </c>
      <c r="E102" s="269"/>
      <c r="F102" s="269">
        <f t="shared" si="36"/>
        <v>-825964.65286451054</v>
      </c>
      <c r="G102" s="269">
        <f t="shared" si="36"/>
        <v>-877322.76178845612</v>
      </c>
      <c r="H102" s="269">
        <f t="shared" si="33"/>
        <v>51358.108923945576</v>
      </c>
      <c r="I102" s="269">
        <f t="shared" si="33"/>
        <v>0</v>
      </c>
      <c r="J102" s="269">
        <f t="shared" si="28"/>
        <v>-51358.108923945576</v>
      </c>
      <c r="K102" s="269">
        <f t="shared" si="26"/>
        <v>10785.202874028571</v>
      </c>
      <c r="L102" s="269">
        <f t="shared" si="29"/>
        <v>684.75041557588702</v>
      </c>
      <c r="M102" s="270">
        <f t="shared" si="30"/>
        <v>10785.202874028571</v>
      </c>
      <c r="N102" s="21"/>
      <c r="O102" s="271"/>
      <c r="P102" s="271"/>
      <c r="Q102" s="271"/>
      <c r="R102" s="271"/>
      <c r="S102" s="271"/>
      <c r="T102" s="271"/>
    </row>
    <row r="103" spans="1:20" s="230" customFormat="1" ht="15">
      <c r="A103" s="267">
        <f t="shared" si="31"/>
        <v>48213</v>
      </c>
      <c r="B103" s="269">
        <f t="shared" si="34"/>
        <v>877322.76178845612</v>
      </c>
      <c r="C103" s="269">
        <f t="shared" si="34"/>
        <v>877322.76178845612</v>
      </c>
      <c r="D103" s="269">
        <f t="shared" si="35"/>
        <v>3260.7162646470952</v>
      </c>
      <c r="E103" s="269"/>
      <c r="F103" s="269">
        <f t="shared" si="36"/>
        <v>-829225.36912915763</v>
      </c>
      <c r="G103" s="269">
        <f t="shared" si="36"/>
        <v>-877322.76178845612</v>
      </c>
      <c r="H103" s="269">
        <f t="shared" si="33"/>
        <v>48097.392659298494</v>
      </c>
      <c r="I103" s="269">
        <f t="shared" si="33"/>
        <v>0</v>
      </c>
      <c r="J103" s="269">
        <f t="shared" si="28"/>
        <v>-48097.392659298494</v>
      </c>
      <c r="K103" s="269">
        <f t="shared" si="26"/>
        <v>10100.452458452683</v>
      </c>
      <c r="L103" s="269">
        <f t="shared" si="29"/>
        <v>684.75041557588884</v>
      </c>
      <c r="M103" s="270">
        <f t="shared" si="30"/>
        <v>10100.452458452683</v>
      </c>
      <c r="N103" s="21"/>
      <c r="O103" s="271"/>
      <c r="P103" s="271"/>
      <c r="Q103" s="271"/>
      <c r="R103" s="271"/>
      <c r="S103" s="271"/>
      <c r="T103" s="271"/>
    </row>
    <row r="104" spans="1:20" s="230" customFormat="1" ht="15">
      <c r="A104" s="267">
        <f t="shared" si="31"/>
        <v>48244</v>
      </c>
      <c r="B104" s="269">
        <f t="shared" si="34"/>
        <v>877322.76178845612</v>
      </c>
      <c r="C104" s="269">
        <f t="shared" si="34"/>
        <v>877322.76178845612</v>
      </c>
      <c r="D104" s="269">
        <f t="shared" si="35"/>
        <v>3260.7162646470952</v>
      </c>
      <c r="E104" s="269"/>
      <c r="F104" s="269">
        <f t="shared" si="36"/>
        <v>-832486.08539380471</v>
      </c>
      <c r="G104" s="269">
        <f t="shared" si="36"/>
        <v>-877322.76178845612</v>
      </c>
      <c r="H104" s="269">
        <f t="shared" si="33"/>
        <v>44836.676394651411</v>
      </c>
      <c r="I104" s="269">
        <f t="shared" si="33"/>
        <v>0</v>
      </c>
      <c r="J104" s="269">
        <f t="shared" si="28"/>
        <v>-44836.676394651411</v>
      </c>
      <c r="K104" s="269">
        <f t="shared" si="26"/>
        <v>9415.7020428767955</v>
      </c>
      <c r="L104" s="269">
        <f t="shared" si="29"/>
        <v>684.75041557588702</v>
      </c>
      <c r="M104" s="270">
        <f t="shared" si="30"/>
        <v>9415.7020428767955</v>
      </c>
      <c r="N104" s="21"/>
      <c r="O104" s="271"/>
      <c r="P104" s="271"/>
      <c r="Q104" s="271"/>
      <c r="R104" s="271"/>
      <c r="S104" s="271"/>
      <c r="T104" s="271"/>
    </row>
    <row r="105" spans="1:20" s="230" customFormat="1" ht="15">
      <c r="A105" s="267">
        <f t="shared" si="31"/>
        <v>48273</v>
      </c>
      <c r="B105" s="269">
        <f t="shared" si="34"/>
        <v>877322.76178845612</v>
      </c>
      <c r="C105" s="269">
        <f t="shared" si="34"/>
        <v>877322.76178845612</v>
      </c>
      <c r="D105" s="269">
        <f t="shared" si="35"/>
        <v>3260.7162646470952</v>
      </c>
      <c r="E105" s="269"/>
      <c r="F105" s="269">
        <f t="shared" si="36"/>
        <v>-835746.80165845179</v>
      </c>
      <c r="G105" s="269">
        <f t="shared" si="36"/>
        <v>-877322.76178845612</v>
      </c>
      <c r="H105" s="269">
        <f t="shared" si="33"/>
        <v>41575.960130004329</v>
      </c>
      <c r="I105" s="269">
        <f t="shared" si="33"/>
        <v>0</v>
      </c>
      <c r="J105" s="269">
        <f t="shared" si="28"/>
        <v>-41575.960130004329</v>
      </c>
      <c r="K105" s="269">
        <f t="shared" si="26"/>
        <v>8730.9516273009085</v>
      </c>
      <c r="L105" s="269">
        <f t="shared" si="29"/>
        <v>684.75041557588702</v>
      </c>
      <c r="M105" s="270">
        <f t="shared" si="30"/>
        <v>8730.9516273009085</v>
      </c>
      <c r="N105" s="21"/>
      <c r="O105" s="271"/>
      <c r="P105" s="271"/>
      <c r="Q105" s="271"/>
      <c r="R105" s="271"/>
      <c r="S105" s="271"/>
      <c r="T105" s="271"/>
    </row>
    <row r="106" spans="1:20" s="230" customFormat="1" ht="15">
      <c r="A106" s="267">
        <f t="shared" si="31"/>
        <v>48304</v>
      </c>
      <c r="B106" s="269">
        <f t="shared" si="34"/>
        <v>877322.76178845612</v>
      </c>
      <c r="C106" s="269">
        <f t="shared" si="34"/>
        <v>877322.76178845612</v>
      </c>
      <c r="D106" s="269">
        <f t="shared" si="35"/>
        <v>3260.7162646470952</v>
      </c>
      <c r="E106" s="269"/>
      <c r="F106" s="269">
        <f t="shared" si="36"/>
        <v>-839007.51792309887</v>
      </c>
      <c r="G106" s="269">
        <f t="shared" si="36"/>
        <v>-877322.76178845612</v>
      </c>
      <c r="H106" s="269">
        <f t="shared" si="33"/>
        <v>38315.243865357246</v>
      </c>
      <c r="I106" s="269">
        <f t="shared" si="33"/>
        <v>0</v>
      </c>
      <c r="J106" s="269">
        <f t="shared" si="28"/>
        <v>-38315.243865357246</v>
      </c>
      <c r="K106" s="269">
        <f t="shared" si="26"/>
        <v>8046.2012117250215</v>
      </c>
      <c r="L106" s="269">
        <f t="shared" si="29"/>
        <v>684.75041557588702</v>
      </c>
      <c r="M106" s="270">
        <f t="shared" si="30"/>
        <v>8046.2012117250215</v>
      </c>
      <c r="N106" s="21"/>
      <c r="O106" s="271"/>
      <c r="P106" s="271"/>
      <c r="Q106" s="271"/>
      <c r="R106" s="271"/>
      <c r="S106" s="271"/>
      <c r="T106" s="271"/>
    </row>
    <row r="107" spans="1:20" s="230" customFormat="1" ht="15">
      <c r="A107" s="267">
        <f t="shared" si="31"/>
        <v>48334</v>
      </c>
      <c r="B107" s="269">
        <f t="shared" si="34"/>
        <v>877322.76178845612</v>
      </c>
      <c r="C107" s="269">
        <f t="shared" si="34"/>
        <v>877322.76178845612</v>
      </c>
      <c r="D107" s="269">
        <f t="shared" si="35"/>
        <v>3260.7162646470952</v>
      </c>
      <c r="E107" s="269"/>
      <c r="F107" s="269">
        <f t="shared" si="36"/>
        <v>-842268.23418774595</v>
      </c>
      <c r="G107" s="269">
        <f t="shared" si="36"/>
        <v>-877322.76178845612</v>
      </c>
      <c r="H107" s="269">
        <f t="shared" si="33"/>
        <v>35054.527600710164</v>
      </c>
      <c r="I107" s="269">
        <f t="shared" si="33"/>
        <v>0</v>
      </c>
      <c r="J107" s="269">
        <f t="shared" si="28"/>
        <v>-35054.527600710164</v>
      </c>
      <c r="K107" s="269">
        <f t="shared" si="26"/>
        <v>7361.4507961491345</v>
      </c>
      <c r="L107" s="269">
        <f t="shared" si="29"/>
        <v>684.75041557588702</v>
      </c>
      <c r="M107" s="270">
        <f t="shared" si="30"/>
        <v>7361.4507961491345</v>
      </c>
      <c r="N107" s="21"/>
      <c r="O107" s="271"/>
      <c r="P107" s="271"/>
      <c r="Q107" s="271"/>
      <c r="R107" s="271"/>
      <c r="S107" s="271"/>
      <c r="T107" s="271"/>
    </row>
    <row r="108" spans="1:20" s="230" customFormat="1" ht="15">
      <c r="A108" s="267">
        <f t="shared" si="31"/>
        <v>48365</v>
      </c>
      <c r="B108" s="269">
        <f t="shared" si="34"/>
        <v>877322.76178845612</v>
      </c>
      <c r="C108" s="269">
        <f t="shared" si="34"/>
        <v>877322.76178845612</v>
      </c>
      <c r="D108" s="269">
        <f t="shared" si="35"/>
        <v>3260.7162646470952</v>
      </c>
      <c r="E108" s="269"/>
      <c r="F108" s="269">
        <f t="shared" si="36"/>
        <v>-845528.95045239304</v>
      </c>
      <c r="G108" s="269">
        <f t="shared" si="36"/>
        <v>-877322.76178845612</v>
      </c>
      <c r="H108" s="269">
        <f t="shared" si="33"/>
        <v>31793.811336063081</v>
      </c>
      <c r="I108" s="269">
        <f t="shared" si="33"/>
        <v>0</v>
      </c>
      <c r="J108" s="269">
        <f t="shared" si="28"/>
        <v>-31793.811336063081</v>
      </c>
      <c r="K108" s="269">
        <f t="shared" si="26"/>
        <v>6676.7003805732465</v>
      </c>
      <c r="L108" s="269">
        <f t="shared" si="29"/>
        <v>684.75041557588793</v>
      </c>
      <c r="M108" s="270">
        <f t="shared" si="30"/>
        <v>6676.7003805732465</v>
      </c>
      <c r="N108" s="21"/>
      <c r="O108" s="271"/>
      <c r="P108" s="271"/>
      <c r="Q108" s="271"/>
      <c r="R108" s="271"/>
      <c r="S108" s="271"/>
      <c r="T108" s="271"/>
    </row>
    <row r="109" spans="1:20" s="230" customFormat="1" ht="15">
      <c r="A109" s="267">
        <f t="shared" si="31"/>
        <v>48395</v>
      </c>
      <c r="B109" s="269">
        <f t="shared" si="34"/>
        <v>877322.76178845612</v>
      </c>
      <c r="C109" s="269">
        <f t="shared" si="34"/>
        <v>877322.76178845612</v>
      </c>
      <c r="D109" s="269">
        <f t="shared" si="35"/>
        <v>3260.7162646470952</v>
      </c>
      <c r="E109" s="269"/>
      <c r="F109" s="269">
        <f t="shared" si="36"/>
        <v>-848789.66671704012</v>
      </c>
      <c r="G109" s="269">
        <f t="shared" si="36"/>
        <v>-877322.76178845612</v>
      </c>
      <c r="H109" s="269">
        <f t="shared" si="33"/>
        <v>28533.095071415999</v>
      </c>
      <c r="I109" s="269">
        <f t="shared" si="33"/>
        <v>0</v>
      </c>
      <c r="J109" s="269">
        <f t="shared" si="28"/>
        <v>-28533.095071415999</v>
      </c>
      <c r="K109" s="269">
        <f t="shared" si="26"/>
        <v>5991.9499649973595</v>
      </c>
      <c r="L109" s="269">
        <f t="shared" si="29"/>
        <v>684.75041557588702</v>
      </c>
      <c r="M109" s="270">
        <f t="shared" si="30"/>
        <v>5991.9499649973595</v>
      </c>
      <c r="N109" s="97"/>
      <c r="O109" s="271"/>
      <c r="P109" s="271"/>
      <c r="Q109" s="271"/>
      <c r="R109" s="271"/>
      <c r="S109" s="271"/>
      <c r="T109" s="271"/>
    </row>
    <row r="110" spans="1:20" s="230" customFormat="1" ht="15">
      <c r="A110" s="267">
        <f t="shared" si="31"/>
        <v>48426</v>
      </c>
      <c r="B110" s="269">
        <f t="shared" si="34"/>
        <v>877322.76178845612</v>
      </c>
      <c r="C110" s="269">
        <f t="shared" si="34"/>
        <v>877322.76178845612</v>
      </c>
      <c r="D110" s="269">
        <f t="shared" si="35"/>
        <v>3260.7162646470952</v>
      </c>
      <c r="E110" s="269"/>
      <c r="F110" s="269">
        <f t="shared" si="36"/>
        <v>-852050.3829816872</v>
      </c>
      <c r="G110" s="269">
        <f t="shared" si="36"/>
        <v>-877322.76178845612</v>
      </c>
      <c r="H110" s="269">
        <f t="shared" si="33"/>
        <v>25272.378806768917</v>
      </c>
      <c r="I110" s="269">
        <f t="shared" si="33"/>
        <v>0</v>
      </c>
      <c r="J110" s="269">
        <f t="shared" si="28"/>
        <v>-25272.378806768917</v>
      </c>
      <c r="K110" s="269">
        <f t="shared" si="26"/>
        <v>5307.1995494214725</v>
      </c>
      <c r="L110" s="269">
        <f t="shared" si="29"/>
        <v>684.75041557588702</v>
      </c>
      <c r="M110" s="270">
        <f t="shared" si="30"/>
        <v>5307.1995494214725</v>
      </c>
      <c r="N110" s="97"/>
      <c r="O110" s="271"/>
      <c r="P110" s="271"/>
      <c r="Q110" s="271"/>
      <c r="R110" s="271"/>
      <c r="S110" s="271"/>
      <c r="T110" s="271"/>
    </row>
    <row r="111" spans="1:20" s="230" customFormat="1" ht="15">
      <c r="A111" s="267">
        <f t="shared" si="31"/>
        <v>48457</v>
      </c>
      <c r="B111" s="269">
        <f t="shared" si="34"/>
        <v>877322.76178845612</v>
      </c>
      <c r="C111" s="269">
        <f t="shared" si="34"/>
        <v>877322.76178845612</v>
      </c>
      <c r="D111" s="269">
        <f t="shared" si="35"/>
        <v>3260.7162646470952</v>
      </c>
      <c r="E111" s="269"/>
      <c r="F111" s="269">
        <f t="shared" si="36"/>
        <v>-855311.09924633428</v>
      </c>
      <c r="G111" s="269">
        <f t="shared" si="36"/>
        <v>-877322.76178845612</v>
      </c>
      <c r="H111" s="269">
        <f t="shared" si="33"/>
        <v>22011.662542121834</v>
      </c>
      <c r="I111" s="269">
        <f t="shared" si="33"/>
        <v>0</v>
      </c>
      <c r="J111" s="269">
        <f t="shared" si="28"/>
        <v>-22011.662542121834</v>
      </c>
      <c r="K111" s="269">
        <f t="shared" si="26"/>
        <v>4622.4491338455846</v>
      </c>
      <c r="L111" s="269">
        <f t="shared" si="29"/>
        <v>684.75041557588793</v>
      </c>
      <c r="M111" s="270">
        <f t="shared" si="30"/>
        <v>4622.4491338455846</v>
      </c>
      <c r="N111" s="97"/>
      <c r="O111" s="271"/>
      <c r="P111" s="271"/>
      <c r="Q111" s="271"/>
      <c r="R111" s="271"/>
      <c r="S111" s="271"/>
      <c r="T111" s="271"/>
    </row>
    <row r="112" spans="1:20" s="230" customFormat="1" ht="15">
      <c r="A112" s="267">
        <f t="shared" si="31"/>
        <v>48487</v>
      </c>
      <c r="B112" s="269">
        <f t="shared" si="34"/>
        <v>877322.76178845612</v>
      </c>
      <c r="C112" s="269">
        <f t="shared" si="34"/>
        <v>877322.76178845612</v>
      </c>
      <c r="D112" s="269">
        <f t="shared" si="35"/>
        <v>3260.7162646470952</v>
      </c>
      <c r="E112" s="269"/>
      <c r="F112" s="269">
        <f t="shared" si="36"/>
        <v>-858571.81551098137</v>
      </c>
      <c r="G112" s="269">
        <f t="shared" si="36"/>
        <v>-877322.76178845612</v>
      </c>
      <c r="H112" s="269">
        <f t="shared" ref="H112:I118" si="37">B112+F112</f>
        <v>18750.946277474752</v>
      </c>
      <c r="I112" s="269">
        <f t="shared" si="37"/>
        <v>0</v>
      </c>
      <c r="J112" s="269">
        <f t="shared" si="28"/>
        <v>-18750.946277474752</v>
      </c>
      <c r="K112" s="269">
        <f t="shared" si="26"/>
        <v>3937.6987182696976</v>
      </c>
      <c r="L112" s="269">
        <f t="shared" si="29"/>
        <v>684.75041557588702</v>
      </c>
      <c r="M112" s="270">
        <f t="shared" si="30"/>
        <v>3937.6987182696976</v>
      </c>
      <c r="N112" s="97"/>
      <c r="O112" s="271"/>
      <c r="P112" s="271"/>
      <c r="Q112" s="271"/>
      <c r="R112" s="271"/>
      <c r="S112" s="271"/>
      <c r="T112" s="271"/>
    </row>
    <row r="113" spans="1:20" s="230" customFormat="1" ht="15">
      <c r="A113" s="267">
        <f t="shared" si="31"/>
        <v>48518</v>
      </c>
      <c r="B113" s="269">
        <f t="shared" si="34"/>
        <v>877322.76178845612</v>
      </c>
      <c r="C113" s="269">
        <f t="shared" si="34"/>
        <v>877322.76178845612</v>
      </c>
      <c r="D113" s="269">
        <f t="shared" si="35"/>
        <v>3260.7162646470952</v>
      </c>
      <c r="E113" s="269"/>
      <c r="F113" s="269">
        <f t="shared" si="36"/>
        <v>-861832.53177562845</v>
      </c>
      <c r="G113" s="269">
        <f t="shared" si="36"/>
        <v>-877322.76178845612</v>
      </c>
      <c r="H113" s="269">
        <f t="shared" si="37"/>
        <v>15490.230012827669</v>
      </c>
      <c r="I113" s="269">
        <f t="shared" si="37"/>
        <v>0</v>
      </c>
      <c r="J113" s="269">
        <f t="shared" si="28"/>
        <v>-15490.230012827669</v>
      </c>
      <c r="K113" s="269">
        <f t="shared" si="26"/>
        <v>3252.9483026938105</v>
      </c>
      <c r="L113" s="269">
        <f t="shared" si="29"/>
        <v>684.75041557588702</v>
      </c>
      <c r="M113" s="270">
        <f t="shared" si="30"/>
        <v>3252.9483026938105</v>
      </c>
      <c r="N113" s="97"/>
      <c r="O113" s="271"/>
      <c r="P113" s="271"/>
      <c r="Q113" s="271"/>
      <c r="R113" s="271"/>
      <c r="S113" s="271"/>
      <c r="T113" s="271"/>
    </row>
    <row r="114" spans="1:20" s="230" customFormat="1" ht="15">
      <c r="A114" s="267">
        <f t="shared" si="31"/>
        <v>48548</v>
      </c>
      <c r="B114" s="269">
        <f t="shared" si="34"/>
        <v>877322.76178845612</v>
      </c>
      <c r="C114" s="269">
        <f t="shared" si="34"/>
        <v>877322.76178845612</v>
      </c>
      <c r="D114" s="269">
        <f t="shared" si="35"/>
        <v>3260.7162646470952</v>
      </c>
      <c r="E114" s="269"/>
      <c r="F114" s="269">
        <f t="shared" si="36"/>
        <v>-865093.24804027553</v>
      </c>
      <c r="G114" s="269">
        <f t="shared" si="36"/>
        <v>-877322.76178845612</v>
      </c>
      <c r="H114" s="269">
        <f t="shared" si="37"/>
        <v>12229.513748180587</v>
      </c>
      <c r="I114" s="269">
        <f t="shared" si="37"/>
        <v>0</v>
      </c>
      <c r="J114" s="269">
        <f t="shared" si="28"/>
        <v>-12229.513748180587</v>
      </c>
      <c r="K114" s="269">
        <f t="shared" si="26"/>
        <v>2568.1978871179231</v>
      </c>
      <c r="L114" s="269">
        <f t="shared" si="29"/>
        <v>684.75041557588747</v>
      </c>
      <c r="M114" s="270">
        <f t="shared" si="30"/>
        <v>2568.1978871179231</v>
      </c>
      <c r="N114" s="97"/>
      <c r="O114" s="271"/>
      <c r="P114" s="271"/>
      <c r="Q114" s="271"/>
      <c r="R114" s="271"/>
      <c r="S114" s="271"/>
      <c r="T114" s="271"/>
    </row>
    <row r="115" spans="1:20" s="230" customFormat="1" ht="15">
      <c r="A115" s="267">
        <f t="shared" si="31"/>
        <v>48579</v>
      </c>
      <c r="B115" s="269">
        <f t="shared" si="34"/>
        <v>877322.76178845612</v>
      </c>
      <c r="C115" s="269">
        <f t="shared" si="34"/>
        <v>877322.76178845612</v>
      </c>
      <c r="D115" s="269">
        <f t="shared" si="35"/>
        <v>3260.7162646470952</v>
      </c>
      <c r="E115" s="269"/>
      <c r="F115" s="269">
        <f t="shared" si="36"/>
        <v>-868353.96430492261</v>
      </c>
      <c r="G115" s="269">
        <f t="shared" si="36"/>
        <v>-877322.76178845612</v>
      </c>
      <c r="H115" s="269">
        <f t="shared" si="37"/>
        <v>8968.7974835335044</v>
      </c>
      <c r="I115" s="269">
        <f t="shared" si="37"/>
        <v>0</v>
      </c>
      <c r="J115" s="269">
        <f t="shared" si="28"/>
        <v>-8968.7974835335044</v>
      </c>
      <c r="K115" s="269">
        <f t="shared" si="26"/>
        <v>1883.4474715420358</v>
      </c>
      <c r="L115" s="269">
        <f t="shared" si="29"/>
        <v>684.75041557588725</v>
      </c>
      <c r="M115" s="270">
        <f t="shared" si="30"/>
        <v>1883.4474715420358</v>
      </c>
      <c r="N115" s="97"/>
      <c r="O115" s="271"/>
      <c r="P115" s="271"/>
      <c r="Q115" s="271"/>
      <c r="R115" s="271"/>
      <c r="S115" s="271"/>
      <c r="T115" s="271"/>
    </row>
    <row r="116" spans="1:20" s="230" customFormat="1" ht="15">
      <c r="A116" s="267">
        <f t="shared" si="31"/>
        <v>48610</v>
      </c>
      <c r="B116" s="269">
        <f t="shared" si="34"/>
        <v>877322.76178845612</v>
      </c>
      <c r="C116" s="269">
        <f t="shared" si="34"/>
        <v>877322.76178845612</v>
      </c>
      <c r="D116" s="269">
        <f t="shared" si="35"/>
        <v>3260.7162646470952</v>
      </c>
      <c r="E116" s="269"/>
      <c r="F116" s="269">
        <f t="shared" si="36"/>
        <v>-871614.6805695697</v>
      </c>
      <c r="G116" s="269">
        <f t="shared" si="36"/>
        <v>-877322.76178845612</v>
      </c>
      <c r="H116" s="269">
        <f t="shared" si="37"/>
        <v>5708.081218886422</v>
      </c>
      <c r="I116" s="269">
        <f t="shared" si="37"/>
        <v>0</v>
      </c>
      <c r="J116" s="269">
        <f t="shared" si="28"/>
        <v>-5708.081218886422</v>
      </c>
      <c r="K116" s="269">
        <f t="shared" ref="K116:K118" si="38">-J116*$K$15</f>
        <v>1198.6970559661486</v>
      </c>
      <c r="L116" s="269">
        <f t="shared" si="29"/>
        <v>684.75041557588725</v>
      </c>
      <c r="M116" s="270">
        <f t="shared" si="30"/>
        <v>1198.6970559661486</v>
      </c>
      <c r="N116" s="97"/>
      <c r="O116" s="271"/>
      <c r="P116" s="271"/>
      <c r="Q116" s="271"/>
      <c r="R116" s="271"/>
      <c r="S116" s="271"/>
      <c r="T116" s="271"/>
    </row>
    <row r="117" spans="1:20" s="230" customFormat="1" ht="15">
      <c r="A117" s="267">
        <f t="shared" si="31"/>
        <v>48638</v>
      </c>
      <c r="B117" s="269">
        <f t="shared" si="34"/>
        <v>877322.76178845612</v>
      </c>
      <c r="C117" s="269">
        <f t="shared" si="34"/>
        <v>877322.76178845612</v>
      </c>
      <c r="D117" s="269">
        <f t="shared" si="35"/>
        <v>3260.7162646470952</v>
      </c>
      <c r="E117" s="269"/>
      <c r="F117" s="269">
        <f t="shared" ref="F117:G118" si="39">F116-D117</f>
        <v>-874875.39683421678</v>
      </c>
      <c r="G117" s="269">
        <f t="shared" si="39"/>
        <v>-877322.76178845612</v>
      </c>
      <c r="H117" s="269">
        <f t="shared" si="37"/>
        <v>2447.3649542393396</v>
      </c>
      <c r="I117" s="269">
        <f t="shared" si="37"/>
        <v>0</v>
      </c>
      <c r="J117" s="269">
        <f t="shared" si="28"/>
        <v>-2447.3649542393396</v>
      </c>
      <c r="K117" s="269">
        <f t="shared" si="38"/>
        <v>513.94664039026134</v>
      </c>
      <c r="L117" s="269">
        <f t="shared" si="29"/>
        <v>684.75041557588725</v>
      </c>
      <c r="M117" s="270">
        <f t="shared" si="30"/>
        <v>513.94664039026134</v>
      </c>
      <c r="N117" s="97"/>
      <c r="O117" s="271"/>
      <c r="P117" s="271"/>
      <c r="Q117" s="271"/>
      <c r="R117" s="271"/>
      <c r="S117" s="271"/>
      <c r="T117" s="271"/>
    </row>
    <row r="118" spans="1:20" s="230" customFormat="1" ht="15">
      <c r="A118" s="267">
        <f t="shared" si="31"/>
        <v>48669</v>
      </c>
      <c r="B118" s="269">
        <f t="shared" si="34"/>
        <v>877322.76178845612</v>
      </c>
      <c r="C118" s="269">
        <f t="shared" si="34"/>
        <v>877322.76178845612</v>
      </c>
      <c r="D118" s="269">
        <f>B117+F117</f>
        <v>2447.3649542393396</v>
      </c>
      <c r="E118" s="269"/>
      <c r="F118" s="269">
        <f t="shared" si="39"/>
        <v>-877322.76178845612</v>
      </c>
      <c r="G118" s="269">
        <f t="shared" si="39"/>
        <v>-877322.76178845612</v>
      </c>
      <c r="H118" s="269">
        <f t="shared" si="37"/>
        <v>0</v>
      </c>
      <c r="I118" s="269">
        <f t="shared" si="37"/>
        <v>0</v>
      </c>
      <c r="J118" s="269">
        <f t="shared" si="28"/>
        <v>0</v>
      </c>
      <c r="K118" s="269">
        <f t="shared" si="38"/>
        <v>0</v>
      </c>
      <c r="L118" s="269">
        <f t="shared" si="29"/>
        <v>513.94664039026134</v>
      </c>
      <c r="M118" s="270">
        <f t="shared" si="30"/>
        <v>0</v>
      </c>
      <c r="N118" s="97"/>
      <c r="O118" s="271"/>
      <c r="P118" s="271"/>
      <c r="Q118" s="271"/>
      <c r="R118" s="271"/>
      <c r="S118" s="271"/>
      <c r="T118" s="271"/>
    </row>
    <row r="119" spans="1:20" ht="6" customHeight="1" thickBot="1">
      <c r="A119" s="276"/>
      <c r="B119" s="277"/>
      <c r="C119" s="277"/>
      <c r="D119" s="277"/>
      <c r="E119" s="277"/>
      <c r="F119" s="277"/>
      <c r="G119" s="277"/>
      <c r="H119" s="277"/>
      <c r="I119" s="277"/>
      <c r="J119" s="277"/>
      <c r="K119" s="277"/>
      <c r="L119" s="277"/>
      <c r="M119" s="278">
        <f t="shared" si="30"/>
        <v>0</v>
      </c>
      <c r="N119" s="97"/>
      <c r="O119" s="279"/>
      <c r="P119" s="279"/>
      <c r="Q119" s="279"/>
      <c r="R119" s="279"/>
      <c r="S119" s="279"/>
      <c r="T119" s="279"/>
    </row>
    <row r="120" spans="1:20" s="230" customFormat="1" ht="15">
      <c r="A120" s="280"/>
      <c r="B120" s="281"/>
      <c r="C120" s="281"/>
      <c r="D120" s="282"/>
      <c r="E120" s="282"/>
      <c r="F120" s="283"/>
      <c r="G120" s="281"/>
      <c r="H120" s="281"/>
      <c r="I120" s="281"/>
      <c r="J120" s="281"/>
      <c r="K120" s="281"/>
      <c r="L120" s="281"/>
      <c r="M120" s="97"/>
      <c r="N120" s="97"/>
      <c r="O120" s="97"/>
    </row>
    <row r="121" spans="1:20" ht="15">
      <c r="A121" s="97"/>
      <c r="B121" s="97"/>
      <c r="C121" s="97"/>
      <c r="D121" s="227"/>
      <c r="E121" s="97"/>
      <c r="F121" s="97"/>
      <c r="G121" s="227"/>
      <c r="H121" s="97"/>
      <c r="I121" s="97"/>
      <c r="J121" s="97"/>
      <c r="K121" s="97"/>
      <c r="L121" s="97"/>
      <c r="M121" s="97"/>
      <c r="N121" s="97"/>
      <c r="O121" s="97"/>
    </row>
    <row r="122" spans="1:20" ht="15">
      <c r="A122" s="97"/>
      <c r="B122" s="97"/>
      <c r="C122" s="97"/>
      <c r="D122" s="227"/>
      <c r="E122" s="97"/>
      <c r="F122" s="97"/>
      <c r="G122" s="97"/>
      <c r="H122" s="97"/>
      <c r="I122" s="97"/>
      <c r="J122" s="97"/>
      <c r="K122" s="97"/>
      <c r="L122" s="97"/>
      <c r="M122" s="97"/>
      <c r="N122" s="97"/>
      <c r="O122" s="97"/>
      <c r="P122" s="97"/>
      <c r="Q122" s="97"/>
    </row>
    <row r="123" spans="1:20" ht="15">
      <c r="A123" s="284"/>
      <c r="B123" s="97"/>
      <c r="C123" s="97"/>
      <c r="D123" s="97"/>
      <c r="E123" s="97"/>
      <c r="F123" s="97"/>
      <c r="G123" s="97"/>
      <c r="H123" s="97"/>
      <c r="I123" s="97"/>
      <c r="J123" s="97"/>
      <c r="K123" s="97"/>
      <c r="L123" s="97"/>
      <c r="M123" s="97"/>
      <c r="N123" s="97"/>
      <c r="O123" s="97"/>
      <c r="P123" s="97"/>
      <c r="Q123" s="97"/>
    </row>
    <row r="124" spans="1:20" ht="15">
      <c r="A124" s="97"/>
      <c r="B124" s="97"/>
      <c r="C124" s="97"/>
      <c r="D124" s="97"/>
      <c r="E124" s="97"/>
      <c r="F124" s="97"/>
      <c r="G124" s="97"/>
      <c r="H124" s="97"/>
      <c r="I124" s="97"/>
      <c r="J124" s="97"/>
      <c r="K124" s="97"/>
      <c r="L124" s="97"/>
      <c r="M124" s="97"/>
      <c r="N124" s="97"/>
    </row>
    <row r="125" spans="1:20" ht="15">
      <c r="A125" s="97"/>
      <c r="B125" s="97"/>
      <c r="C125" s="97"/>
      <c r="D125" s="97"/>
      <c r="E125" s="97"/>
      <c r="F125" s="97"/>
      <c r="G125" s="97"/>
      <c r="H125" s="97"/>
      <c r="I125" s="97"/>
      <c r="J125" s="97"/>
      <c r="K125" s="97"/>
      <c r="L125" s="97"/>
      <c r="M125" s="97"/>
      <c r="N125" s="97"/>
      <c r="O125" s="97"/>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9"/>
  <sheetViews>
    <sheetView zoomScale="85" zoomScaleNormal="85" workbookViewId="0">
      <pane xSplit="5" ySplit="6" topLeftCell="F25"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5"/>
  <cols>
    <col min="1" max="1" width="8.85546875" style="97"/>
    <col min="2" max="2" width="17" style="97" customWidth="1"/>
    <col min="3" max="3" width="8.85546875" style="97"/>
    <col min="4" max="4" width="0" style="97" hidden="1" customWidth="1"/>
    <col min="5" max="5" width="13.7109375" style="97" hidden="1" customWidth="1"/>
    <col min="6" max="10" width="13.7109375" style="97" bestFit="1" customWidth="1"/>
    <col min="11" max="14" width="14.7109375" style="97" bestFit="1" customWidth="1"/>
    <col min="15" max="16384" width="8.85546875" style="97"/>
  </cols>
  <sheetData>
    <row r="1" spans="1:14" s="182" customFormat="1">
      <c r="A1" s="384" t="s">
        <v>278</v>
      </c>
      <c r="B1" s="384"/>
      <c r="C1" s="384"/>
      <c r="D1" s="384"/>
      <c r="E1" s="384"/>
      <c r="F1" s="384"/>
      <c r="G1" s="384"/>
      <c r="H1" s="384"/>
      <c r="I1" s="384"/>
      <c r="J1" s="384"/>
      <c r="K1" s="384"/>
      <c r="L1" s="384"/>
      <c r="M1" s="384"/>
      <c r="N1" s="384"/>
    </row>
    <row r="2" spans="1:14" s="182" customFormat="1">
      <c r="A2" s="384" t="s">
        <v>281</v>
      </c>
      <c r="B2" s="384"/>
      <c r="C2" s="384"/>
      <c r="D2" s="384"/>
      <c r="E2" s="384"/>
      <c r="F2" s="384"/>
      <c r="G2" s="384"/>
      <c r="H2" s="384"/>
      <c r="I2" s="384"/>
      <c r="J2" s="384"/>
      <c r="K2" s="384"/>
      <c r="L2" s="384"/>
      <c r="M2" s="384"/>
      <c r="N2" s="384"/>
    </row>
    <row r="3" spans="1:14" s="182" customFormat="1">
      <c r="A3" s="384" t="s">
        <v>279</v>
      </c>
      <c r="B3" s="384"/>
      <c r="C3" s="384"/>
      <c r="D3" s="384"/>
      <c r="E3" s="384"/>
      <c r="F3" s="384"/>
      <c r="G3" s="384"/>
      <c r="H3" s="384"/>
      <c r="I3" s="384"/>
      <c r="J3" s="384"/>
      <c r="K3" s="384"/>
      <c r="L3" s="384"/>
      <c r="M3" s="384"/>
      <c r="N3" s="384"/>
    </row>
    <row r="4" spans="1:14" s="182" customFormat="1">
      <c r="A4" s="384" t="s">
        <v>280</v>
      </c>
      <c r="B4" s="384"/>
      <c r="C4" s="384"/>
      <c r="D4" s="384"/>
      <c r="E4" s="384"/>
      <c r="F4" s="384"/>
      <c r="G4" s="384"/>
      <c r="H4" s="384"/>
      <c r="I4" s="384"/>
      <c r="J4" s="384"/>
      <c r="K4" s="384"/>
      <c r="L4" s="384"/>
      <c r="M4" s="384"/>
      <c r="N4" s="384"/>
    </row>
    <row r="5" spans="1:14" s="182" customFormat="1">
      <c r="A5" s="189"/>
      <c r="B5" s="189"/>
      <c r="C5" s="189"/>
      <c r="D5" s="189"/>
      <c r="E5" s="189"/>
      <c r="F5" s="189"/>
      <c r="G5" s="189"/>
      <c r="H5" s="189"/>
      <c r="I5" s="189"/>
      <c r="J5" s="189"/>
      <c r="K5" s="189"/>
      <c r="L5" s="189"/>
      <c r="M5" s="189"/>
      <c r="N5" s="189"/>
    </row>
    <row r="6" spans="1:14" s="12" customFormat="1">
      <c r="A6" s="12" t="s">
        <v>0</v>
      </c>
      <c r="C6" s="54"/>
      <c r="D6" s="12">
        <v>2017</v>
      </c>
      <c r="E6" s="12">
        <f>D6+1</f>
        <v>2018</v>
      </c>
      <c r="F6" s="12">
        <f>E6+1</f>
        <v>2019</v>
      </c>
      <c r="G6" s="12">
        <f>F6+1</f>
        <v>2020</v>
      </c>
      <c r="H6" s="12">
        <f>G6+1</f>
        <v>2021</v>
      </c>
      <c r="I6" s="12">
        <f>H6+1</f>
        <v>2022</v>
      </c>
      <c r="J6" s="12">
        <f t="shared" ref="J6:N6" si="0">I6+1</f>
        <v>2023</v>
      </c>
      <c r="K6" s="12">
        <f t="shared" si="0"/>
        <v>2024</v>
      </c>
      <c r="L6" s="12">
        <f t="shared" si="0"/>
        <v>2025</v>
      </c>
      <c r="M6" s="12">
        <f t="shared" si="0"/>
        <v>2026</v>
      </c>
      <c r="N6" s="12">
        <f t="shared" si="0"/>
        <v>2027</v>
      </c>
    </row>
    <row r="8" spans="1:14">
      <c r="A8" s="97" t="s">
        <v>31</v>
      </c>
    </row>
    <row r="9" spans="1:14">
      <c r="B9" s="97" t="s">
        <v>61</v>
      </c>
      <c r="E9" s="4">
        <v>0</v>
      </c>
      <c r="F9" s="4">
        <v>0</v>
      </c>
      <c r="G9" s="4">
        <v>0</v>
      </c>
      <c r="H9" s="4">
        <v>0</v>
      </c>
      <c r="I9" s="4">
        <v>0</v>
      </c>
      <c r="J9" s="4">
        <v>0</v>
      </c>
      <c r="K9" s="4">
        <v>0</v>
      </c>
      <c r="L9" s="4">
        <v>0</v>
      </c>
      <c r="M9" s="4">
        <v>0</v>
      </c>
      <c r="N9" s="4">
        <v>0</v>
      </c>
    </row>
    <row r="10" spans="1:14">
      <c r="B10" s="97" t="s">
        <v>62</v>
      </c>
      <c r="E10" s="4">
        <v>0</v>
      </c>
      <c r="F10" s="4">
        <v>0</v>
      </c>
      <c r="G10" s="4">
        <v>0</v>
      </c>
      <c r="H10" s="4">
        <v>0</v>
      </c>
      <c r="I10" s="4">
        <v>0</v>
      </c>
      <c r="J10" s="4">
        <v>0</v>
      </c>
      <c r="K10" s="4">
        <v>0</v>
      </c>
      <c r="L10" s="4">
        <v>0</v>
      </c>
      <c r="M10" s="4">
        <v>0</v>
      </c>
      <c r="N10" s="4">
        <v>0</v>
      </c>
    </row>
    <row r="11" spans="1:14">
      <c r="B11" s="97" t="s">
        <v>63</v>
      </c>
      <c r="E11" s="4">
        <v>0</v>
      </c>
      <c r="F11" s="4">
        <v>0</v>
      </c>
      <c r="G11" s="4">
        <v>0</v>
      </c>
      <c r="H11" s="4">
        <v>0</v>
      </c>
      <c r="I11" s="4">
        <v>0</v>
      </c>
      <c r="J11" s="4">
        <v>0</v>
      </c>
      <c r="K11" s="4">
        <v>0</v>
      </c>
      <c r="L11" s="4">
        <v>0</v>
      </c>
      <c r="M11" s="4">
        <v>0</v>
      </c>
      <c r="N11" s="4">
        <v>0</v>
      </c>
    </row>
    <row r="12" spans="1:14">
      <c r="B12" s="97" t="s">
        <v>64</v>
      </c>
      <c r="E12" s="4">
        <v>0</v>
      </c>
      <c r="F12" s="4">
        <v>166915</v>
      </c>
      <c r="G12" s="4">
        <v>0</v>
      </c>
      <c r="H12" s="4">
        <v>0</v>
      </c>
      <c r="I12" s="4">
        <v>0</v>
      </c>
      <c r="J12" s="4">
        <v>0</v>
      </c>
      <c r="K12" s="4">
        <v>0</v>
      </c>
      <c r="L12" s="4">
        <v>0</v>
      </c>
      <c r="M12" s="4">
        <v>0</v>
      </c>
      <c r="N12" s="4">
        <v>0</v>
      </c>
    </row>
    <row r="13" spans="1:14" s="85" customFormat="1">
      <c r="B13" s="85" t="s">
        <v>70</v>
      </c>
      <c r="E13" s="86">
        <f t="shared" ref="E13:N13" si="1">SUM(E9:E12)</f>
        <v>0</v>
      </c>
      <c r="F13" s="87">
        <f t="shared" si="1"/>
        <v>166915</v>
      </c>
      <c r="G13" s="87">
        <f t="shared" si="1"/>
        <v>0</v>
      </c>
      <c r="H13" s="87">
        <f t="shared" si="1"/>
        <v>0</v>
      </c>
      <c r="I13" s="87">
        <f t="shared" si="1"/>
        <v>0</v>
      </c>
      <c r="J13" s="87">
        <f t="shared" si="1"/>
        <v>0</v>
      </c>
      <c r="K13" s="87">
        <f t="shared" si="1"/>
        <v>0</v>
      </c>
      <c r="L13" s="87">
        <f t="shared" si="1"/>
        <v>0</v>
      </c>
      <c r="M13" s="87">
        <f t="shared" si="1"/>
        <v>0</v>
      </c>
      <c r="N13" s="87">
        <f t="shared" si="1"/>
        <v>0</v>
      </c>
    </row>
    <row r="14" spans="1:14">
      <c r="B14" s="179" t="s">
        <v>272</v>
      </c>
      <c r="E14" s="180">
        <v>0</v>
      </c>
      <c r="F14" s="180">
        <v>0</v>
      </c>
      <c r="G14" s="180">
        <v>0</v>
      </c>
      <c r="H14" s="180">
        <v>0</v>
      </c>
      <c r="I14" s="180">
        <v>0</v>
      </c>
      <c r="J14" s="180">
        <v>0</v>
      </c>
      <c r="K14" s="180">
        <v>0</v>
      </c>
      <c r="L14" s="180">
        <v>0</v>
      </c>
      <c r="M14" s="180">
        <v>0</v>
      </c>
      <c r="N14" s="180">
        <v>0</v>
      </c>
    </row>
    <row r="15" spans="1:14">
      <c r="A15" s="97" t="s">
        <v>65</v>
      </c>
      <c r="E15" s="4"/>
      <c r="F15" s="4"/>
      <c r="G15" s="4"/>
      <c r="H15" s="4"/>
      <c r="I15" s="4"/>
      <c r="J15" s="4"/>
      <c r="K15" s="4"/>
      <c r="L15" s="4"/>
      <c r="M15" s="4"/>
      <c r="N15" s="4"/>
    </row>
    <row r="16" spans="1:14">
      <c r="B16" s="97" t="s">
        <v>61</v>
      </c>
      <c r="E16" s="4">
        <v>0</v>
      </c>
      <c r="F16" s="4">
        <v>57188.85</v>
      </c>
      <c r="G16" s="4">
        <v>26265.624999999996</v>
      </c>
      <c r="H16" s="4">
        <v>0</v>
      </c>
      <c r="I16" s="4">
        <v>27595.322265624993</v>
      </c>
      <c r="J16" s="4">
        <v>0</v>
      </c>
      <c r="K16" s="4">
        <v>0</v>
      </c>
      <c r="L16" s="4">
        <v>0</v>
      </c>
      <c r="M16" s="4">
        <v>0</v>
      </c>
      <c r="N16" s="4">
        <v>0</v>
      </c>
    </row>
    <row r="17" spans="1:14">
      <c r="B17" s="97" t="s">
        <v>62</v>
      </c>
      <c r="E17" s="4">
        <v>0</v>
      </c>
      <c r="F17" s="4">
        <v>461249.99999999994</v>
      </c>
      <c r="G17" s="4">
        <v>353797.96875</v>
      </c>
      <c r="H17" s="4">
        <v>40383.398437499993</v>
      </c>
      <c r="I17" s="4">
        <v>41392.983398437493</v>
      </c>
      <c r="J17" s="4">
        <v>401124.10662042524</v>
      </c>
      <c r="K17" s="4">
        <v>402929.16510021716</v>
      </c>
      <c r="L17" s="4">
        <v>0</v>
      </c>
      <c r="M17" s="4">
        <v>0</v>
      </c>
      <c r="N17" s="4">
        <v>0</v>
      </c>
    </row>
    <row r="18" spans="1:14">
      <c r="B18" s="97" t="s">
        <v>63</v>
      </c>
      <c r="E18" s="4">
        <v>0</v>
      </c>
      <c r="F18" s="4">
        <v>358749.99999999994</v>
      </c>
      <c r="G18" s="4">
        <v>0</v>
      </c>
      <c r="H18" s="4">
        <v>0</v>
      </c>
      <c r="I18" s="4">
        <v>0</v>
      </c>
      <c r="J18" s="4">
        <v>0</v>
      </c>
      <c r="K18" s="4">
        <v>187191.24975619843</v>
      </c>
      <c r="L18" s="4">
        <v>188033.61038010137</v>
      </c>
      <c r="M18" s="4">
        <v>0</v>
      </c>
      <c r="N18" s="4">
        <v>0</v>
      </c>
    </row>
    <row r="19" spans="1:14">
      <c r="B19" s="97" t="s">
        <v>64</v>
      </c>
      <c r="E19" s="4">
        <v>0</v>
      </c>
      <c r="F19" s="4">
        <v>926398</v>
      </c>
      <c r="G19" s="4">
        <v>0</v>
      </c>
      <c r="H19" s="4">
        <v>0</v>
      </c>
      <c r="I19" s="4">
        <v>0</v>
      </c>
      <c r="J19" s="4">
        <v>0</v>
      </c>
      <c r="K19" s="4">
        <v>0</v>
      </c>
      <c r="L19" s="4">
        <v>0</v>
      </c>
      <c r="M19" s="4">
        <v>0</v>
      </c>
      <c r="N19" s="4">
        <v>0</v>
      </c>
    </row>
    <row r="20" spans="1:14" s="85" customFormat="1">
      <c r="B20" s="85" t="s">
        <v>70</v>
      </c>
      <c r="E20" s="86">
        <f>SUM(E16:E19)</f>
        <v>0</v>
      </c>
      <c r="F20" s="87">
        <f t="shared" ref="F20:N20" si="2">SUM(F16:F19)</f>
        <v>1803586.8499999999</v>
      </c>
      <c r="G20" s="87">
        <f t="shared" si="2"/>
        <v>380063.59375</v>
      </c>
      <c r="H20" s="87">
        <f t="shared" si="2"/>
        <v>40383.398437499993</v>
      </c>
      <c r="I20" s="87">
        <f t="shared" si="2"/>
        <v>68988.305664062485</v>
      </c>
      <c r="J20" s="87">
        <f t="shared" si="2"/>
        <v>401124.10662042524</v>
      </c>
      <c r="K20" s="87">
        <f t="shared" si="2"/>
        <v>590120.41485641559</v>
      </c>
      <c r="L20" s="87">
        <f t="shared" si="2"/>
        <v>188033.61038010137</v>
      </c>
      <c r="M20" s="87">
        <f t="shared" si="2"/>
        <v>0</v>
      </c>
      <c r="N20" s="87">
        <f t="shared" si="2"/>
        <v>0</v>
      </c>
    </row>
    <row r="21" spans="1:14">
      <c r="B21" s="179" t="s">
        <v>272</v>
      </c>
      <c r="E21" s="180">
        <v>0</v>
      </c>
      <c r="F21" s="180">
        <v>0</v>
      </c>
      <c r="G21" s="180">
        <v>0</v>
      </c>
      <c r="H21" s="180">
        <v>0</v>
      </c>
      <c r="I21" s="180">
        <v>0</v>
      </c>
      <c r="J21" s="180">
        <v>0</v>
      </c>
      <c r="K21" s="180">
        <v>0</v>
      </c>
      <c r="L21" s="180">
        <v>0</v>
      </c>
      <c r="M21" s="180">
        <v>0</v>
      </c>
      <c r="N21" s="180">
        <v>0</v>
      </c>
    </row>
    <row r="22" spans="1:14">
      <c r="A22" s="97" t="s">
        <v>66</v>
      </c>
      <c r="E22" s="4"/>
      <c r="F22" s="4"/>
      <c r="G22" s="4"/>
      <c r="H22" s="4"/>
      <c r="I22" s="4"/>
      <c r="J22" s="4"/>
      <c r="K22" s="4"/>
      <c r="L22" s="4"/>
      <c r="M22" s="4"/>
      <c r="N22" s="4"/>
    </row>
    <row r="23" spans="1:14">
      <c r="B23" s="97" t="s">
        <v>61</v>
      </c>
      <c r="E23" s="4">
        <v>0</v>
      </c>
      <c r="F23" s="4">
        <v>327281.47499999998</v>
      </c>
      <c r="G23" s="4">
        <v>257931.06406249999</v>
      </c>
      <c r="H23" s="4">
        <v>0</v>
      </c>
      <c r="I23" s="4">
        <v>0</v>
      </c>
      <c r="J23" s="4">
        <v>0</v>
      </c>
      <c r="K23" s="4">
        <v>0</v>
      </c>
      <c r="L23" s="4">
        <v>0</v>
      </c>
      <c r="M23" s="4">
        <v>0</v>
      </c>
      <c r="N23" s="4">
        <v>0</v>
      </c>
    </row>
    <row r="24" spans="1:14">
      <c r="B24" s="97" t="s">
        <v>62</v>
      </c>
      <c r="E24" s="4">
        <v>0</v>
      </c>
      <c r="F24" s="4">
        <v>106241.24999999999</v>
      </c>
      <c r="G24" s="4">
        <v>181495.46875</v>
      </c>
      <c r="H24" s="4">
        <v>0</v>
      </c>
      <c r="I24" s="4">
        <v>0</v>
      </c>
      <c r="J24" s="4">
        <v>0</v>
      </c>
      <c r="K24" s="4">
        <v>60101.111398883033</v>
      </c>
      <c r="L24" s="4">
        <v>102672.73197309185</v>
      </c>
      <c r="M24" s="4">
        <v>0</v>
      </c>
      <c r="N24" s="4">
        <v>0</v>
      </c>
    </row>
    <row r="25" spans="1:14">
      <c r="B25" s="97" t="s">
        <v>63</v>
      </c>
      <c r="E25" s="4">
        <v>0</v>
      </c>
      <c r="F25" s="4">
        <v>264142.49999999994</v>
      </c>
      <c r="G25" s="4">
        <v>451243.43749999994</v>
      </c>
      <c r="H25" s="4">
        <v>0</v>
      </c>
      <c r="I25" s="4">
        <v>0</v>
      </c>
      <c r="J25" s="4">
        <v>0</v>
      </c>
      <c r="K25" s="4">
        <v>166821.89820992423</v>
      </c>
      <c r="L25" s="4">
        <v>284987.40944195399</v>
      </c>
      <c r="M25" s="4">
        <v>0</v>
      </c>
      <c r="N25" s="4">
        <v>0</v>
      </c>
    </row>
    <row r="26" spans="1:14">
      <c r="B26" s="97" t="s">
        <v>64</v>
      </c>
      <c r="E26" s="4">
        <v>0</v>
      </c>
      <c r="F26" s="4">
        <v>587141</v>
      </c>
      <c r="G26" s="4">
        <v>0</v>
      </c>
      <c r="H26" s="4">
        <v>0</v>
      </c>
      <c r="I26" s="4">
        <v>0</v>
      </c>
      <c r="J26" s="4">
        <v>0</v>
      </c>
      <c r="K26" s="4">
        <v>0</v>
      </c>
      <c r="L26" s="4">
        <v>0</v>
      </c>
      <c r="M26" s="4">
        <v>0</v>
      </c>
      <c r="N26" s="4">
        <v>0</v>
      </c>
    </row>
    <row r="27" spans="1:14" s="85" customFormat="1">
      <c r="B27" s="85" t="s">
        <v>70</v>
      </c>
      <c r="E27" s="86">
        <f>SUM(E23:E26)</f>
        <v>0</v>
      </c>
      <c r="F27" s="87">
        <f t="shared" ref="F27:N27" si="3">SUM(F23:F26)</f>
        <v>1284806.2249999999</v>
      </c>
      <c r="G27" s="87">
        <f t="shared" si="3"/>
        <v>890669.97031249991</v>
      </c>
      <c r="H27" s="87">
        <f t="shared" si="3"/>
        <v>0</v>
      </c>
      <c r="I27" s="87">
        <f t="shared" si="3"/>
        <v>0</v>
      </c>
      <c r="J27" s="87">
        <f t="shared" si="3"/>
        <v>0</v>
      </c>
      <c r="K27" s="87">
        <f t="shared" si="3"/>
        <v>226923.00960880728</v>
      </c>
      <c r="L27" s="87">
        <f t="shared" si="3"/>
        <v>387660.14141504583</v>
      </c>
      <c r="M27" s="87">
        <f t="shared" si="3"/>
        <v>0</v>
      </c>
      <c r="N27" s="87">
        <f t="shared" si="3"/>
        <v>0</v>
      </c>
    </row>
    <row r="28" spans="1:14">
      <c r="B28" s="179" t="s">
        <v>272</v>
      </c>
      <c r="E28" s="180">
        <v>0</v>
      </c>
      <c r="F28" s="180">
        <v>0</v>
      </c>
      <c r="G28" s="180">
        <v>0</v>
      </c>
      <c r="H28" s="180">
        <v>0</v>
      </c>
      <c r="I28" s="180">
        <v>0</v>
      </c>
      <c r="J28" s="180">
        <v>0</v>
      </c>
      <c r="K28" s="180">
        <v>0</v>
      </c>
      <c r="L28" s="180">
        <v>0</v>
      </c>
      <c r="M28" s="180">
        <v>0</v>
      </c>
      <c r="N28" s="180">
        <v>0</v>
      </c>
    </row>
    <row r="29" spans="1:14">
      <c r="A29" s="97" t="s">
        <v>67</v>
      </c>
      <c r="E29" s="4"/>
      <c r="F29" s="4"/>
      <c r="G29" s="4"/>
      <c r="H29" s="4"/>
      <c r="I29" s="4"/>
      <c r="J29" s="4"/>
      <c r="K29" s="4"/>
      <c r="L29" s="4"/>
      <c r="M29" s="4"/>
      <c r="N29" s="4"/>
    </row>
    <row r="30" spans="1:14">
      <c r="B30" s="97" t="s">
        <v>61</v>
      </c>
      <c r="E30" s="4">
        <v>0</v>
      </c>
      <c r="F30" s="4">
        <v>150157.375</v>
      </c>
      <c r="G30" s="4">
        <v>78796.875</v>
      </c>
      <c r="H30" s="4">
        <v>0</v>
      </c>
      <c r="I30" s="4">
        <v>0</v>
      </c>
      <c r="J30" s="4">
        <v>0</v>
      </c>
      <c r="K30" s="4">
        <v>0</v>
      </c>
      <c r="L30" s="4">
        <v>0</v>
      </c>
      <c r="M30" s="4">
        <v>0</v>
      </c>
      <c r="N30" s="4">
        <v>0</v>
      </c>
    </row>
    <row r="31" spans="1:14">
      <c r="B31" s="97" t="s">
        <v>62</v>
      </c>
      <c r="E31" s="4">
        <v>0</v>
      </c>
      <c r="F31" s="4">
        <v>115312.49999999999</v>
      </c>
      <c r="G31" s="4">
        <v>118195.31249999999</v>
      </c>
      <c r="H31" s="4">
        <v>0</v>
      </c>
      <c r="I31" s="4">
        <v>0</v>
      </c>
      <c r="J31" s="4">
        <v>0</v>
      </c>
      <c r="K31" s="4">
        <v>65232.75477447507</v>
      </c>
      <c r="L31" s="4">
        <v>66863.573643836949</v>
      </c>
      <c r="M31" s="4">
        <v>0</v>
      </c>
      <c r="N31" s="4">
        <v>0</v>
      </c>
    </row>
    <row r="32" spans="1:14">
      <c r="B32" s="97" t="s">
        <v>63</v>
      </c>
      <c r="E32" s="4">
        <v>0</v>
      </c>
      <c r="F32" s="4">
        <v>128124.99999999999</v>
      </c>
      <c r="G32" s="4">
        <v>131328.125</v>
      </c>
      <c r="H32" s="4">
        <v>0</v>
      </c>
      <c r="I32" s="4">
        <v>0</v>
      </c>
      <c r="J32" s="4">
        <v>0</v>
      </c>
      <c r="K32" s="4">
        <v>144961.67727661127</v>
      </c>
      <c r="L32" s="4">
        <v>148585.71920852657</v>
      </c>
      <c r="M32" s="4">
        <v>0</v>
      </c>
      <c r="N32" s="4">
        <v>0</v>
      </c>
    </row>
    <row r="33" spans="1:14">
      <c r="B33" s="97" t="s">
        <v>64</v>
      </c>
      <c r="E33" s="4">
        <v>0</v>
      </c>
      <c r="F33" s="4">
        <v>261320</v>
      </c>
      <c r="G33" s="4">
        <v>0</v>
      </c>
      <c r="H33" s="4">
        <v>0</v>
      </c>
      <c r="I33" s="4">
        <v>0</v>
      </c>
      <c r="J33" s="4">
        <v>0</v>
      </c>
      <c r="K33" s="4">
        <v>0</v>
      </c>
      <c r="L33" s="4">
        <v>0</v>
      </c>
      <c r="M33" s="4">
        <v>0</v>
      </c>
      <c r="N33" s="4">
        <v>0</v>
      </c>
    </row>
    <row r="34" spans="1:14" s="85" customFormat="1">
      <c r="B34" s="85" t="s">
        <v>70</v>
      </c>
      <c r="E34" s="86">
        <f>SUM(E30:E33)</f>
        <v>0</v>
      </c>
      <c r="F34" s="87">
        <f t="shared" ref="F34:N34" si="4">SUM(F30:F33)</f>
        <v>654914.875</v>
      </c>
      <c r="G34" s="87">
        <f t="shared" si="4"/>
        <v>328320.3125</v>
      </c>
      <c r="H34" s="87">
        <f t="shared" si="4"/>
        <v>0</v>
      </c>
      <c r="I34" s="87">
        <f t="shared" si="4"/>
        <v>0</v>
      </c>
      <c r="J34" s="87">
        <f t="shared" si="4"/>
        <v>0</v>
      </c>
      <c r="K34" s="87">
        <f t="shared" si="4"/>
        <v>210194.43205108633</v>
      </c>
      <c r="L34" s="87">
        <f t="shared" si="4"/>
        <v>215449.29285236352</v>
      </c>
      <c r="M34" s="87">
        <f t="shared" si="4"/>
        <v>0</v>
      </c>
      <c r="N34" s="87">
        <f t="shared" si="4"/>
        <v>0</v>
      </c>
    </row>
    <row r="35" spans="1:14">
      <c r="B35" s="179" t="s">
        <v>272</v>
      </c>
      <c r="E35" s="180">
        <v>0</v>
      </c>
      <c r="F35" s="180">
        <v>0</v>
      </c>
      <c r="G35" s="180">
        <v>0</v>
      </c>
      <c r="H35" s="180">
        <v>0</v>
      </c>
      <c r="I35" s="180">
        <v>0</v>
      </c>
      <c r="J35" s="180">
        <v>0</v>
      </c>
      <c r="K35" s="180">
        <v>0</v>
      </c>
      <c r="L35" s="180">
        <v>0</v>
      </c>
      <c r="M35" s="180">
        <v>0</v>
      </c>
      <c r="N35" s="180">
        <v>0</v>
      </c>
    </row>
    <row r="36" spans="1:14">
      <c r="A36" s="97" t="s">
        <v>68</v>
      </c>
      <c r="E36" s="4"/>
      <c r="F36" s="4"/>
      <c r="G36" s="4"/>
      <c r="H36" s="4"/>
      <c r="I36" s="4"/>
      <c r="J36" s="4"/>
      <c r="K36" s="4"/>
      <c r="L36" s="4"/>
      <c r="M36" s="4"/>
      <c r="N36" s="4"/>
    </row>
    <row r="37" spans="1:14">
      <c r="B37" s="97" t="s">
        <v>61</v>
      </c>
      <c r="E37" s="4">
        <v>0</v>
      </c>
      <c r="F37" s="4">
        <v>119407.37499999997</v>
      </c>
      <c r="G37" s="4">
        <v>31518.749999999996</v>
      </c>
      <c r="H37" s="4">
        <v>0</v>
      </c>
      <c r="I37" s="4">
        <v>0</v>
      </c>
      <c r="J37" s="4">
        <v>0</v>
      </c>
      <c r="K37" s="4">
        <v>0</v>
      </c>
      <c r="L37" s="4">
        <v>0</v>
      </c>
      <c r="M37" s="4">
        <v>0</v>
      </c>
      <c r="N37" s="4">
        <v>0</v>
      </c>
    </row>
    <row r="38" spans="1:14">
      <c r="B38" s="97" t="s">
        <v>62</v>
      </c>
      <c r="E38" s="4">
        <v>0</v>
      </c>
      <c r="F38" s="4">
        <v>69187.5</v>
      </c>
      <c r="G38" s="4">
        <v>47278.125</v>
      </c>
      <c r="H38" s="4">
        <v>0</v>
      </c>
      <c r="I38" s="4">
        <v>0</v>
      </c>
      <c r="J38" s="4">
        <v>0</v>
      </c>
      <c r="K38" s="4">
        <v>39139.652864685042</v>
      </c>
      <c r="L38" s="4">
        <v>26745.429457534781</v>
      </c>
      <c r="M38" s="4">
        <v>0</v>
      </c>
      <c r="N38" s="4">
        <v>0</v>
      </c>
    </row>
    <row r="39" spans="1:14">
      <c r="B39" s="97" t="s">
        <v>63</v>
      </c>
      <c r="E39" s="4">
        <v>0</v>
      </c>
      <c r="F39" s="4">
        <v>76875</v>
      </c>
      <c r="G39" s="4">
        <v>52531.249999999993</v>
      </c>
      <c r="H39" s="4">
        <v>0</v>
      </c>
      <c r="I39" s="4">
        <v>0</v>
      </c>
      <c r="J39" s="4">
        <v>0</v>
      </c>
      <c r="K39" s="4">
        <v>86977.006365966765</v>
      </c>
      <c r="L39" s="4">
        <v>59434.287683410628</v>
      </c>
      <c r="M39" s="4">
        <v>0</v>
      </c>
      <c r="N39" s="4">
        <v>0</v>
      </c>
    </row>
    <row r="40" spans="1:14">
      <c r="B40" s="97" t="s">
        <v>64</v>
      </c>
      <c r="E40" s="4">
        <v>0</v>
      </c>
      <c r="F40" s="4">
        <v>261320</v>
      </c>
      <c r="G40" s="4">
        <v>0</v>
      </c>
      <c r="H40" s="4">
        <v>0</v>
      </c>
      <c r="I40" s="4">
        <v>0</v>
      </c>
      <c r="J40" s="4">
        <v>0</v>
      </c>
      <c r="K40" s="4">
        <v>0</v>
      </c>
      <c r="L40" s="4">
        <v>0</v>
      </c>
      <c r="M40" s="4">
        <v>0</v>
      </c>
      <c r="N40" s="4">
        <v>0</v>
      </c>
    </row>
    <row r="41" spans="1:14" s="85" customFormat="1">
      <c r="B41" s="85" t="s">
        <v>70</v>
      </c>
      <c r="E41" s="86">
        <f>SUM(E37:E40)</f>
        <v>0</v>
      </c>
      <c r="F41" s="87">
        <f t="shared" ref="F41:N41" si="5">SUM(F37:F40)</f>
        <v>526789.875</v>
      </c>
      <c r="G41" s="87">
        <f t="shared" si="5"/>
        <v>131328.125</v>
      </c>
      <c r="H41" s="87">
        <f t="shared" si="5"/>
        <v>0</v>
      </c>
      <c r="I41" s="87">
        <f t="shared" si="5"/>
        <v>0</v>
      </c>
      <c r="J41" s="87">
        <f t="shared" si="5"/>
        <v>0</v>
      </c>
      <c r="K41" s="87">
        <f t="shared" si="5"/>
        <v>126116.6592306518</v>
      </c>
      <c r="L41" s="87">
        <f t="shared" si="5"/>
        <v>86179.717140945402</v>
      </c>
      <c r="M41" s="87">
        <f t="shared" si="5"/>
        <v>0</v>
      </c>
      <c r="N41" s="87">
        <f t="shared" si="5"/>
        <v>0</v>
      </c>
    </row>
    <row r="42" spans="1:14">
      <c r="B42" s="179" t="s">
        <v>272</v>
      </c>
      <c r="E42" s="180">
        <v>0</v>
      </c>
      <c r="F42" s="180">
        <v>0</v>
      </c>
      <c r="G42" s="180">
        <v>0</v>
      </c>
      <c r="H42" s="180">
        <v>0</v>
      </c>
      <c r="I42" s="180">
        <v>0</v>
      </c>
      <c r="J42" s="180">
        <v>0</v>
      </c>
      <c r="K42" s="180">
        <v>0</v>
      </c>
      <c r="L42" s="180">
        <v>0</v>
      </c>
      <c r="M42" s="180">
        <v>0</v>
      </c>
      <c r="N42" s="180">
        <v>0</v>
      </c>
    </row>
    <row r="43" spans="1:14">
      <c r="A43" s="97" t="s">
        <v>277</v>
      </c>
      <c r="E43" s="4"/>
      <c r="F43" s="4"/>
      <c r="G43" s="4"/>
      <c r="H43" s="4"/>
      <c r="I43" s="4"/>
      <c r="J43" s="4"/>
      <c r="K43" s="4"/>
      <c r="L43" s="4"/>
      <c r="M43" s="4"/>
      <c r="N43" s="4"/>
    </row>
    <row r="44" spans="1:14">
      <c r="B44" s="97" t="s">
        <v>61</v>
      </c>
      <c r="E44" s="4">
        <f>E23</f>
        <v>0</v>
      </c>
      <c r="F44" s="4">
        <f t="shared" ref="F44:N44" si="6">F23</f>
        <v>327281.47499999998</v>
      </c>
      <c r="G44" s="4">
        <f t="shared" si="6"/>
        <v>257931.06406249999</v>
      </c>
      <c r="H44" s="4">
        <f t="shared" si="6"/>
        <v>0</v>
      </c>
      <c r="I44" s="4">
        <f t="shared" si="6"/>
        <v>0</v>
      </c>
      <c r="J44" s="4">
        <f t="shared" si="6"/>
        <v>0</v>
      </c>
      <c r="K44" s="4">
        <f t="shared" si="6"/>
        <v>0</v>
      </c>
      <c r="L44" s="4">
        <f t="shared" si="6"/>
        <v>0</v>
      </c>
      <c r="M44" s="4">
        <f t="shared" si="6"/>
        <v>0</v>
      </c>
      <c r="N44" s="4">
        <f t="shared" si="6"/>
        <v>0</v>
      </c>
    </row>
    <row r="45" spans="1:14">
      <c r="B45" s="97" t="s">
        <v>62</v>
      </c>
      <c r="E45" s="4">
        <f t="shared" ref="E45:N47" si="7">E24</f>
        <v>0</v>
      </c>
      <c r="F45" s="4">
        <f t="shared" si="7"/>
        <v>106241.24999999999</v>
      </c>
      <c r="G45" s="4">
        <f t="shared" si="7"/>
        <v>181495.46875</v>
      </c>
      <c r="H45" s="4">
        <f t="shared" si="7"/>
        <v>0</v>
      </c>
      <c r="I45" s="4">
        <f t="shared" si="7"/>
        <v>0</v>
      </c>
      <c r="J45" s="4">
        <f t="shared" si="7"/>
        <v>0</v>
      </c>
      <c r="K45" s="4">
        <f t="shared" si="7"/>
        <v>60101.111398883033</v>
      </c>
      <c r="L45" s="4">
        <f t="shared" si="7"/>
        <v>102672.73197309185</v>
      </c>
      <c r="M45" s="4">
        <f t="shared" si="7"/>
        <v>0</v>
      </c>
      <c r="N45" s="4">
        <f t="shared" si="7"/>
        <v>0</v>
      </c>
    </row>
    <row r="46" spans="1:14">
      <c r="B46" s="97" t="s">
        <v>63</v>
      </c>
      <c r="E46" s="4">
        <f t="shared" si="7"/>
        <v>0</v>
      </c>
      <c r="F46" s="4">
        <f t="shared" si="7"/>
        <v>264142.49999999994</v>
      </c>
      <c r="G46" s="4">
        <f t="shared" si="7"/>
        <v>451243.43749999994</v>
      </c>
      <c r="H46" s="4">
        <f t="shared" si="7"/>
        <v>0</v>
      </c>
      <c r="I46" s="4">
        <f t="shared" si="7"/>
        <v>0</v>
      </c>
      <c r="J46" s="4">
        <f t="shared" si="7"/>
        <v>0</v>
      </c>
      <c r="K46" s="4">
        <f t="shared" si="7"/>
        <v>166821.89820992423</v>
      </c>
      <c r="L46" s="4">
        <f t="shared" si="7"/>
        <v>284987.40944195399</v>
      </c>
      <c r="M46" s="4">
        <f t="shared" si="7"/>
        <v>0</v>
      </c>
      <c r="N46" s="4">
        <f t="shared" si="7"/>
        <v>0</v>
      </c>
    </row>
    <row r="47" spans="1:14">
      <c r="B47" s="97" t="s">
        <v>64</v>
      </c>
      <c r="E47" s="4">
        <f t="shared" si="7"/>
        <v>0</v>
      </c>
      <c r="F47" s="4">
        <f t="shared" si="7"/>
        <v>587141</v>
      </c>
      <c r="G47" s="4">
        <f t="shared" si="7"/>
        <v>0</v>
      </c>
      <c r="H47" s="4">
        <f t="shared" si="7"/>
        <v>0</v>
      </c>
      <c r="I47" s="4">
        <f t="shared" si="7"/>
        <v>0</v>
      </c>
      <c r="J47" s="4">
        <f t="shared" si="7"/>
        <v>0</v>
      </c>
      <c r="K47" s="4">
        <f t="shared" si="7"/>
        <v>0</v>
      </c>
      <c r="L47" s="4">
        <f t="shared" si="7"/>
        <v>0</v>
      </c>
      <c r="M47" s="4">
        <f t="shared" si="7"/>
        <v>0</v>
      </c>
      <c r="N47" s="4">
        <f t="shared" si="7"/>
        <v>0</v>
      </c>
    </row>
    <row r="48" spans="1:14" s="15" customFormat="1">
      <c r="B48" s="15" t="s">
        <v>69</v>
      </c>
      <c r="E48" s="87">
        <f>SUM(E44:E47)</f>
        <v>0</v>
      </c>
      <c r="F48" s="87">
        <f t="shared" ref="F48:N48" si="8">SUM(F44:F47)</f>
        <v>1284806.2249999999</v>
      </c>
      <c r="G48" s="87">
        <f t="shared" si="8"/>
        <v>890669.97031249991</v>
      </c>
      <c r="H48" s="87">
        <f t="shared" si="8"/>
        <v>0</v>
      </c>
      <c r="I48" s="87">
        <f t="shared" si="8"/>
        <v>0</v>
      </c>
      <c r="J48" s="87">
        <f t="shared" si="8"/>
        <v>0</v>
      </c>
      <c r="K48" s="87">
        <f t="shared" si="8"/>
        <v>226923.00960880728</v>
      </c>
      <c r="L48" s="87">
        <f t="shared" si="8"/>
        <v>387660.14141504583</v>
      </c>
      <c r="M48" s="87">
        <f t="shared" si="8"/>
        <v>0</v>
      </c>
      <c r="N48" s="87">
        <f t="shared" si="8"/>
        <v>0</v>
      </c>
    </row>
    <row r="50" spans="1:14">
      <c r="A50" s="97" t="s">
        <v>276</v>
      </c>
    </row>
    <row r="51" spans="1:14">
      <c r="B51" s="97" t="s">
        <v>61</v>
      </c>
      <c r="E51" s="4">
        <f>SUM(E9,E16,E30,E37)</f>
        <v>0</v>
      </c>
      <c r="F51" s="4">
        <f t="shared" ref="F51:N51" si="9">SUM(F9,F16,F30,F37)</f>
        <v>326753.59999999998</v>
      </c>
      <c r="G51" s="4">
        <f t="shared" si="9"/>
        <v>136581.25</v>
      </c>
      <c r="H51" s="4">
        <f t="shared" si="9"/>
        <v>0</v>
      </c>
      <c r="I51" s="4">
        <f t="shared" si="9"/>
        <v>27595.322265624993</v>
      </c>
      <c r="J51" s="4">
        <f t="shared" si="9"/>
        <v>0</v>
      </c>
      <c r="K51" s="4">
        <f t="shared" si="9"/>
        <v>0</v>
      </c>
      <c r="L51" s="4">
        <f t="shared" si="9"/>
        <v>0</v>
      </c>
      <c r="M51" s="4">
        <f t="shared" si="9"/>
        <v>0</v>
      </c>
      <c r="N51" s="4">
        <f t="shared" si="9"/>
        <v>0</v>
      </c>
    </row>
    <row r="52" spans="1:14">
      <c r="B52" s="97" t="s">
        <v>62</v>
      </c>
      <c r="E52" s="4">
        <f t="shared" ref="E52:N55" si="10">SUM(E10,E17,E31,E38)</f>
        <v>0</v>
      </c>
      <c r="F52" s="4">
        <f t="shared" si="10"/>
        <v>645749.99999999988</v>
      </c>
      <c r="G52" s="4">
        <f t="shared" si="10"/>
        <v>519271.40625</v>
      </c>
      <c r="H52" s="4">
        <f t="shared" si="10"/>
        <v>40383.398437499993</v>
      </c>
      <c r="I52" s="4">
        <f t="shared" si="10"/>
        <v>41392.983398437493</v>
      </c>
      <c r="J52" s="4">
        <f t="shared" si="10"/>
        <v>401124.10662042524</v>
      </c>
      <c r="K52" s="4">
        <f t="shared" si="10"/>
        <v>507301.57273937727</v>
      </c>
      <c r="L52" s="4">
        <f t="shared" si="10"/>
        <v>93609.003101371723</v>
      </c>
      <c r="M52" s="4">
        <f t="shared" si="10"/>
        <v>0</v>
      </c>
      <c r="N52" s="4">
        <f t="shared" si="10"/>
        <v>0</v>
      </c>
    </row>
    <row r="53" spans="1:14">
      <c r="B53" s="97" t="s">
        <v>63</v>
      </c>
      <c r="E53" s="4">
        <f t="shared" si="10"/>
        <v>0</v>
      </c>
      <c r="F53" s="4">
        <f t="shared" si="10"/>
        <v>563750</v>
      </c>
      <c r="G53" s="4">
        <f t="shared" si="10"/>
        <v>183859.375</v>
      </c>
      <c r="H53" s="4">
        <f t="shared" si="10"/>
        <v>0</v>
      </c>
      <c r="I53" s="4">
        <f t="shared" si="10"/>
        <v>0</v>
      </c>
      <c r="J53" s="4">
        <f t="shared" si="10"/>
        <v>0</v>
      </c>
      <c r="K53" s="4">
        <f t="shared" si="10"/>
        <v>419129.93339877645</v>
      </c>
      <c r="L53" s="4">
        <f t="shared" si="10"/>
        <v>396053.61727203854</v>
      </c>
      <c r="M53" s="4">
        <f t="shared" si="10"/>
        <v>0</v>
      </c>
      <c r="N53" s="4">
        <f t="shared" si="10"/>
        <v>0</v>
      </c>
    </row>
    <row r="54" spans="1:14">
      <c r="B54" s="97" t="s">
        <v>64</v>
      </c>
      <c r="E54" s="4">
        <f t="shared" si="10"/>
        <v>0</v>
      </c>
      <c r="F54" s="4">
        <f>SUM(F12,F19,F33,F40)</f>
        <v>1615953</v>
      </c>
      <c r="G54" s="4">
        <f t="shared" si="10"/>
        <v>0</v>
      </c>
      <c r="H54" s="4">
        <f t="shared" si="10"/>
        <v>0</v>
      </c>
      <c r="I54" s="4">
        <f t="shared" si="10"/>
        <v>0</v>
      </c>
      <c r="J54" s="4">
        <f t="shared" si="10"/>
        <v>0</v>
      </c>
      <c r="K54" s="4">
        <f t="shared" si="10"/>
        <v>0</v>
      </c>
      <c r="L54" s="4">
        <f t="shared" si="10"/>
        <v>0</v>
      </c>
      <c r="M54" s="4">
        <f t="shared" si="10"/>
        <v>0</v>
      </c>
      <c r="N54" s="4">
        <f t="shared" si="10"/>
        <v>0</v>
      </c>
    </row>
    <row r="55" spans="1:14">
      <c r="B55" s="97" t="s">
        <v>69</v>
      </c>
      <c r="E55" s="4">
        <f t="shared" si="10"/>
        <v>0</v>
      </c>
      <c r="F55" s="87">
        <f t="shared" si="10"/>
        <v>3152206.5999999996</v>
      </c>
      <c r="G55" s="87">
        <f t="shared" si="10"/>
        <v>839712.03125</v>
      </c>
      <c r="H55" s="87">
        <f t="shared" si="10"/>
        <v>40383.398437499993</v>
      </c>
      <c r="I55" s="87">
        <f t="shared" si="10"/>
        <v>68988.305664062485</v>
      </c>
      <c r="J55" s="87">
        <f t="shared" si="10"/>
        <v>401124.10662042524</v>
      </c>
      <c r="K55" s="87">
        <f t="shared" si="10"/>
        <v>926431.50613815372</v>
      </c>
      <c r="L55" s="87">
        <f t="shared" si="10"/>
        <v>489662.62037341029</v>
      </c>
      <c r="M55" s="87">
        <f t="shared" si="10"/>
        <v>0</v>
      </c>
      <c r="N55" s="87">
        <f t="shared" si="10"/>
        <v>0</v>
      </c>
    </row>
    <row r="57" spans="1:14">
      <c r="A57" s="97" t="s">
        <v>303</v>
      </c>
      <c r="E57" s="4"/>
      <c r="F57" s="87">
        <f>F55+F48</f>
        <v>4437012.8249999993</v>
      </c>
      <c r="G57" s="87">
        <f t="shared" ref="G57:N57" si="11">G55+G48</f>
        <v>1730382.0015624999</v>
      </c>
      <c r="H57" s="87">
        <f t="shared" si="11"/>
        <v>40383.398437499993</v>
      </c>
      <c r="I57" s="87">
        <f t="shared" si="11"/>
        <v>68988.305664062485</v>
      </c>
      <c r="J57" s="87">
        <f t="shared" si="11"/>
        <v>401124.10662042524</v>
      </c>
      <c r="K57" s="87">
        <f t="shared" si="11"/>
        <v>1153354.5157469609</v>
      </c>
      <c r="L57" s="87">
        <f t="shared" si="11"/>
        <v>877322.76178845612</v>
      </c>
      <c r="M57" s="87">
        <f t="shared" si="11"/>
        <v>0</v>
      </c>
      <c r="N57" s="87">
        <f t="shared" si="11"/>
        <v>0</v>
      </c>
    </row>
    <row r="59" spans="1:14">
      <c r="C59" s="294"/>
      <c r="F59" s="190"/>
    </row>
  </sheetData>
  <mergeCells count="4">
    <mergeCell ref="A1:N1"/>
    <mergeCell ref="A2:N2"/>
    <mergeCell ref="A3:N3"/>
    <mergeCell ref="A4:N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C413"/>
  <sheetViews>
    <sheetView zoomScaleNormal="100" workbookViewId="0">
      <selection activeCell="AY33" sqref="AY33"/>
    </sheetView>
  </sheetViews>
  <sheetFormatPr defaultRowHeight="12.75"/>
  <cols>
    <col min="1" max="1" width="4.140625" style="297" bestFit="1" customWidth="1"/>
    <col min="2" max="2" width="12.140625" style="296" bestFit="1" customWidth="1"/>
    <col min="3" max="4" width="9.28515625" style="296" bestFit="1" customWidth="1"/>
    <col min="5" max="5" width="10" style="296" customWidth="1"/>
    <col min="6" max="6" width="3" style="296" customWidth="1"/>
    <col min="7" max="7" width="10" style="296" bestFit="1" customWidth="1"/>
    <col min="8" max="9" width="9.28515625" style="296" bestFit="1" customWidth="1"/>
    <col min="10" max="10" width="10" style="296" bestFit="1" customWidth="1"/>
    <col min="11" max="11" width="1.7109375" style="296" customWidth="1"/>
    <col min="12" max="12" width="9" style="296" bestFit="1" customWidth="1"/>
    <col min="13" max="14" width="8" style="296" bestFit="1" customWidth="1"/>
    <col min="15" max="15" width="9" style="296" bestFit="1" customWidth="1"/>
    <col min="16" max="16" width="1.7109375" style="296" customWidth="1"/>
    <col min="17" max="17" width="9" style="296" bestFit="1" customWidth="1"/>
    <col min="18" max="20" width="9.140625" style="296"/>
    <col min="21" max="21" width="3" style="296" customWidth="1"/>
    <col min="22" max="22" width="9" style="296" bestFit="1" customWidth="1"/>
    <col min="23" max="25" width="9.140625" style="296"/>
    <col min="26" max="26" width="2.7109375" style="296" customWidth="1"/>
    <col min="27" max="27" width="9" style="296" bestFit="1" customWidth="1"/>
    <col min="28" max="30" width="9.140625" style="296"/>
    <col min="31" max="31" width="1.140625" style="296" customWidth="1"/>
    <col min="32" max="32" width="9" style="296" bestFit="1" customWidth="1"/>
    <col min="33" max="34" width="8" style="296" bestFit="1" customWidth="1"/>
    <col min="35" max="35" width="9" style="296" bestFit="1" customWidth="1"/>
    <col min="36" max="36" width="1.7109375" style="296" customWidth="1"/>
    <col min="37" max="40" width="9.140625" style="296"/>
    <col min="41" max="41" width="1.5703125" style="296" customWidth="1"/>
    <col min="42" max="42" width="9" style="296" bestFit="1" customWidth="1"/>
    <col min="43" max="44" width="8" style="296" bestFit="1" customWidth="1"/>
    <col min="45" max="45" width="9" style="296" bestFit="1" customWidth="1"/>
    <col min="46" max="46" width="1.7109375" style="296" customWidth="1"/>
    <col min="47" max="47" width="9" style="296" bestFit="1" customWidth="1"/>
    <col min="48" max="49" width="8" style="296" bestFit="1" customWidth="1"/>
    <col min="50" max="50" width="9" style="296" bestFit="1" customWidth="1"/>
    <col min="51" max="251" width="9.140625" style="296"/>
    <col min="252" max="252" width="4.140625" style="296" bestFit="1" customWidth="1"/>
    <col min="253" max="253" width="12.140625" style="296" bestFit="1" customWidth="1"/>
    <col min="254" max="255" width="9.28515625" style="296" bestFit="1" customWidth="1"/>
    <col min="256" max="256" width="10" style="296" customWidth="1"/>
    <col min="257" max="257" width="3" style="296" customWidth="1"/>
    <col min="258" max="258" width="12.28515625" style="296" bestFit="1" customWidth="1"/>
    <col min="259" max="261" width="10" style="296" customWidth="1"/>
    <col min="262" max="262" width="1.7109375" style="296" customWidth="1"/>
    <col min="263" max="263" width="10" style="296" bestFit="1" customWidth="1"/>
    <col min="264" max="265" width="9.28515625" style="296" bestFit="1" customWidth="1"/>
    <col min="266" max="266" width="10" style="296" bestFit="1" customWidth="1"/>
    <col min="267" max="267" width="1.7109375" style="296" customWidth="1"/>
    <col min="268" max="268" width="8.140625" style="296" bestFit="1" customWidth="1"/>
    <col min="269" max="269" width="7.7109375" style="296" bestFit="1" customWidth="1"/>
    <col min="270" max="270" width="7" style="296" customWidth="1"/>
    <col min="271" max="271" width="8.140625" style="296" bestFit="1" customWidth="1"/>
    <col min="272" max="272" width="1.7109375" style="296" customWidth="1"/>
    <col min="273" max="273" width="8.140625" style="296" bestFit="1" customWidth="1"/>
    <col min="274" max="276" width="9.140625" style="296"/>
    <col min="277" max="277" width="3" style="296" customWidth="1"/>
    <col min="278" max="278" width="8.140625" style="296" bestFit="1" customWidth="1"/>
    <col min="279" max="281" width="9.140625" style="296"/>
    <col min="282" max="282" width="2.7109375" style="296" customWidth="1"/>
    <col min="283" max="283" width="8.28515625" style="296" bestFit="1" customWidth="1"/>
    <col min="284" max="286" width="9.140625" style="296"/>
    <col min="287" max="287" width="1.140625" style="296" customWidth="1"/>
    <col min="288" max="288" width="8.28515625" style="296" bestFit="1" customWidth="1"/>
    <col min="289" max="290" width="7.7109375" style="296" bestFit="1" customWidth="1"/>
    <col min="291" max="291" width="8.140625" style="296" bestFit="1" customWidth="1"/>
    <col min="292" max="292" width="1.7109375" style="296" customWidth="1"/>
    <col min="293" max="296" width="9.140625" style="296"/>
    <col min="297" max="297" width="1.5703125" style="296" customWidth="1"/>
    <col min="298" max="298" width="8.140625" style="296" bestFit="1" customWidth="1"/>
    <col min="299" max="300" width="7.7109375" style="296" bestFit="1" customWidth="1"/>
    <col min="301" max="301" width="8.140625" style="296" bestFit="1" customWidth="1"/>
    <col min="302" max="302" width="1.7109375" style="296" customWidth="1"/>
    <col min="303" max="303" width="8.28515625" style="296" bestFit="1" customWidth="1"/>
    <col min="304" max="305" width="7.7109375" style="296" bestFit="1" customWidth="1"/>
    <col min="306" max="306" width="8.140625" style="296" bestFit="1" customWidth="1"/>
    <col min="307" max="507" width="9.140625" style="296"/>
    <col min="508" max="508" width="4.140625" style="296" bestFit="1" customWidth="1"/>
    <col min="509" max="509" width="12.140625" style="296" bestFit="1" customWidth="1"/>
    <col min="510" max="511" width="9.28515625" style="296" bestFit="1" customWidth="1"/>
    <col min="512" max="512" width="10" style="296" customWidth="1"/>
    <col min="513" max="513" width="3" style="296" customWidth="1"/>
    <col min="514" max="514" width="12.28515625" style="296" bestFit="1" customWidth="1"/>
    <col min="515" max="517" width="10" style="296" customWidth="1"/>
    <col min="518" max="518" width="1.7109375" style="296" customWidth="1"/>
    <col min="519" max="519" width="10" style="296" bestFit="1" customWidth="1"/>
    <col min="520" max="521" width="9.28515625" style="296" bestFit="1" customWidth="1"/>
    <col min="522" max="522" width="10" style="296" bestFit="1" customWidth="1"/>
    <col min="523" max="523" width="1.7109375" style="296" customWidth="1"/>
    <col min="524" max="524" width="8.140625" style="296" bestFit="1" customWidth="1"/>
    <col min="525" max="525" width="7.7109375" style="296" bestFit="1" customWidth="1"/>
    <col min="526" max="526" width="7" style="296" customWidth="1"/>
    <col min="527" max="527" width="8.140625" style="296" bestFit="1" customWidth="1"/>
    <col min="528" max="528" width="1.7109375" style="296" customWidth="1"/>
    <col min="529" max="529" width="8.140625" style="296" bestFit="1" customWidth="1"/>
    <col min="530" max="532" width="9.140625" style="296"/>
    <col min="533" max="533" width="3" style="296" customWidth="1"/>
    <col min="534" max="534" width="8.140625" style="296" bestFit="1" customWidth="1"/>
    <col min="535" max="537" width="9.140625" style="296"/>
    <col min="538" max="538" width="2.7109375" style="296" customWidth="1"/>
    <col min="539" max="539" width="8.28515625" style="296" bestFit="1" customWidth="1"/>
    <col min="540" max="542" width="9.140625" style="296"/>
    <col min="543" max="543" width="1.140625" style="296" customWidth="1"/>
    <col min="544" max="544" width="8.28515625" style="296" bestFit="1" customWidth="1"/>
    <col min="545" max="546" width="7.7109375" style="296" bestFit="1" customWidth="1"/>
    <col min="547" max="547" width="8.140625" style="296" bestFit="1" customWidth="1"/>
    <col min="548" max="548" width="1.7109375" style="296" customWidth="1"/>
    <col min="549" max="552" width="9.140625" style="296"/>
    <col min="553" max="553" width="1.5703125" style="296" customWidth="1"/>
    <col min="554" max="554" width="8.140625" style="296" bestFit="1" customWidth="1"/>
    <col min="555" max="556" width="7.7109375" style="296" bestFit="1" customWidth="1"/>
    <col min="557" max="557" width="8.140625" style="296" bestFit="1" customWidth="1"/>
    <col min="558" max="558" width="1.7109375" style="296" customWidth="1"/>
    <col min="559" max="559" width="8.28515625" style="296" bestFit="1" customWidth="1"/>
    <col min="560" max="561" width="7.7109375" style="296" bestFit="1" customWidth="1"/>
    <col min="562" max="562" width="8.140625" style="296" bestFit="1" customWidth="1"/>
    <col min="563" max="763" width="9.140625" style="296"/>
    <col min="764" max="764" width="4.140625" style="296" bestFit="1" customWidth="1"/>
    <col min="765" max="765" width="12.140625" style="296" bestFit="1" customWidth="1"/>
    <col min="766" max="767" width="9.28515625" style="296" bestFit="1" customWidth="1"/>
    <col min="768" max="768" width="10" style="296" customWidth="1"/>
    <col min="769" max="769" width="3" style="296" customWidth="1"/>
    <col min="770" max="770" width="12.28515625" style="296" bestFit="1" customWidth="1"/>
    <col min="771" max="773" width="10" style="296" customWidth="1"/>
    <col min="774" max="774" width="1.7109375" style="296" customWidth="1"/>
    <col min="775" max="775" width="10" style="296" bestFit="1" customWidth="1"/>
    <col min="776" max="777" width="9.28515625" style="296" bestFit="1" customWidth="1"/>
    <col min="778" max="778" width="10" style="296" bestFit="1" customWidth="1"/>
    <col min="779" max="779" width="1.7109375" style="296" customWidth="1"/>
    <col min="780" max="780" width="8.140625" style="296" bestFit="1" customWidth="1"/>
    <col min="781" max="781" width="7.7109375" style="296" bestFit="1" customWidth="1"/>
    <col min="782" max="782" width="7" style="296" customWidth="1"/>
    <col min="783" max="783" width="8.140625" style="296" bestFit="1" customWidth="1"/>
    <col min="784" max="784" width="1.7109375" style="296" customWidth="1"/>
    <col min="785" max="785" width="8.140625" style="296" bestFit="1" customWidth="1"/>
    <col min="786" max="788" width="9.140625" style="296"/>
    <col min="789" max="789" width="3" style="296" customWidth="1"/>
    <col min="790" max="790" width="8.140625" style="296" bestFit="1" customWidth="1"/>
    <col min="791" max="793" width="9.140625" style="296"/>
    <col min="794" max="794" width="2.7109375" style="296" customWidth="1"/>
    <col min="795" max="795" width="8.28515625" style="296" bestFit="1" customWidth="1"/>
    <col min="796" max="798" width="9.140625" style="296"/>
    <col min="799" max="799" width="1.140625" style="296" customWidth="1"/>
    <col min="800" max="800" width="8.28515625" style="296" bestFit="1" customWidth="1"/>
    <col min="801" max="802" width="7.7109375" style="296" bestFit="1" customWidth="1"/>
    <col min="803" max="803" width="8.140625" style="296" bestFit="1" customWidth="1"/>
    <col min="804" max="804" width="1.7109375" style="296" customWidth="1"/>
    <col min="805" max="808" width="9.140625" style="296"/>
    <col min="809" max="809" width="1.5703125" style="296" customWidth="1"/>
    <col min="810" max="810" width="8.140625" style="296" bestFit="1" customWidth="1"/>
    <col min="811" max="812" width="7.7109375" style="296" bestFit="1" customWidth="1"/>
    <col min="813" max="813" width="8.140625" style="296" bestFit="1" customWidth="1"/>
    <col min="814" max="814" width="1.7109375" style="296" customWidth="1"/>
    <col min="815" max="815" width="8.28515625" style="296" bestFit="1" customWidth="1"/>
    <col min="816" max="817" width="7.7109375" style="296" bestFit="1" customWidth="1"/>
    <col min="818" max="818" width="8.140625" style="296" bestFit="1" customWidth="1"/>
    <col min="819" max="1019" width="9.140625" style="296"/>
    <col min="1020" max="1020" width="4.140625" style="296" bestFit="1" customWidth="1"/>
    <col min="1021" max="1021" width="12.140625" style="296" bestFit="1" customWidth="1"/>
    <col min="1022" max="1023" width="9.28515625" style="296" bestFit="1" customWidth="1"/>
    <col min="1024" max="1024" width="10" style="296" customWidth="1"/>
    <col min="1025" max="1025" width="3" style="296" customWidth="1"/>
    <col min="1026" max="1026" width="12.28515625" style="296" bestFit="1" customWidth="1"/>
    <col min="1027" max="1029" width="10" style="296" customWidth="1"/>
    <col min="1030" max="1030" width="1.7109375" style="296" customWidth="1"/>
    <col min="1031" max="1031" width="10" style="296" bestFit="1" customWidth="1"/>
    <col min="1032" max="1033" width="9.28515625" style="296" bestFit="1" customWidth="1"/>
    <col min="1034" max="1034" width="10" style="296" bestFit="1" customWidth="1"/>
    <col min="1035" max="1035" width="1.7109375" style="296" customWidth="1"/>
    <col min="1036" max="1036" width="8.140625" style="296" bestFit="1" customWidth="1"/>
    <col min="1037" max="1037" width="7.7109375" style="296" bestFit="1" customWidth="1"/>
    <col min="1038" max="1038" width="7" style="296" customWidth="1"/>
    <col min="1039" max="1039" width="8.140625" style="296" bestFit="1" customWidth="1"/>
    <col min="1040" max="1040" width="1.7109375" style="296" customWidth="1"/>
    <col min="1041" max="1041" width="8.140625" style="296" bestFit="1" customWidth="1"/>
    <col min="1042" max="1044" width="9.140625" style="296"/>
    <col min="1045" max="1045" width="3" style="296" customWidth="1"/>
    <col min="1046" max="1046" width="8.140625" style="296" bestFit="1" customWidth="1"/>
    <col min="1047" max="1049" width="9.140625" style="296"/>
    <col min="1050" max="1050" width="2.7109375" style="296" customWidth="1"/>
    <col min="1051" max="1051" width="8.28515625" style="296" bestFit="1" customWidth="1"/>
    <col min="1052" max="1054" width="9.140625" style="296"/>
    <col min="1055" max="1055" width="1.140625" style="296" customWidth="1"/>
    <col min="1056" max="1056" width="8.28515625" style="296" bestFit="1" customWidth="1"/>
    <col min="1057" max="1058" width="7.7109375" style="296" bestFit="1" customWidth="1"/>
    <col min="1059" max="1059" width="8.140625" style="296" bestFit="1" customWidth="1"/>
    <col min="1060" max="1060" width="1.7109375" style="296" customWidth="1"/>
    <col min="1061" max="1064" width="9.140625" style="296"/>
    <col min="1065" max="1065" width="1.5703125" style="296" customWidth="1"/>
    <col min="1066" max="1066" width="8.140625" style="296" bestFit="1" customWidth="1"/>
    <col min="1067" max="1068" width="7.7109375" style="296" bestFit="1" customWidth="1"/>
    <col min="1069" max="1069" width="8.140625" style="296" bestFit="1" customWidth="1"/>
    <col min="1070" max="1070" width="1.7109375" style="296" customWidth="1"/>
    <col min="1071" max="1071" width="8.28515625" style="296" bestFit="1" customWidth="1"/>
    <col min="1072" max="1073" width="7.7109375" style="296" bestFit="1" customWidth="1"/>
    <col min="1074" max="1074" width="8.140625" style="296" bestFit="1" customWidth="1"/>
    <col min="1075" max="1275" width="9.140625" style="296"/>
    <col min="1276" max="1276" width="4.140625" style="296" bestFit="1" customWidth="1"/>
    <col min="1277" max="1277" width="12.140625" style="296" bestFit="1" customWidth="1"/>
    <col min="1278" max="1279" width="9.28515625" style="296" bestFit="1" customWidth="1"/>
    <col min="1280" max="1280" width="10" style="296" customWidth="1"/>
    <col min="1281" max="1281" width="3" style="296" customWidth="1"/>
    <col min="1282" max="1282" width="12.28515625" style="296" bestFit="1" customWidth="1"/>
    <col min="1283" max="1285" width="10" style="296" customWidth="1"/>
    <col min="1286" max="1286" width="1.7109375" style="296" customWidth="1"/>
    <col min="1287" max="1287" width="10" style="296" bestFit="1" customWidth="1"/>
    <col min="1288" max="1289" width="9.28515625" style="296" bestFit="1" customWidth="1"/>
    <col min="1290" max="1290" width="10" style="296" bestFit="1" customWidth="1"/>
    <col min="1291" max="1291" width="1.7109375" style="296" customWidth="1"/>
    <col min="1292" max="1292" width="8.140625" style="296" bestFit="1" customWidth="1"/>
    <col min="1293" max="1293" width="7.7109375" style="296" bestFit="1" customWidth="1"/>
    <col min="1294" max="1294" width="7" style="296" customWidth="1"/>
    <col min="1295" max="1295" width="8.140625" style="296" bestFit="1" customWidth="1"/>
    <col min="1296" max="1296" width="1.7109375" style="296" customWidth="1"/>
    <col min="1297" max="1297" width="8.140625" style="296" bestFit="1" customWidth="1"/>
    <col min="1298" max="1300" width="9.140625" style="296"/>
    <col min="1301" max="1301" width="3" style="296" customWidth="1"/>
    <col min="1302" max="1302" width="8.140625" style="296" bestFit="1" customWidth="1"/>
    <col min="1303" max="1305" width="9.140625" style="296"/>
    <col min="1306" max="1306" width="2.7109375" style="296" customWidth="1"/>
    <col min="1307" max="1307" width="8.28515625" style="296" bestFit="1" customWidth="1"/>
    <col min="1308" max="1310" width="9.140625" style="296"/>
    <col min="1311" max="1311" width="1.140625" style="296" customWidth="1"/>
    <col min="1312" max="1312" width="8.28515625" style="296" bestFit="1" customWidth="1"/>
    <col min="1313" max="1314" width="7.7109375" style="296" bestFit="1" customWidth="1"/>
    <col min="1315" max="1315" width="8.140625" style="296" bestFit="1" customWidth="1"/>
    <col min="1316" max="1316" width="1.7109375" style="296" customWidth="1"/>
    <col min="1317" max="1320" width="9.140625" style="296"/>
    <col min="1321" max="1321" width="1.5703125" style="296" customWidth="1"/>
    <col min="1322" max="1322" width="8.140625" style="296" bestFit="1" customWidth="1"/>
    <col min="1323" max="1324" width="7.7109375" style="296" bestFit="1" customWidth="1"/>
    <col min="1325" max="1325" width="8.140625" style="296" bestFit="1" customWidth="1"/>
    <col min="1326" max="1326" width="1.7109375" style="296" customWidth="1"/>
    <col min="1327" max="1327" width="8.28515625" style="296" bestFit="1" customWidth="1"/>
    <col min="1328" max="1329" width="7.7109375" style="296" bestFit="1" customWidth="1"/>
    <col min="1330" max="1330" width="8.140625" style="296" bestFit="1" customWidth="1"/>
    <col min="1331" max="1531" width="9.140625" style="296"/>
    <col min="1532" max="1532" width="4.140625" style="296" bestFit="1" customWidth="1"/>
    <col min="1533" max="1533" width="12.140625" style="296" bestFit="1" customWidth="1"/>
    <col min="1534" max="1535" width="9.28515625" style="296" bestFit="1" customWidth="1"/>
    <col min="1536" max="1536" width="10" style="296" customWidth="1"/>
    <col min="1537" max="1537" width="3" style="296" customWidth="1"/>
    <col min="1538" max="1538" width="12.28515625" style="296" bestFit="1" customWidth="1"/>
    <col min="1539" max="1541" width="10" style="296" customWidth="1"/>
    <col min="1542" max="1542" width="1.7109375" style="296" customWidth="1"/>
    <col min="1543" max="1543" width="10" style="296" bestFit="1" customWidth="1"/>
    <col min="1544" max="1545" width="9.28515625" style="296" bestFit="1" customWidth="1"/>
    <col min="1546" max="1546" width="10" style="296" bestFit="1" customWidth="1"/>
    <col min="1547" max="1547" width="1.7109375" style="296" customWidth="1"/>
    <col min="1548" max="1548" width="8.140625" style="296" bestFit="1" customWidth="1"/>
    <col min="1549" max="1549" width="7.7109375" style="296" bestFit="1" customWidth="1"/>
    <col min="1550" max="1550" width="7" style="296" customWidth="1"/>
    <col min="1551" max="1551" width="8.140625" style="296" bestFit="1" customWidth="1"/>
    <col min="1552" max="1552" width="1.7109375" style="296" customWidth="1"/>
    <col min="1553" max="1553" width="8.140625" style="296" bestFit="1" customWidth="1"/>
    <col min="1554" max="1556" width="9.140625" style="296"/>
    <col min="1557" max="1557" width="3" style="296" customWidth="1"/>
    <col min="1558" max="1558" width="8.140625" style="296" bestFit="1" customWidth="1"/>
    <col min="1559" max="1561" width="9.140625" style="296"/>
    <col min="1562" max="1562" width="2.7109375" style="296" customWidth="1"/>
    <col min="1563" max="1563" width="8.28515625" style="296" bestFit="1" customWidth="1"/>
    <col min="1564" max="1566" width="9.140625" style="296"/>
    <col min="1567" max="1567" width="1.140625" style="296" customWidth="1"/>
    <col min="1568" max="1568" width="8.28515625" style="296" bestFit="1" customWidth="1"/>
    <col min="1569" max="1570" width="7.7109375" style="296" bestFit="1" customWidth="1"/>
    <col min="1571" max="1571" width="8.140625" style="296" bestFit="1" customWidth="1"/>
    <col min="1572" max="1572" width="1.7109375" style="296" customWidth="1"/>
    <col min="1573" max="1576" width="9.140625" style="296"/>
    <col min="1577" max="1577" width="1.5703125" style="296" customWidth="1"/>
    <col min="1578" max="1578" width="8.140625" style="296" bestFit="1" customWidth="1"/>
    <col min="1579" max="1580" width="7.7109375" style="296" bestFit="1" customWidth="1"/>
    <col min="1581" max="1581" width="8.140625" style="296" bestFit="1" customWidth="1"/>
    <col min="1582" max="1582" width="1.7109375" style="296" customWidth="1"/>
    <col min="1583" max="1583" width="8.28515625" style="296" bestFit="1" customWidth="1"/>
    <col min="1584" max="1585" width="7.7109375" style="296" bestFit="1" customWidth="1"/>
    <col min="1586" max="1586" width="8.140625" style="296" bestFit="1" customWidth="1"/>
    <col min="1587" max="1787" width="9.140625" style="296"/>
    <col min="1788" max="1788" width="4.140625" style="296" bestFit="1" customWidth="1"/>
    <col min="1789" max="1789" width="12.140625" style="296" bestFit="1" customWidth="1"/>
    <col min="1790" max="1791" width="9.28515625" style="296" bestFit="1" customWidth="1"/>
    <col min="1792" max="1792" width="10" style="296" customWidth="1"/>
    <col min="1793" max="1793" width="3" style="296" customWidth="1"/>
    <col min="1794" max="1794" width="12.28515625" style="296" bestFit="1" customWidth="1"/>
    <col min="1795" max="1797" width="10" style="296" customWidth="1"/>
    <col min="1798" max="1798" width="1.7109375" style="296" customWidth="1"/>
    <col min="1799" max="1799" width="10" style="296" bestFit="1" customWidth="1"/>
    <col min="1800" max="1801" width="9.28515625" style="296" bestFit="1" customWidth="1"/>
    <col min="1802" max="1802" width="10" style="296" bestFit="1" customWidth="1"/>
    <col min="1803" max="1803" width="1.7109375" style="296" customWidth="1"/>
    <col min="1804" max="1804" width="8.140625" style="296" bestFit="1" customWidth="1"/>
    <col min="1805" max="1805" width="7.7109375" style="296" bestFit="1" customWidth="1"/>
    <col min="1806" max="1806" width="7" style="296" customWidth="1"/>
    <col min="1807" max="1807" width="8.140625" style="296" bestFit="1" customWidth="1"/>
    <col min="1808" max="1808" width="1.7109375" style="296" customWidth="1"/>
    <col min="1809" max="1809" width="8.140625" style="296" bestFit="1" customWidth="1"/>
    <col min="1810" max="1812" width="9.140625" style="296"/>
    <col min="1813" max="1813" width="3" style="296" customWidth="1"/>
    <col min="1814" max="1814" width="8.140625" style="296" bestFit="1" customWidth="1"/>
    <col min="1815" max="1817" width="9.140625" style="296"/>
    <col min="1818" max="1818" width="2.7109375" style="296" customWidth="1"/>
    <col min="1819" max="1819" width="8.28515625" style="296" bestFit="1" customWidth="1"/>
    <col min="1820" max="1822" width="9.140625" style="296"/>
    <col min="1823" max="1823" width="1.140625" style="296" customWidth="1"/>
    <col min="1824" max="1824" width="8.28515625" style="296" bestFit="1" customWidth="1"/>
    <col min="1825" max="1826" width="7.7109375" style="296" bestFit="1" customWidth="1"/>
    <col min="1827" max="1827" width="8.140625" style="296" bestFit="1" customWidth="1"/>
    <col min="1828" max="1828" width="1.7109375" style="296" customWidth="1"/>
    <col min="1829" max="1832" width="9.140625" style="296"/>
    <col min="1833" max="1833" width="1.5703125" style="296" customWidth="1"/>
    <col min="1834" max="1834" width="8.140625" style="296" bestFit="1" customWidth="1"/>
    <col min="1835" max="1836" width="7.7109375" style="296" bestFit="1" customWidth="1"/>
    <col min="1837" max="1837" width="8.140625" style="296" bestFit="1" customWidth="1"/>
    <col min="1838" max="1838" width="1.7109375" style="296" customWidth="1"/>
    <col min="1839" max="1839" width="8.28515625" style="296" bestFit="1" customWidth="1"/>
    <col min="1840" max="1841" width="7.7109375" style="296" bestFit="1" customWidth="1"/>
    <col min="1842" max="1842" width="8.140625" style="296" bestFit="1" customWidth="1"/>
    <col min="1843" max="2043" width="9.140625" style="296"/>
    <col min="2044" max="2044" width="4.140625" style="296" bestFit="1" customWidth="1"/>
    <col min="2045" max="2045" width="12.140625" style="296" bestFit="1" customWidth="1"/>
    <col min="2046" max="2047" width="9.28515625" style="296" bestFit="1" customWidth="1"/>
    <col min="2048" max="2048" width="10" style="296" customWidth="1"/>
    <col min="2049" max="2049" width="3" style="296" customWidth="1"/>
    <col min="2050" max="2050" width="12.28515625" style="296" bestFit="1" customWidth="1"/>
    <col min="2051" max="2053" width="10" style="296" customWidth="1"/>
    <col min="2054" max="2054" width="1.7109375" style="296" customWidth="1"/>
    <col min="2055" max="2055" width="10" style="296" bestFit="1" customWidth="1"/>
    <col min="2056" max="2057" width="9.28515625" style="296" bestFit="1" customWidth="1"/>
    <col min="2058" max="2058" width="10" style="296" bestFit="1" customWidth="1"/>
    <col min="2059" max="2059" width="1.7109375" style="296" customWidth="1"/>
    <col min="2060" max="2060" width="8.140625" style="296" bestFit="1" customWidth="1"/>
    <col min="2061" max="2061" width="7.7109375" style="296" bestFit="1" customWidth="1"/>
    <col min="2062" max="2062" width="7" style="296" customWidth="1"/>
    <col min="2063" max="2063" width="8.140625" style="296" bestFit="1" customWidth="1"/>
    <col min="2064" max="2064" width="1.7109375" style="296" customWidth="1"/>
    <col min="2065" max="2065" width="8.140625" style="296" bestFit="1" customWidth="1"/>
    <col min="2066" max="2068" width="9.140625" style="296"/>
    <col min="2069" max="2069" width="3" style="296" customWidth="1"/>
    <col min="2070" max="2070" width="8.140625" style="296" bestFit="1" customWidth="1"/>
    <col min="2071" max="2073" width="9.140625" style="296"/>
    <col min="2074" max="2074" width="2.7109375" style="296" customWidth="1"/>
    <col min="2075" max="2075" width="8.28515625" style="296" bestFit="1" customWidth="1"/>
    <col min="2076" max="2078" width="9.140625" style="296"/>
    <col min="2079" max="2079" width="1.140625" style="296" customWidth="1"/>
    <col min="2080" max="2080" width="8.28515625" style="296" bestFit="1" customWidth="1"/>
    <col min="2081" max="2082" width="7.7109375" style="296" bestFit="1" customWidth="1"/>
    <col min="2083" max="2083" width="8.140625" style="296" bestFit="1" customWidth="1"/>
    <col min="2084" max="2084" width="1.7109375" style="296" customWidth="1"/>
    <col min="2085" max="2088" width="9.140625" style="296"/>
    <col min="2089" max="2089" width="1.5703125" style="296" customWidth="1"/>
    <col min="2090" max="2090" width="8.140625" style="296" bestFit="1" customWidth="1"/>
    <col min="2091" max="2092" width="7.7109375" style="296" bestFit="1" customWidth="1"/>
    <col min="2093" max="2093" width="8.140625" style="296" bestFit="1" customWidth="1"/>
    <col min="2094" max="2094" width="1.7109375" style="296" customWidth="1"/>
    <col min="2095" max="2095" width="8.28515625" style="296" bestFit="1" customWidth="1"/>
    <col min="2096" max="2097" width="7.7109375" style="296" bestFit="1" customWidth="1"/>
    <col min="2098" max="2098" width="8.140625" style="296" bestFit="1" customWidth="1"/>
    <col min="2099" max="2299" width="9.140625" style="296"/>
    <col min="2300" max="2300" width="4.140625" style="296" bestFit="1" customWidth="1"/>
    <col min="2301" max="2301" width="12.140625" style="296" bestFit="1" customWidth="1"/>
    <col min="2302" max="2303" width="9.28515625" style="296" bestFit="1" customWidth="1"/>
    <col min="2304" max="2304" width="10" style="296" customWidth="1"/>
    <col min="2305" max="2305" width="3" style="296" customWidth="1"/>
    <col min="2306" max="2306" width="12.28515625" style="296" bestFit="1" customWidth="1"/>
    <col min="2307" max="2309" width="10" style="296" customWidth="1"/>
    <col min="2310" max="2310" width="1.7109375" style="296" customWidth="1"/>
    <col min="2311" max="2311" width="10" style="296" bestFit="1" customWidth="1"/>
    <col min="2312" max="2313" width="9.28515625" style="296" bestFit="1" customWidth="1"/>
    <col min="2314" max="2314" width="10" style="296" bestFit="1" customWidth="1"/>
    <col min="2315" max="2315" width="1.7109375" style="296" customWidth="1"/>
    <col min="2316" max="2316" width="8.140625" style="296" bestFit="1" customWidth="1"/>
    <col min="2317" max="2317" width="7.7109375" style="296" bestFit="1" customWidth="1"/>
    <col min="2318" max="2318" width="7" style="296" customWidth="1"/>
    <col min="2319" max="2319" width="8.140625" style="296" bestFit="1" customWidth="1"/>
    <col min="2320" max="2320" width="1.7109375" style="296" customWidth="1"/>
    <col min="2321" max="2321" width="8.140625" style="296" bestFit="1" customWidth="1"/>
    <col min="2322" max="2324" width="9.140625" style="296"/>
    <col min="2325" max="2325" width="3" style="296" customWidth="1"/>
    <col min="2326" max="2326" width="8.140625" style="296" bestFit="1" customWidth="1"/>
    <col min="2327" max="2329" width="9.140625" style="296"/>
    <col min="2330" max="2330" width="2.7109375" style="296" customWidth="1"/>
    <col min="2331" max="2331" width="8.28515625" style="296" bestFit="1" customWidth="1"/>
    <col min="2332" max="2334" width="9.140625" style="296"/>
    <col min="2335" max="2335" width="1.140625" style="296" customWidth="1"/>
    <col min="2336" max="2336" width="8.28515625" style="296" bestFit="1" customWidth="1"/>
    <col min="2337" max="2338" width="7.7109375" style="296" bestFit="1" customWidth="1"/>
    <col min="2339" max="2339" width="8.140625" style="296" bestFit="1" customWidth="1"/>
    <col min="2340" max="2340" width="1.7109375" style="296" customWidth="1"/>
    <col min="2341" max="2344" width="9.140625" style="296"/>
    <col min="2345" max="2345" width="1.5703125" style="296" customWidth="1"/>
    <col min="2346" max="2346" width="8.140625" style="296" bestFit="1" customWidth="1"/>
    <col min="2347" max="2348" width="7.7109375" style="296" bestFit="1" customWidth="1"/>
    <col min="2349" max="2349" width="8.140625" style="296" bestFit="1" customWidth="1"/>
    <col min="2350" max="2350" width="1.7109375" style="296" customWidth="1"/>
    <col min="2351" max="2351" width="8.28515625" style="296" bestFit="1" customWidth="1"/>
    <col min="2352" max="2353" width="7.7109375" style="296" bestFit="1" customWidth="1"/>
    <col min="2354" max="2354" width="8.140625" style="296" bestFit="1" customWidth="1"/>
    <col min="2355" max="2555" width="9.140625" style="296"/>
    <col min="2556" max="2556" width="4.140625" style="296" bestFit="1" customWidth="1"/>
    <col min="2557" max="2557" width="12.140625" style="296" bestFit="1" customWidth="1"/>
    <col min="2558" max="2559" width="9.28515625" style="296" bestFit="1" customWidth="1"/>
    <col min="2560" max="2560" width="10" style="296" customWidth="1"/>
    <col min="2561" max="2561" width="3" style="296" customWidth="1"/>
    <col min="2562" max="2562" width="12.28515625" style="296" bestFit="1" customWidth="1"/>
    <col min="2563" max="2565" width="10" style="296" customWidth="1"/>
    <col min="2566" max="2566" width="1.7109375" style="296" customWidth="1"/>
    <col min="2567" max="2567" width="10" style="296" bestFit="1" customWidth="1"/>
    <col min="2568" max="2569" width="9.28515625" style="296" bestFit="1" customWidth="1"/>
    <col min="2570" max="2570" width="10" style="296" bestFit="1" customWidth="1"/>
    <col min="2571" max="2571" width="1.7109375" style="296" customWidth="1"/>
    <col min="2572" max="2572" width="8.140625" style="296" bestFit="1" customWidth="1"/>
    <col min="2573" max="2573" width="7.7109375" style="296" bestFit="1" customWidth="1"/>
    <col min="2574" max="2574" width="7" style="296" customWidth="1"/>
    <col min="2575" max="2575" width="8.140625" style="296" bestFit="1" customWidth="1"/>
    <col min="2576" max="2576" width="1.7109375" style="296" customWidth="1"/>
    <col min="2577" max="2577" width="8.140625" style="296" bestFit="1" customWidth="1"/>
    <col min="2578" max="2580" width="9.140625" style="296"/>
    <col min="2581" max="2581" width="3" style="296" customWidth="1"/>
    <col min="2582" max="2582" width="8.140625" style="296" bestFit="1" customWidth="1"/>
    <col min="2583" max="2585" width="9.140625" style="296"/>
    <col min="2586" max="2586" width="2.7109375" style="296" customWidth="1"/>
    <col min="2587" max="2587" width="8.28515625" style="296" bestFit="1" customWidth="1"/>
    <col min="2588" max="2590" width="9.140625" style="296"/>
    <col min="2591" max="2591" width="1.140625" style="296" customWidth="1"/>
    <col min="2592" max="2592" width="8.28515625" style="296" bestFit="1" customWidth="1"/>
    <col min="2593" max="2594" width="7.7109375" style="296" bestFit="1" customWidth="1"/>
    <col min="2595" max="2595" width="8.140625" style="296" bestFit="1" customWidth="1"/>
    <col min="2596" max="2596" width="1.7109375" style="296" customWidth="1"/>
    <col min="2597" max="2600" width="9.140625" style="296"/>
    <col min="2601" max="2601" width="1.5703125" style="296" customWidth="1"/>
    <col min="2602" max="2602" width="8.140625" style="296" bestFit="1" customWidth="1"/>
    <col min="2603" max="2604" width="7.7109375" style="296" bestFit="1" customWidth="1"/>
    <col min="2605" max="2605" width="8.140625" style="296" bestFit="1" customWidth="1"/>
    <col min="2606" max="2606" width="1.7109375" style="296" customWidth="1"/>
    <col min="2607" max="2607" width="8.28515625" style="296" bestFit="1" customWidth="1"/>
    <col min="2608" max="2609" width="7.7109375" style="296" bestFit="1" customWidth="1"/>
    <col min="2610" max="2610" width="8.140625" style="296" bestFit="1" customWidth="1"/>
    <col min="2611" max="2811" width="9.140625" style="296"/>
    <col min="2812" max="2812" width="4.140625" style="296" bestFit="1" customWidth="1"/>
    <col min="2813" max="2813" width="12.140625" style="296" bestFit="1" customWidth="1"/>
    <col min="2814" max="2815" width="9.28515625" style="296" bestFit="1" customWidth="1"/>
    <col min="2816" max="2816" width="10" style="296" customWidth="1"/>
    <col min="2817" max="2817" width="3" style="296" customWidth="1"/>
    <col min="2818" max="2818" width="12.28515625" style="296" bestFit="1" customWidth="1"/>
    <col min="2819" max="2821" width="10" style="296" customWidth="1"/>
    <col min="2822" max="2822" width="1.7109375" style="296" customWidth="1"/>
    <col min="2823" max="2823" width="10" style="296" bestFit="1" customWidth="1"/>
    <col min="2824" max="2825" width="9.28515625" style="296" bestFit="1" customWidth="1"/>
    <col min="2826" max="2826" width="10" style="296" bestFit="1" customWidth="1"/>
    <col min="2827" max="2827" width="1.7109375" style="296" customWidth="1"/>
    <col min="2828" max="2828" width="8.140625" style="296" bestFit="1" customWidth="1"/>
    <col min="2829" max="2829" width="7.7109375" style="296" bestFit="1" customWidth="1"/>
    <col min="2830" max="2830" width="7" style="296" customWidth="1"/>
    <col min="2831" max="2831" width="8.140625" style="296" bestFit="1" customWidth="1"/>
    <col min="2832" max="2832" width="1.7109375" style="296" customWidth="1"/>
    <col min="2833" max="2833" width="8.140625" style="296" bestFit="1" customWidth="1"/>
    <col min="2834" max="2836" width="9.140625" style="296"/>
    <col min="2837" max="2837" width="3" style="296" customWidth="1"/>
    <col min="2838" max="2838" width="8.140625" style="296" bestFit="1" customWidth="1"/>
    <col min="2839" max="2841" width="9.140625" style="296"/>
    <col min="2842" max="2842" width="2.7109375" style="296" customWidth="1"/>
    <col min="2843" max="2843" width="8.28515625" style="296" bestFit="1" customWidth="1"/>
    <col min="2844" max="2846" width="9.140625" style="296"/>
    <col min="2847" max="2847" width="1.140625" style="296" customWidth="1"/>
    <col min="2848" max="2848" width="8.28515625" style="296" bestFit="1" customWidth="1"/>
    <col min="2849" max="2850" width="7.7109375" style="296" bestFit="1" customWidth="1"/>
    <col min="2851" max="2851" width="8.140625" style="296" bestFit="1" customWidth="1"/>
    <col min="2852" max="2852" width="1.7109375" style="296" customWidth="1"/>
    <col min="2853" max="2856" width="9.140625" style="296"/>
    <col min="2857" max="2857" width="1.5703125" style="296" customWidth="1"/>
    <col min="2858" max="2858" width="8.140625" style="296" bestFit="1" customWidth="1"/>
    <col min="2859" max="2860" width="7.7109375" style="296" bestFit="1" customWidth="1"/>
    <col min="2861" max="2861" width="8.140625" style="296" bestFit="1" customWidth="1"/>
    <col min="2862" max="2862" width="1.7109375" style="296" customWidth="1"/>
    <col min="2863" max="2863" width="8.28515625" style="296" bestFit="1" customWidth="1"/>
    <col min="2864" max="2865" width="7.7109375" style="296" bestFit="1" customWidth="1"/>
    <col min="2866" max="2866" width="8.140625" style="296" bestFit="1" customWidth="1"/>
    <col min="2867" max="3067" width="9.140625" style="296"/>
    <col min="3068" max="3068" width="4.140625" style="296" bestFit="1" customWidth="1"/>
    <col min="3069" max="3069" width="12.140625" style="296" bestFit="1" customWidth="1"/>
    <col min="3070" max="3071" width="9.28515625" style="296" bestFit="1" customWidth="1"/>
    <col min="3072" max="3072" width="10" style="296" customWidth="1"/>
    <col min="3073" max="3073" width="3" style="296" customWidth="1"/>
    <col min="3074" max="3074" width="12.28515625" style="296" bestFit="1" customWidth="1"/>
    <col min="3075" max="3077" width="10" style="296" customWidth="1"/>
    <col min="3078" max="3078" width="1.7109375" style="296" customWidth="1"/>
    <col min="3079" max="3079" width="10" style="296" bestFit="1" customWidth="1"/>
    <col min="3080" max="3081" width="9.28515625" style="296" bestFit="1" customWidth="1"/>
    <col min="3082" max="3082" width="10" style="296" bestFit="1" customWidth="1"/>
    <col min="3083" max="3083" width="1.7109375" style="296" customWidth="1"/>
    <col min="3084" max="3084" width="8.140625" style="296" bestFit="1" customWidth="1"/>
    <col min="3085" max="3085" width="7.7109375" style="296" bestFit="1" customWidth="1"/>
    <col min="3086" max="3086" width="7" style="296" customWidth="1"/>
    <col min="3087" max="3087" width="8.140625" style="296" bestFit="1" customWidth="1"/>
    <col min="3088" max="3088" width="1.7109375" style="296" customWidth="1"/>
    <col min="3089" max="3089" width="8.140625" style="296" bestFit="1" customWidth="1"/>
    <col min="3090" max="3092" width="9.140625" style="296"/>
    <col min="3093" max="3093" width="3" style="296" customWidth="1"/>
    <col min="3094" max="3094" width="8.140625" style="296" bestFit="1" customWidth="1"/>
    <col min="3095" max="3097" width="9.140625" style="296"/>
    <col min="3098" max="3098" width="2.7109375" style="296" customWidth="1"/>
    <col min="3099" max="3099" width="8.28515625" style="296" bestFit="1" customWidth="1"/>
    <col min="3100" max="3102" width="9.140625" style="296"/>
    <col min="3103" max="3103" width="1.140625" style="296" customWidth="1"/>
    <col min="3104" max="3104" width="8.28515625" style="296" bestFit="1" customWidth="1"/>
    <col min="3105" max="3106" width="7.7109375" style="296" bestFit="1" customWidth="1"/>
    <col min="3107" max="3107" width="8.140625" style="296" bestFit="1" customWidth="1"/>
    <col min="3108" max="3108" width="1.7109375" style="296" customWidth="1"/>
    <col min="3109" max="3112" width="9.140625" style="296"/>
    <col min="3113" max="3113" width="1.5703125" style="296" customWidth="1"/>
    <col min="3114" max="3114" width="8.140625" style="296" bestFit="1" customWidth="1"/>
    <col min="3115" max="3116" width="7.7109375" style="296" bestFit="1" customWidth="1"/>
    <col min="3117" max="3117" width="8.140625" style="296" bestFit="1" customWidth="1"/>
    <col min="3118" max="3118" width="1.7109375" style="296" customWidth="1"/>
    <col min="3119" max="3119" width="8.28515625" style="296" bestFit="1" customWidth="1"/>
    <col min="3120" max="3121" width="7.7109375" style="296" bestFit="1" customWidth="1"/>
    <col min="3122" max="3122" width="8.140625" style="296" bestFit="1" customWidth="1"/>
    <col min="3123" max="3323" width="9.140625" style="296"/>
    <col min="3324" max="3324" width="4.140625" style="296" bestFit="1" customWidth="1"/>
    <col min="3325" max="3325" width="12.140625" style="296" bestFit="1" customWidth="1"/>
    <col min="3326" max="3327" width="9.28515625" style="296" bestFit="1" customWidth="1"/>
    <col min="3328" max="3328" width="10" style="296" customWidth="1"/>
    <col min="3329" max="3329" width="3" style="296" customWidth="1"/>
    <col min="3330" max="3330" width="12.28515625" style="296" bestFit="1" customWidth="1"/>
    <col min="3331" max="3333" width="10" style="296" customWidth="1"/>
    <col min="3334" max="3334" width="1.7109375" style="296" customWidth="1"/>
    <col min="3335" max="3335" width="10" style="296" bestFit="1" customWidth="1"/>
    <col min="3336" max="3337" width="9.28515625" style="296" bestFit="1" customWidth="1"/>
    <col min="3338" max="3338" width="10" style="296" bestFit="1" customWidth="1"/>
    <col min="3339" max="3339" width="1.7109375" style="296" customWidth="1"/>
    <col min="3340" max="3340" width="8.140625" style="296" bestFit="1" customWidth="1"/>
    <col min="3341" max="3341" width="7.7109375" style="296" bestFit="1" customWidth="1"/>
    <col min="3342" max="3342" width="7" style="296" customWidth="1"/>
    <col min="3343" max="3343" width="8.140625" style="296" bestFit="1" customWidth="1"/>
    <col min="3344" max="3344" width="1.7109375" style="296" customWidth="1"/>
    <col min="3345" max="3345" width="8.140625" style="296" bestFit="1" customWidth="1"/>
    <col min="3346" max="3348" width="9.140625" style="296"/>
    <col min="3349" max="3349" width="3" style="296" customWidth="1"/>
    <col min="3350" max="3350" width="8.140625" style="296" bestFit="1" customWidth="1"/>
    <col min="3351" max="3353" width="9.140625" style="296"/>
    <col min="3354" max="3354" width="2.7109375" style="296" customWidth="1"/>
    <col min="3355" max="3355" width="8.28515625" style="296" bestFit="1" customWidth="1"/>
    <col min="3356" max="3358" width="9.140625" style="296"/>
    <col min="3359" max="3359" width="1.140625" style="296" customWidth="1"/>
    <col min="3360" max="3360" width="8.28515625" style="296" bestFit="1" customWidth="1"/>
    <col min="3361" max="3362" width="7.7109375" style="296" bestFit="1" customWidth="1"/>
    <col min="3363" max="3363" width="8.140625" style="296" bestFit="1" customWidth="1"/>
    <col min="3364" max="3364" width="1.7109375" style="296" customWidth="1"/>
    <col min="3365" max="3368" width="9.140625" style="296"/>
    <col min="3369" max="3369" width="1.5703125" style="296" customWidth="1"/>
    <col min="3370" max="3370" width="8.140625" style="296" bestFit="1" customWidth="1"/>
    <col min="3371" max="3372" width="7.7109375" style="296" bestFit="1" customWidth="1"/>
    <col min="3373" max="3373" width="8.140625" style="296" bestFit="1" customWidth="1"/>
    <col min="3374" max="3374" width="1.7109375" style="296" customWidth="1"/>
    <col min="3375" max="3375" width="8.28515625" style="296" bestFit="1" customWidth="1"/>
    <col min="3376" max="3377" width="7.7109375" style="296" bestFit="1" customWidth="1"/>
    <col min="3378" max="3378" width="8.140625" style="296" bestFit="1" customWidth="1"/>
    <col min="3379" max="3579" width="9.140625" style="296"/>
    <col min="3580" max="3580" width="4.140625" style="296" bestFit="1" customWidth="1"/>
    <col min="3581" max="3581" width="12.140625" style="296" bestFit="1" customWidth="1"/>
    <col min="3582" max="3583" width="9.28515625" style="296" bestFit="1" customWidth="1"/>
    <col min="3584" max="3584" width="10" style="296" customWidth="1"/>
    <col min="3585" max="3585" width="3" style="296" customWidth="1"/>
    <col min="3586" max="3586" width="12.28515625" style="296" bestFit="1" customWidth="1"/>
    <col min="3587" max="3589" width="10" style="296" customWidth="1"/>
    <col min="3590" max="3590" width="1.7109375" style="296" customWidth="1"/>
    <col min="3591" max="3591" width="10" style="296" bestFit="1" customWidth="1"/>
    <col min="3592" max="3593" width="9.28515625" style="296" bestFit="1" customWidth="1"/>
    <col min="3594" max="3594" width="10" style="296" bestFit="1" customWidth="1"/>
    <col min="3595" max="3595" width="1.7109375" style="296" customWidth="1"/>
    <col min="3596" max="3596" width="8.140625" style="296" bestFit="1" customWidth="1"/>
    <col min="3597" max="3597" width="7.7109375" style="296" bestFit="1" customWidth="1"/>
    <col min="3598" max="3598" width="7" style="296" customWidth="1"/>
    <col min="3599" max="3599" width="8.140625" style="296" bestFit="1" customWidth="1"/>
    <col min="3600" max="3600" width="1.7109375" style="296" customWidth="1"/>
    <col min="3601" max="3601" width="8.140625" style="296" bestFit="1" customWidth="1"/>
    <col min="3602" max="3604" width="9.140625" style="296"/>
    <col min="3605" max="3605" width="3" style="296" customWidth="1"/>
    <col min="3606" max="3606" width="8.140625" style="296" bestFit="1" customWidth="1"/>
    <col min="3607" max="3609" width="9.140625" style="296"/>
    <col min="3610" max="3610" width="2.7109375" style="296" customWidth="1"/>
    <col min="3611" max="3611" width="8.28515625" style="296" bestFit="1" customWidth="1"/>
    <col min="3612" max="3614" width="9.140625" style="296"/>
    <col min="3615" max="3615" width="1.140625" style="296" customWidth="1"/>
    <col min="3616" max="3616" width="8.28515625" style="296" bestFit="1" customWidth="1"/>
    <col min="3617" max="3618" width="7.7109375" style="296" bestFit="1" customWidth="1"/>
    <col min="3619" max="3619" width="8.140625" style="296" bestFit="1" customWidth="1"/>
    <col min="3620" max="3620" width="1.7109375" style="296" customWidth="1"/>
    <col min="3621" max="3624" width="9.140625" style="296"/>
    <col min="3625" max="3625" width="1.5703125" style="296" customWidth="1"/>
    <col min="3626" max="3626" width="8.140625" style="296" bestFit="1" customWidth="1"/>
    <col min="3627" max="3628" width="7.7109375" style="296" bestFit="1" customWidth="1"/>
    <col min="3629" max="3629" width="8.140625" style="296" bestFit="1" customWidth="1"/>
    <col min="3630" max="3630" width="1.7109375" style="296" customWidth="1"/>
    <col min="3631" max="3631" width="8.28515625" style="296" bestFit="1" customWidth="1"/>
    <col min="3632" max="3633" width="7.7109375" style="296" bestFit="1" customWidth="1"/>
    <col min="3634" max="3634" width="8.140625" style="296" bestFit="1" customWidth="1"/>
    <col min="3635" max="3835" width="9.140625" style="296"/>
    <col min="3836" max="3836" width="4.140625" style="296" bestFit="1" customWidth="1"/>
    <col min="3837" max="3837" width="12.140625" style="296" bestFit="1" customWidth="1"/>
    <col min="3838" max="3839" width="9.28515625" style="296" bestFit="1" customWidth="1"/>
    <col min="3840" max="3840" width="10" style="296" customWidth="1"/>
    <col min="3841" max="3841" width="3" style="296" customWidth="1"/>
    <col min="3842" max="3842" width="12.28515625" style="296" bestFit="1" customWidth="1"/>
    <col min="3843" max="3845" width="10" style="296" customWidth="1"/>
    <col min="3846" max="3846" width="1.7109375" style="296" customWidth="1"/>
    <col min="3847" max="3847" width="10" style="296" bestFit="1" customWidth="1"/>
    <col min="3848" max="3849" width="9.28515625" style="296" bestFit="1" customWidth="1"/>
    <col min="3850" max="3850" width="10" style="296" bestFit="1" customWidth="1"/>
    <col min="3851" max="3851" width="1.7109375" style="296" customWidth="1"/>
    <col min="3852" max="3852" width="8.140625" style="296" bestFit="1" customWidth="1"/>
    <col min="3853" max="3853" width="7.7109375" style="296" bestFit="1" customWidth="1"/>
    <col min="3854" max="3854" width="7" style="296" customWidth="1"/>
    <col min="3855" max="3855" width="8.140625" style="296" bestFit="1" customWidth="1"/>
    <col min="3856" max="3856" width="1.7109375" style="296" customWidth="1"/>
    <col min="3857" max="3857" width="8.140625" style="296" bestFit="1" customWidth="1"/>
    <col min="3858" max="3860" width="9.140625" style="296"/>
    <col min="3861" max="3861" width="3" style="296" customWidth="1"/>
    <col min="3862" max="3862" width="8.140625" style="296" bestFit="1" customWidth="1"/>
    <col min="3863" max="3865" width="9.140625" style="296"/>
    <col min="3866" max="3866" width="2.7109375" style="296" customWidth="1"/>
    <col min="3867" max="3867" width="8.28515625" style="296" bestFit="1" customWidth="1"/>
    <col min="3868" max="3870" width="9.140625" style="296"/>
    <col min="3871" max="3871" width="1.140625" style="296" customWidth="1"/>
    <col min="3872" max="3872" width="8.28515625" style="296" bestFit="1" customWidth="1"/>
    <col min="3873" max="3874" width="7.7109375" style="296" bestFit="1" customWidth="1"/>
    <col min="3875" max="3875" width="8.140625" style="296" bestFit="1" customWidth="1"/>
    <col min="3876" max="3876" width="1.7109375" style="296" customWidth="1"/>
    <col min="3877" max="3880" width="9.140625" style="296"/>
    <col min="3881" max="3881" width="1.5703125" style="296" customWidth="1"/>
    <col min="3882" max="3882" width="8.140625" style="296" bestFit="1" customWidth="1"/>
    <col min="3883" max="3884" width="7.7109375" style="296" bestFit="1" customWidth="1"/>
    <col min="3885" max="3885" width="8.140625" style="296" bestFit="1" customWidth="1"/>
    <col min="3886" max="3886" width="1.7109375" style="296" customWidth="1"/>
    <col min="3887" max="3887" width="8.28515625" style="296" bestFit="1" customWidth="1"/>
    <col min="3888" max="3889" width="7.7109375" style="296" bestFit="1" customWidth="1"/>
    <col min="3890" max="3890" width="8.140625" style="296" bestFit="1" customWidth="1"/>
    <col min="3891" max="4091" width="9.140625" style="296"/>
    <col min="4092" max="4092" width="4.140625" style="296" bestFit="1" customWidth="1"/>
    <col min="4093" max="4093" width="12.140625" style="296" bestFit="1" customWidth="1"/>
    <col min="4094" max="4095" width="9.28515625" style="296" bestFit="1" customWidth="1"/>
    <col min="4096" max="4096" width="10" style="296" customWidth="1"/>
    <col min="4097" max="4097" width="3" style="296" customWidth="1"/>
    <col min="4098" max="4098" width="12.28515625" style="296" bestFit="1" customWidth="1"/>
    <col min="4099" max="4101" width="10" style="296" customWidth="1"/>
    <col min="4102" max="4102" width="1.7109375" style="296" customWidth="1"/>
    <col min="4103" max="4103" width="10" style="296" bestFit="1" customWidth="1"/>
    <col min="4104" max="4105" width="9.28515625" style="296" bestFit="1" customWidth="1"/>
    <col min="4106" max="4106" width="10" style="296" bestFit="1" customWidth="1"/>
    <col min="4107" max="4107" width="1.7109375" style="296" customWidth="1"/>
    <col min="4108" max="4108" width="8.140625" style="296" bestFit="1" customWidth="1"/>
    <col min="4109" max="4109" width="7.7109375" style="296" bestFit="1" customWidth="1"/>
    <col min="4110" max="4110" width="7" style="296" customWidth="1"/>
    <col min="4111" max="4111" width="8.140625" style="296" bestFit="1" customWidth="1"/>
    <col min="4112" max="4112" width="1.7109375" style="296" customWidth="1"/>
    <col min="4113" max="4113" width="8.140625" style="296" bestFit="1" customWidth="1"/>
    <col min="4114" max="4116" width="9.140625" style="296"/>
    <col min="4117" max="4117" width="3" style="296" customWidth="1"/>
    <col min="4118" max="4118" width="8.140625" style="296" bestFit="1" customWidth="1"/>
    <col min="4119" max="4121" width="9.140625" style="296"/>
    <col min="4122" max="4122" width="2.7109375" style="296" customWidth="1"/>
    <col min="4123" max="4123" width="8.28515625" style="296" bestFit="1" customWidth="1"/>
    <col min="4124" max="4126" width="9.140625" style="296"/>
    <col min="4127" max="4127" width="1.140625" style="296" customWidth="1"/>
    <col min="4128" max="4128" width="8.28515625" style="296" bestFit="1" customWidth="1"/>
    <col min="4129" max="4130" width="7.7109375" style="296" bestFit="1" customWidth="1"/>
    <col min="4131" max="4131" width="8.140625" style="296" bestFit="1" customWidth="1"/>
    <col min="4132" max="4132" width="1.7109375" style="296" customWidth="1"/>
    <col min="4133" max="4136" width="9.140625" style="296"/>
    <col min="4137" max="4137" width="1.5703125" style="296" customWidth="1"/>
    <col min="4138" max="4138" width="8.140625" style="296" bestFit="1" customWidth="1"/>
    <col min="4139" max="4140" width="7.7109375" style="296" bestFit="1" customWidth="1"/>
    <col min="4141" max="4141" width="8.140625" style="296" bestFit="1" customWidth="1"/>
    <col min="4142" max="4142" width="1.7109375" style="296" customWidth="1"/>
    <col min="4143" max="4143" width="8.28515625" style="296" bestFit="1" customWidth="1"/>
    <col min="4144" max="4145" width="7.7109375" style="296" bestFit="1" customWidth="1"/>
    <col min="4146" max="4146" width="8.140625" style="296" bestFit="1" customWidth="1"/>
    <col min="4147" max="4347" width="9.140625" style="296"/>
    <col min="4348" max="4348" width="4.140625" style="296" bestFit="1" customWidth="1"/>
    <col min="4349" max="4349" width="12.140625" style="296" bestFit="1" customWidth="1"/>
    <col min="4350" max="4351" width="9.28515625" style="296" bestFit="1" customWidth="1"/>
    <col min="4352" max="4352" width="10" style="296" customWidth="1"/>
    <col min="4353" max="4353" width="3" style="296" customWidth="1"/>
    <col min="4354" max="4354" width="12.28515625" style="296" bestFit="1" customWidth="1"/>
    <col min="4355" max="4357" width="10" style="296" customWidth="1"/>
    <col min="4358" max="4358" width="1.7109375" style="296" customWidth="1"/>
    <col min="4359" max="4359" width="10" style="296" bestFit="1" customWidth="1"/>
    <col min="4360" max="4361" width="9.28515625" style="296" bestFit="1" customWidth="1"/>
    <col min="4362" max="4362" width="10" style="296" bestFit="1" customWidth="1"/>
    <col min="4363" max="4363" width="1.7109375" style="296" customWidth="1"/>
    <col min="4364" max="4364" width="8.140625" style="296" bestFit="1" customWidth="1"/>
    <col min="4365" max="4365" width="7.7109375" style="296" bestFit="1" customWidth="1"/>
    <col min="4366" max="4366" width="7" style="296" customWidth="1"/>
    <col min="4367" max="4367" width="8.140625" style="296" bestFit="1" customWidth="1"/>
    <col min="4368" max="4368" width="1.7109375" style="296" customWidth="1"/>
    <col min="4369" max="4369" width="8.140625" style="296" bestFit="1" customWidth="1"/>
    <col min="4370" max="4372" width="9.140625" style="296"/>
    <col min="4373" max="4373" width="3" style="296" customWidth="1"/>
    <col min="4374" max="4374" width="8.140625" style="296" bestFit="1" customWidth="1"/>
    <col min="4375" max="4377" width="9.140625" style="296"/>
    <col min="4378" max="4378" width="2.7109375" style="296" customWidth="1"/>
    <col min="4379" max="4379" width="8.28515625" style="296" bestFit="1" customWidth="1"/>
    <col min="4380" max="4382" width="9.140625" style="296"/>
    <col min="4383" max="4383" width="1.140625" style="296" customWidth="1"/>
    <col min="4384" max="4384" width="8.28515625" style="296" bestFit="1" customWidth="1"/>
    <col min="4385" max="4386" width="7.7109375" style="296" bestFit="1" customWidth="1"/>
    <col min="4387" max="4387" width="8.140625" style="296" bestFit="1" customWidth="1"/>
    <col min="4388" max="4388" width="1.7109375" style="296" customWidth="1"/>
    <col min="4389" max="4392" width="9.140625" style="296"/>
    <col min="4393" max="4393" width="1.5703125" style="296" customWidth="1"/>
    <col min="4394" max="4394" width="8.140625" style="296" bestFit="1" customWidth="1"/>
    <col min="4395" max="4396" width="7.7109375" style="296" bestFit="1" customWidth="1"/>
    <col min="4397" max="4397" width="8.140625" style="296" bestFit="1" customWidth="1"/>
    <col min="4398" max="4398" width="1.7109375" style="296" customWidth="1"/>
    <col min="4399" max="4399" width="8.28515625" style="296" bestFit="1" customWidth="1"/>
    <col min="4400" max="4401" width="7.7109375" style="296" bestFit="1" customWidth="1"/>
    <col min="4402" max="4402" width="8.140625" style="296" bestFit="1" customWidth="1"/>
    <col min="4403" max="4603" width="9.140625" style="296"/>
    <col min="4604" max="4604" width="4.140625" style="296" bestFit="1" customWidth="1"/>
    <col min="4605" max="4605" width="12.140625" style="296" bestFit="1" customWidth="1"/>
    <col min="4606" max="4607" width="9.28515625" style="296" bestFit="1" customWidth="1"/>
    <col min="4608" max="4608" width="10" style="296" customWidth="1"/>
    <col min="4609" max="4609" width="3" style="296" customWidth="1"/>
    <col min="4610" max="4610" width="12.28515625" style="296" bestFit="1" customWidth="1"/>
    <col min="4611" max="4613" width="10" style="296" customWidth="1"/>
    <col min="4614" max="4614" width="1.7109375" style="296" customWidth="1"/>
    <col min="4615" max="4615" width="10" style="296" bestFit="1" customWidth="1"/>
    <col min="4616" max="4617" width="9.28515625" style="296" bestFit="1" customWidth="1"/>
    <col min="4618" max="4618" width="10" style="296" bestFit="1" customWidth="1"/>
    <col min="4619" max="4619" width="1.7109375" style="296" customWidth="1"/>
    <col min="4620" max="4620" width="8.140625" style="296" bestFit="1" customWidth="1"/>
    <col min="4621" max="4621" width="7.7109375" style="296" bestFit="1" customWidth="1"/>
    <col min="4622" max="4622" width="7" style="296" customWidth="1"/>
    <col min="4623" max="4623" width="8.140625" style="296" bestFit="1" customWidth="1"/>
    <col min="4624" max="4624" width="1.7109375" style="296" customWidth="1"/>
    <col min="4625" max="4625" width="8.140625" style="296" bestFit="1" customWidth="1"/>
    <col min="4626" max="4628" width="9.140625" style="296"/>
    <col min="4629" max="4629" width="3" style="296" customWidth="1"/>
    <col min="4630" max="4630" width="8.140625" style="296" bestFit="1" customWidth="1"/>
    <col min="4631" max="4633" width="9.140625" style="296"/>
    <col min="4634" max="4634" width="2.7109375" style="296" customWidth="1"/>
    <col min="4635" max="4635" width="8.28515625" style="296" bestFit="1" customWidth="1"/>
    <col min="4636" max="4638" width="9.140625" style="296"/>
    <col min="4639" max="4639" width="1.140625" style="296" customWidth="1"/>
    <col min="4640" max="4640" width="8.28515625" style="296" bestFit="1" customWidth="1"/>
    <col min="4641" max="4642" width="7.7109375" style="296" bestFit="1" customWidth="1"/>
    <col min="4643" max="4643" width="8.140625" style="296" bestFit="1" customWidth="1"/>
    <col min="4644" max="4644" width="1.7109375" style="296" customWidth="1"/>
    <col min="4645" max="4648" width="9.140625" style="296"/>
    <col min="4649" max="4649" width="1.5703125" style="296" customWidth="1"/>
    <col min="4650" max="4650" width="8.140625" style="296" bestFit="1" customWidth="1"/>
    <col min="4651" max="4652" width="7.7109375" style="296" bestFit="1" customWidth="1"/>
    <col min="4653" max="4653" width="8.140625" style="296" bestFit="1" customWidth="1"/>
    <col min="4654" max="4654" width="1.7109375" style="296" customWidth="1"/>
    <col min="4655" max="4655" width="8.28515625" style="296" bestFit="1" customWidth="1"/>
    <col min="4656" max="4657" width="7.7109375" style="296" bestFit="1" customWidth="1"/>
    <col min="4658" max="4658" width="8.140625" style="296" bestFit="1" customWidth="1"/>
    <col min="4659" max="4859" width="9.140625" style="296"/>
    <col min="4860" max="4860" width="4.140625" style="296" bestFit="1" customWidth="1"/>
    <col min="4861" max="4861" width="12.140625" style="296" bestFit="1" customWidth="1"/>
    <col min="4862" max="4863" width="9.28515625" style="296" bestFit="1" customWidth="1"/>
    <col min="4864" max="4864" width="10" style="296" customWidth="1"/>
    <col min="4865" max="4865" width="3" style="296" customWidth="1"/>
    <col min="4866" max="4866" width="12.28515625" style="296" bestFit="1" customWidth="1"/>
    <col min="4867" max="4869" width="10" style="296" customWidth="1"/>
    <col min="4870" max="4870" width="1.7109375" style="296" customWidth="1"/>
    <col min="4871" max="4871" width="10" style="296" bestFit="1" customWidth="1"/>
    <col min="4872" max="4873" width="9.28515625" style="296" bestFit="1" customWidth="1"/>
    <col min="4874" max="4874" width="10" style="296" bestFit="1" customWidth="1"/>
    <col min="4875" max="4875" width="1.7109375" style="296" customWidth="1"/>
    <col min="4876" max="4876" width="8.140625" style="296" bestFit="1" customWidth="1"/>
    <col min="4877" max="4877" width="7.7109375" style="296" bestFit="1" customWidth="1"/>
    <col min="4878" max="4878" width="7" style="296" customWidth="1"/>
    <col min="4879" max="4879" width="8.140625" style="296" bestFit="1" customWidth="1"/>
    <col min="4880" max="4880" width="1.7109375" style="296" customWidth="1"/>
    <col min="4881" max="4881" width="8.140625" style="296" bestFit="1" customWidth="1"/>
    <col min="4882" max="4884" width="9.140625" style="296"/>
    <col min="4885" max="4885" width="3" style="296" customWidth="1"/>
    <col min="4886" max="4886" width="8.140625" style="296" bestFit="1" customWidth="1"/>
    <col min="4887" max="4889" width="9.140625" style="296"/>
    <col min="4890" max="4890" width="2.7109375" style="296" customWidth="1"/>
    <col min="4891" max="4891" width="8.28515625" style="296" bestFit="1" customWidth="1"/>
    <col min="4892" max="4894" width="9.140625" style="296"/>
    <col min="4895" max="4895" width="1.140625" style="296" customWidth="1"/>
    <col min="4896" max="4896" width="8.28515625" style="296" bestFit="1" customWidth="1"/>
    <col min="4897" max="4898" width="7.7109375" style="296" bestFit="1" customWidth="1"/>
    <col min="4899" max="4899" width="8.140625" style="296" bestFit="1" customWidth="1"/>
    <col min="4900" max="4900" width="1.7109375" style="296" customWidth="1"/>
    <col min="4901" max="4904" width="9.140625" style="296"/>
    <col min="4905" max="4905" width="1.5703125" style="296" customWidth="1"/>
    <col min="4906" max="4906" width="8.140625" style="296" bestFit="1" customWidth="1"/>
    <col min="4907" max="4908" width="7.7109375" style="296" bestFit="1" customWidth="1"/>
    <col min="4909" max="4909" width="8.140625" style="296" bestFit="1" customWidth="1"/>
    <col min="4910" max="4910" width="1.7109375" style="296" customWidth="1"/>
    <col min="4911" max="4911" width="8.28515625" style="296" bestFit="1" customWidth="1"/>
    <col min="4912" max="4913" width="7.7109375" style="296" bestFit="1" customWidth="1"/>
    <col min="4914" max="4914" width="8.140625" style="296" bestFit="1" customWidth="1"/>
    <col min="4915" max="5115" width="9.140625" style="296"/>
    <col min="5116" max="5116" width="4.140625" style="296" bestFit="1" customWidth="1"/>
    <col min="5117" max="5117" width="12.140625" style="296" bestFit="1" customWidth="1"/>
    <col min="5118" max="5119" width="9.28515625" style="296" bestFit="1" customWidth="1"/>
    <col min="5120" max="5120" width="10" style="296" customWidth="1"/>
    <col min="5121" max="5121" width="3" style="296" customWidth="1"/>
    <col min="5122" max="5122" width="12.28515625" style="296" bestFit="1" customWidth="1"/>
    <col min="5123" max="5125" width="10" style="296" customWidth="1"/>
    <col min="5126" max="5126" width="1.7109375" style="296" customWidth="1"/>
    <col min="5127" max="5127" width="10" style="296" bestFit="1" customWidth="1"/>
    <col min="5128" max="5129" width="9.28515625" style="296" bestFit="1" customWidth="1"/>
    <col min="5130" max="5130" width="10" style="296" bestFit="1" customWidth="1"/>
    <col min="5131" max="5131" width="1.7109375" style="296" customWidth="1"/>
    <col min="5132" max="5132" width="8.140625" style="296" bestFit="1" customWidth="1"/>
    <col min="5133" max="5133" width="7.7109375" style="296" bestFit="1" customWidth="1"/>
    <col min="5134" max="5134" width="7" style="296" customWidth="1"/>
    <col min="5135" max="5135" width="8.140625" style="296" bestFit="1" customWidth="1"/>
    <col min="5136" max="5136" width="1.7109375" style="296" customWidth="1"/>
    <col min="5137" max="5137" width="8.140625" style="296" bestFit="1" customWidth="1"/>
    <col min="5138" max="5140" width="9.140625" style="296"/>
    <col min="5141" max="5141" width="3" style="296" customWidth="1"/>
    <col min="5142" max="5142" width="8.140625" style="296" bestFit="1" customWidth="1"/>
    <col min="5143" max="5145" width="9.140625" style="296"/>
    <col min="5146" max="5146" width="2.7109375" style="296" customWidth="1"/>
    <col min="5147" max="5147" width="8.28515625" style="296" bestFit="1" customWidth="1"/>
    <col min="5148" max="5150" width="9.140625" style="296"/>
    <col min="5151" max="5151" width="1.140625" style="296" customWidth="1"/>
    <col min="5152" max="5152" width="8.28515625" style="296" bestFit="1" customWidth="1"/>
    <col min="5153" max="5154" width="7.7109375" style="296" bestFit="1" customWidth="1"/>
    <col min="5155" max="5155" width="8.140625" style="296" bestFit="1" customWidth="1"/>
    <col min="5156" max="5156" width="1.7109375" style="296" customWidth="1"/>
    <col min="5157" max="5160" width="9.140625" style="296"/>
    <col min="5161" max="5161" width="1.5703125" style="296" customWidth="1"/>
    <col min="5162" max="5162" width="8.140625" style="296" bestFit="1" customWidth="1"/>
    <col min="5163" max="5164" width="7.7109375" style="296" bestFit="1" customWidth="1"/>
    <col min="5165" max="5165" width="8.140625" style="296" bestFit="1" customWidth="1"/>
    <col min="5166" max="5166" width="1.7109375" style="296" customWidth="1"/>
    <col min="5167" max="5167" width="8.28515625" style="296" bestFit="1" customWidth="1"/>
    <col min="5168" max="5169" width="7.7109375" style="296" bestFit="1" customWidth="1"/>
    <col min="5170" max="5170" width="8.140625" style="296" bestFit="1" customWidth="1"/>
    <col min="5171" max="5371" width="9.140625" style="296"/>
    <col min="5372" max="5372" width="4.140625" style="296" bestFit="1" customWidth="1"/>
    <col min="5373" max="5373" width="12.140625" style="296" bestFit="1" customWidth="1"/>
    <col min="5374" max="5375" width="9.28515625" style="296" bestFit="1" customWidth="1"/>
    <col min="5376" max="5376" width="10" style="296" customWidth="1"/>
    <col min="5377" max="5377" width="3" style="296" customWidth="1"/>
    <col min="5378" max="5378" width="12.28515625" style="296" bestFit="1" customWidth="1"/>
    <col min="5379" max="5381" width="10" style="296" customWidth="1"/>
    <col min="5382" max="5382" width="1.7109375" style="296" customWidth="1"/>
    <col min="5383" max="5383" width="10" style="296" bestFit="1" customWidth="1"/>
    <col min="5384" max="5385" width="9.28515625" style="296" bestFit="1" customWidth="1"/>
    <col min="5386" max="5386" width="10" style="296" bestFit="1" customWidth="1"/>
    <col min="5387" max="5387" width="1.7109375" style="296" customWidth="1"/>
    <col min="5388" max="5388" width="8.140625" style="296" bestFit="1" customWidth="1"/>
    <col min="5389" max="5389" width="7.7109375" style="296" bestFit="1" customWidth="1"/>
    <col min="5390" max="5390" width="7" style="296" customWidth="1"/>
    <col min="5391" max="5391" width="8.140625" style="296" bestFit="1" customWidth="1"/>
    <col min="5392" max="5392" width="1.7109375" style="296" customWidth="1"/>
    <col min="5393" max="5393" width="8.140625" style="296" bestFit="1" customWidth="1"/>
    <col min="5394" max="5396" width="9.140625" style="296"/>
    <col min="5397" max="5397" width="3" style="296" customWidth="1"/>
    <col min="5398" max="5398" width="8.140625" style="296" bestFit="1" customWidth="1"/>
    <col min="5399" max="5401" width="9.140625" style="296"/>
    <col min="5402" max="5402" width="2.7109375" style="296" customWidth="1"/>
    <col min="5403" max="5403" width="8.28515625" style="296" bestFit="1" customWidth="1"/>
    <col min="5404" max="5406" width="9.140625" style="296"/>
    <col min="5407" max="5407" width="1.140625" style="296" customWidth="1"/>
    <col min="5408" max="5408" width="8.28515625" style="296" bestFit="1" customWidth="1"/>
    <col min="5409" max="5410" width="7.7109375" style="296" bestFit="1" customWidth="1"/>
    <col min="5411" max="5411" width="8.140625" style="296" bestFit="1" customWidth="1"/>
    <col min="5412" max="5412" width="1.7109375" style="296" customWidth="1"/>
    <col min="5413" max="5416" width="9.140625" style="296"/>
    <col min="5417" max="5417" width="1.5703125" style="296" customWidth="1"/>
    <col min="5418" max="5418" width="8.140625" style="296" bestFit="1" customWidth="1"/>
    <col min="5419" max="5420" width="7.7109375" style="296" bestFit="1" customWidth="1"/>
    <col min="5421" max="5421" width="8.140625" style="296" bestFit="1" customWidth="1"/>
    <col min="5422" max="5422" width="1.7109375" style="296" customWidth="1"/>
    <col min="5423" max="5423" width="8.28515625" style="296" bestFit="1" customWidth="1"/>
    <col min="5424" max="5425" width="7.7109375" style="296" bestFit="1" customWidth="1"/>
    <col min="5426" max="5426" width="8.140625" style="296" bestFit="1" customWidth="1"/>
    <col min="5427" max="5627" width="9.140625" style="296"/>
    <col min="5628" max="5628" width="4.140625" style="296" bestFit="1" customWidth="1"/>
    <col min="5629" max="5629" width="12.140625" style="296" bestFit="1" customWidth="1"/>
    <col min="5630" max="5631" width="9.28515625" style="296" bestFit="1" customWidth="1"/>
    <col min="5632" max="5632" width="10" style="296" customWidth="1"/>
    <col min="5633" max="5633" width="3" style="296" customWidth="1"/>
    <col min="5634" max="5634" width="12.28515625" style="296" bestFit="1" customWidth="1"/>
    <col min="5635" max="5637" width="10" style="296" customWidth="1"/>
    <col min="5638" max="5638" width="1.7109375" style="296" customWidth="1"/>
    <col min="5639" max="5639" width="10" style="296" bestFit="1" customWidth="1"/>
    <col min="5640" max="5641" width="9.28515625" style="296" bestFit="1" customWidth="1"/>
    <col min="5642" max="5642" width="10" style="296" bestFit="1" customWidth="1"/>
    <col min="5643" max="5643" width="1.7109375" style="296" customWidth="1"/>
    <col min="5644" max="5644" width="8.140625" style="296" bestFit="1" customWidth="1"/>
    <col min="5645" max="5645" width="7.7109375" style="296" bestFit="1" customWidth="1"/>
    <col min="5646" max="5646" width="7" style="296" customWidth="1"/>
    <col min="5647" max="5647" width="8.140625" style="296" bestFit="1" customWidth="1"/>
    <col min="5648" max="5648" width="1.7109375" style="296" customWidth="1"/>
    <col min="5649" max="5649" width="8.140625" style="296" bestFit="1" customWidth="1"/>
    <col min="5650" max="5652" width="9.140625" style="296"/>
    <col min="5653" max="5653" width="3" style="296" customWidth="1"/>
    <col min="5654" max="5654" width="8.140625" style="296" bestFit="1" customWidth="1"/>
    <col min="5655" max="5657" width="9.140625" style="296"/>
    <col min="5658" max="5658" width="2.7109375" style="296" customWidth="1"/>
    <col min="5659" max="5659" width="8.28515625" style="296" bestFit="1" customWidth="1"/>
    <col min="5660" max="5662" width="9.140625" style="296"/>
    <col min="5663" max="5663" width="1.140625" style="296" customWidth="1"/>
    <col min="5664" max="5664" width="8.28515625" style="296" bestFit="1" customWidth="1"/>
    <col min="5665" max="5666" width="7.7109375" style="296" bestFit="1" customWidth="1"/>
    <col min="5667" max="5667" width="8.140625" style="296" bestFit="1" customWidth="1"/>
    <col min="5668" max="5668" width="1.7109375" style="296" customWidth="1"/>
    <col min="5669" max="5672" width="9.140625" style="296"/>
    <col min="5673" max="5673" width="1.5703125" style="296" customWidth="1"/>
    <col min="5674" max="5674" width="8.140625" style="296" bestFit="1" customWidth="1"/>
    <col min="5675" max="5676" width="7.7109375" style="296" bestFit="1" customWidth="1"/>
    <col min="5677" max="5677" width="8.140625" style="296" bestFit="1" customWidth="1"/>
    <col min="5678" max="5678" width="1.7109375" style="296" customWidth="1"/>
    <col min="5679" max="5679" width="8.28515625" style="296" bestFit="1" customWidth="1"/>
    <col min="5680" max="5681" width="7.7109375" style="296" bestFit="1" customWidth="1"/>
    <col min="5682" max="5682" width="8.140625" style="296" bestFit="1" customWidth="1"/>
    <col min="5683" max="5883" width="9.140625" style="296"/>
    <col min="5884" max="5884" width="4.140625" style="296" bestFit="1" customWidth="1"/>
    <col min="5885" max="5885" width="12.140625" style="296" bestFit="1" customWidth="1"/>
    <col min="5886" max="5887" width="9.28515625" style="296" bestFit="1" customWidth="1"/>
    <col min="5888" max="5888" width="10" style="296" customWidth="1"/>
    <col min="5889" max="5889" width="3" style="296" customWidth="1"/>
    <col min="5890" max="5890" width="12.28515625" style="296" bestFit="1" customWidth="1"/>
    <col min="5891" max="5893" width="10" style="296" customWidth="1"/>
    <col min="5894" max="5894" width="1.7109375" style="296" customWidth="1"/>
    <col min="5895" max="5895" width="10" style="296" bestFit="1" customWidth="1"/>
    <col min="5896" max="5897" width="9.28515625" style="296" bestFit="1" customWidth="1"/>
    <col min="5898" max="5898" width="10" style="296" bestFit="1" customWidth="1"/>
    <col min="5899" max="5899" width="1.7109375" style="296" customWidth="1"/>
    <col min="5900" max="5900" width="8.140625" style="296" bestFit="1" customWidth="1"/>
    <col min="5901" max="5901" width="7.7109375" style="296" bestFit="1" customWidth="1"/>
    <col min="5902" max="5902" width="7" style="296" customWidth="1"/>
    <col min="5903" max="5903" width="8.140625" style="296" bestFit="1" customWidth="1"/>
    <col min="5904" max="5904" width="1.7109375" style="296" customWidth="1"/>
    <col min="5905" max="5905" width="8.140625" style="296" bestFit="1" customWidth="1"/>
    <col min="5906" max="5908" width="9.140625" style="296"/>
    <col min="5909" max="5909" width="3" style="296" customWidth="1"/>
    <col min="5910" max="5910" width="8.140625" style="296" bestFit="1" customWidth="1"/>
    <col min="5911" max="5913" width="9.140625" style="296"/>
    <col min="5914" max="5914" width="2.7109375" style="296" customWidth="1"/>
    <col min="5915" max="5915" width="8.28515625" style="296" bestFit="1" customWidth="1"/>
    <col min="5916" max="5918" width="9.140625" style="296"/>
    <col min="5919" max="5919" width="1.140625" style="296" customWidth="1"/>
    <col min="5920" max="5920" width="8.28515625" style="296" bestFit="1" customWidth="1"/>
    <col min="5921" max="5922" width="7.7109375" style="296" bestFit="1" customWidth="1"/>
    <col min="5923" max="5923" width="8.140625" style="296" bestFit="1" customWidth="1"/>
    <col min="5924" max="5924" width="1.7109375" style="296" customWidth="1"/>
    <col min="5925" max="5928" width="9.140625" style="296"/>
    <col min="5929" max="5929" width="1.5703125" style="296" customWidth="1"/>
    <col min="5930" max="5930" width="8.140625" style="296" bestFit="1" customWidth="1"/>
    <col min="5931" max="5932" width="7.7109375" style="296" bestFit="1" customWidth="1"/>
    <col min="5933" max="5933" width="8.140625" style="296" bestFit="1" customWidth="1"/>
    <col min="5934" max="5934" width="1.7109375" style="296" customWidth="1"/>
    <col min="5935" max="5935" width="8.28515625" style="296" bestFit="1" customWidth="1"/>
    <col min="5936" max="5937" width="7.7109375" style="296" bestFit="1" customWidth="1"/>
    <col min="5938" max="5938" width="8.140625" style="296" bestFit="1" customWidth="1"/>
    <col min="5939" max="6139" width="9.140625" style="296"/>
    <col min="6140" max="6140" width="4.140625" style="296" bestFit="1" customWidth="1"/>
    <col min="6141" max="6141" width="12.140625" style="296" bestFit="1" customWidth="1"/>
    <col min="6142" max="6143" width="9.28515625" style="296" bestFit="1" customWidth="1"/>
    <col min="6144" max="6144" width="10" style="296" customWidth="1"/>
    <col min="6145" max="6145" width="3" style="296" customWidth="1"/>
    <col min="6146" max="6146" width="12.28515625" style="296" bestFit="1" customWidth="1"/>
    <col min="6147" max="6149" width="10" style="296" customWidth="1"/>
    <col min="6150" max="6150" width="1.7109375" style="296" customWidth="1"/>
    <col min="6151" max="6151" width="10" style="296" bestFit="1" customWidth="1"/>
    <col min="6152" max="6153" width="9.28515625" style="296" bestFit="1" customWidth="1"/>
    <col min="6154" max="6154" width="10" style="296" bestFit="1" customWidth="1"/>
    <col min="6155" max="6155" width="1.7109375" style="296" customWidth="1"/>
    <col min="6156" max="6156" width="8.140625" style="296" bestFit="1" customWidth="1"/>
    <col min="6157" max="6157" width="7.7109375" style="296" bestFit="1" customWidth="1"/>
    <col min="6158" max="6158" width="7" style="296" customWidth="1"/>
    <col min="6159" max="6159" width="8.140625" style="296" bestFit="1" customWidth="1"/>
    <col min="6160" max="6160" width="1.7109375" style="296" customWidth="1"/>
    <col min="6161" max="6161" width="8.140625" style="296" bestFit="1" customWidth="1"/>
    <col min="6162" max="6164" width="9.140625" style="296"/>
    <col min="6165" max="6165" width="3" style="296" customWidth="1"/>
    <col min="6166" max="6166" width="8.140625" style="296" bestFit="1" customWidth="1"/>
    <col min="6167" max="6169" width="9.140625" style="296"/>
    <col min="6170" max="6170" width="2.7109375" style="296" customWidth="1"/>
    <col min="6171" max="6171" width="8.28515625" style="296" bestFit="1" customWidth="1"/>
    <col min="6172" max="6174" width="9.140625" style="296"/>
    <col min="6175" max="6175" width="1.140625" style="296" customWidth="1"/>
    <col min="6176" max="6176" width="8.28515625" style="296" bestFit="1" customWidth="1"/>
    <col min="6177" max="6178" width="7.7109375" style="296" bestFit="1" customWidth="1"/>
    <col min="6179" max="6179" width="8.140625" style="296" bestFit="1" customWidth="1"/>
    <col min="6180" max="6180" width="1.7109375" style="296" customWidth="1"/>
    <col min="6181" max="6184" width="9.140625" style="296"/>
    <col min="6185" max="6185" width="1.5703125" style="296" customWidth="1"/>
    <col min="6186" max="6186" width="8.140625" style="296" bestFit="1" customWidth="1"/>
    <col min="6187" max="6188" width="7.7109375" style="296" bestFit="1" customWidth="1"/>
    <col min="6189" max="6189" width="8.140625" style="296" bestFit="1" customWidth="1"/>
    <col min="6190" max="6190" width="1.7109375" style="296" customWidth="1"/>
    <col min="6191" max="6191" width="8.28515625" style="296" bestFit="1" customWidth="1"/>
    <col min="6192" max="6193" width="7.7109375" style="296" bestFit="1" customWidth="1"/>
    <col min="6194" max="6194" width="8.140625" style="296" bestFit="1" customWidth="1"/>
    <col min="6195" max="6395" width="9.140625" style="296"/>
    <col min="6396" max="6396" width="4.140625" style="296" bestFit="1" customWidth="1"/>
    <col min="6397" max="6397" width="12.140625" style="296" bestFit="1" customWidth="1"/>
    <col min="6398" max="6399" width="9.28515625" style="296" bestFit="1" customWidth="1"/>
    <col min="6400" max="6400" width="10" style="296" customWidth="1"/>
    <col min="6401" max="6401" width="3" style="296" customWidth="1"/>
    <col min="6402" max="6402" width="12.28515625" style="296" bestFit="1" customWidth="1"/>
    <col min="6403" max="6405" width="10" style="296" customWidth="1"/>
    <col min="6406" max="6406" width="1.7109375" style="296" customWidth="1"/>
    <col min="6407" max="6407" width="10" style="296" bestFit="1" customWidth="1"/>
    <col min="6408" max="6409" width="9.28515625" style="296" bestFit="1" customWidth="1"/>
    <col min="6410" max="6410" width="10" style="296" bestFit="1" customWidth="1"/>
    <col min="6411" max="6411" width="1.7109375" style="296" customWidth="1"/>
    <col min="6412" max="6412" width="8.140625" style="296" bestFit="1" customWidth="1"/>
    <col min="6413" max="6413" width="7.7109375" style="296" bestFit="1" customWidth="1"/>
    <col min="6414" max="6414" width="7" style="296" customWidth="1"/>
    <col min="6415" max="6415" width="8.140625" style="296" bestFit="1" customWidth="1"/>
    <col min="6416" max="6416" width="1.7109375" style="296" customWidth="1"/>
    <col min="6417" max="6417" width="8.140625" style="296" bestFit="1" customWidth="1"/>
    <col min="6418" max="6420" width="9.140625" style="296"/>
    <col min="6421" max="6421" width="3" style="296" customWidth="1"/>
    <col min="6422" max="6422" width="8.140625" style="296" bestFit="1" customWidth="1"/>
    <col min="6423" max="6425" width="9.140625" style="296"/>
    <col min="6426" max="6426" width="2.7109375" style="296" customWidth="1"/>
    <col min="6427" max="6427" width="8.28515625" style="296" bestFit="1" customWidth="1"/>
    <col min="6428" max="6430" width="9.140625" style="296"/>
    <col min="6431" max="6431" width="1.140625" style="296" customWidth="1"/>
    <col min="6432" max="6432" width="8.28515625" style="296" bestFit="1" customWidth="1"/>
    <col min="6433" max="6434" width="7.7109375" style="296" bestFit="1" customWidth="1"/>
    <col min="6435" max="6435" width="8.140625" style="296" bestFit="1" customWidth="1"/>
    <col min="6436" max="6436" width="1.7109375" style="296" customWidth="1"/>
    <col min="6437" max="6440" width="9.140625" style="296"/>
    <col min="6441" max="6441" width="1.5703125" style="296" customWidth="1"/>
    <col min="6442" max="6442" width="8.140625" style="296" bestFit="1" customWidth="1"/>
    <col min="6443" max="6444" width="7.7109375" style="296" bestFit="1" customWidth="1"/>
    <col min="6445" max="6445" width="8.140625" style="296" bestFit="1" customWidth="1"/>
    <col min="6446" max="6446" width="1.7109375" style="296" customWidth="1"/>
    <col min="6447" max="6447" width="8.28515625" style="296" bestFit="1" customWidth="1"/>
    <col min="6448" max="6449" width="7.7109375" style="296" bestFit="1" customWidth="1"/>
    <col min="6450" max="6450" width="8.140625" style="296" bestFit="1" customWidth="1"/>
    <col min="6451" max="6651" width="9.140625" style="296"/>
    <col min="6652" max="6652" width="4.140625" style="296" bestFit="1" customWidth="1"/>
    <col min="6653" max="6653" width="12.140625" style="296" bestFit="1" customWidth="1"/>
    <col min="6654" max="6655" width="9.28515625" style="296" bestFit="1" customWidth="1"/>
    <col min="6656" max="6656" width="10" style="296" customWidth="1"/>
    <col min="6657" max="6657" width="3" style="296" customWidth="1"/>
    <col min="6658" max="6658" width="12.28515625" style="296" bestFit="1" customWidth="1"/>
    <col min="6659" max="6661" width="10" style="296" customWidth="1"/>
    <col min="6662" max="6662" width="1.7109375" style="296" customWidth="1"/>
    <col min="6663" max="6663" width="10" style="296" bestFit="1" customWidth="1"/>
    <col min="6664" max="6665" width="9.28515625" style="296" bestFit="1" customWidth="1"/>
    <col min="6666" max="6666" width="10" style="296" bestFit="1" customWidth="1"/>
    <col min="6667" max="6667" width="1.7109375" style="296" customWidth="1"/>
    <col min="6668" max="6668" width="8.140625" style="296" bestFit="1" customWidth="1"/>
    <col min="6669" max="6669" width="7.7109375" style="296" bestFit="1" customWidth="1"/>
    <col min="6670" max="6670" width="7" style="296" customWidth="1"/>
    <col min="6671" max="6671" width="8.140625" style="296" bestFit="1" customWidth="1"/>
    <col min="6672" max="6672" width="1.7109375" style="296" customWidth="1"/>
    <col min="6673" max="6673" width="8.140625" style="296" bestFit="1" customWidth="1"/>
    <col min="6674" max="6676" width="9.140625" style="296"/>
    <col min="6677" max="6677" width="3" style="296" customWidth="1"/>
    <col min="6678" max="6678" width="8.140625" style="296" bestFit="1" customWidth="1"/>
    <col min="6679" max="6681" width="9.140625" style="296"/>
    <col min="6682" max="6682" width="2.7109375" style="296" customWidth="1"/>
    <col min="6683" max="6683" width="8.28515625" style="296" bestFit="1" customWidth="1"/>
    <col min="6684" max="6686" width="9.140625" style="296"/>
    <col min="6687" max="6687" width="1.140625" style="296" customWidth="1"/>
    <col min="6688" max="6688" width="8.28515625" style="296" bestFit="1" customWidth="1"/>
    <col min="6689" max="6690" width="7.7109375" style="296" bestFit="1" customWidth="1"/>
    <col min="6691" max="6691" width="8.140625" style="296" bestFit="1" customWidth="1"/>
    <col min="6692" max="6692" width="1.7109375" style="296" customWidth="1"/>
    <col min="6693" max="6696" width="9.140625" style="296"/>
    <col min="6697" max="6697" width="1.5703125" style="296" customWidth="1"/>
    <col min="6698" max="6698" width="8.140625" style="296" bestFit="1" customWidth="1"/>
    <col min="6699" max="6700" width="7.7109375" style="296" bestFit="1" customWidth="1"/>
    <col min="6701" max="6701" width="8.140625" style="296" bestFit="1" customWidth="1"/>
    <col min="6702" max="6702" width="1.7109375" style="296" customWidth="1"/>
    <col min="6703" max="6703" width="8.28515625" style="296" bestFit="1" customWidth="1"/>
    <col min="6704" max="6705" width="7.7109375" style="296" bestFit="1" customWidth="1"/>
    <col min="6706" max="6706" width="8.140625" style="296" bestFit="1" customWidth="1"/>
    <col min="6707" max="6907" width="9.140625" style="296"/>
    <col min="6908" max="6908" width="4.140625" style="296" bestFit="1" customWidth="1"/>
    <col min="6909" max="6909" width="12.140625" style="296" bestFit="1" customWidth="1"/>
    <col min="6910" max="6911" width="9.28515625" style="296" bestFit="1" customWidth="1"/>
    <col min="6912" max="6912" width="10" style="296" customWidth="1"/>
    <col min="6913" max="6913" width="3" style="296" customWidth="1"/>
    <col min="6914" max="6914" width="12.28515625" style="296" bestFit="1" customWidth="1"/>
    <col min="6915" max="6917" width="10" style="296" customWidth="1"/>
    <col min="6918" max="6918" width="1.7109375" style="296" customWidth="1"/>
    <col min="6919" max="6919" width="10" style="296" bestFit="1" customWidth="1"/>
    <col min="6920" max="6921" width="9.28515625" style="296" bestFit="1" customWidth="1"/>
    <col min="6922" max="6922" width="10" style="296" bestFit="1" customWidth="1"/>
    <col min="6923" max="6923" width="1.7109375" style="296" customWidth="1"/>
    <col min="6924" max="6924" width="8.140625" style="296" bestFit="1" customWidth="1"/>
    <col min="6925" max="6925" width="7.7109375" style="296" bestFit="1" customWidth="1"/>
    <col min="6926" max="6926" width="7" style="296" customWidth="1"/>
    <col min="6927" max="6927" width="8.140625" style="296" bestFit="1" customWidth="1"/>
    <col min="6928" max="6928" width="1.7109375" style="296" customWidth="1"/>
    <col min="6929" max="6929" width="8.140625" style="296" bestFit="1" customWidth="1"/>
    <col min="6930" max="6932" width="9.140625" style="296"/>
    <col min="6933" max="6933" width="3" style="296" customWidth="1"/>
    <col min="6934" max="6934" width="8.140625" style="296" bestFit="1" customWidth="1"/>
    <col min="6935" max="6937" width="9.140625" style="296"/>
    <col min="6938" max="6938" width="2.7109375" style="296" customWidth="1"/>
    <col min="6939" max="6939" width="8.28515625" style="296" bestFit="1" customWidth="1"/>
    <col min="6940" max="6942" width="9.140625" style="296"/>
    <col min="6943" max="6943" width="1.140625" style="296" customWidth="1"/>
    <col min="6944" max="6944" width="8.28515625" style="296" bestFit="1" customWidth="1"/>
    <col min="6945" max="6946" width="7.7109375" style="296" bestFit="1" customWidth="1"/>
    <col min="6947" max="6947" width="8.140625" style="296" bestFit="1" customWidth="1"/>
    <col min="6948" max="6948" width="1.7109375" style="296" customWidth="1"/>
    <col min="6949" max="6952" width="9.140625" style="296"/>
    <col min="6953" max="6953" width="1.5703125" style="296" customWidth="1"/>
    <col min="6954" max="6954" width="8.140625" style="296" bestFit="1" customWidth="1"/>
    <col min="6955" max="6956" width="7.7109375" style="296" bestFit="1" customWidth="1"/>
    <col min="6957" max="6957" width="8.140625" style="296" bestFit="1" customWidth="1"/>
    <col min="6958" max="6958" width="1.7109375" style="296" customWidth="1"/>
    <col min="6959" max="6959" width="8.28515625" style="296" bestFit="1" customWidth="1"/>
    <col min="6960" max="6961" width="7.7109375" style="296" bestFit="1" customWidth="1"/>
    <col min="6962" max="6962" width="8.140625" style="296" bestFit="1" customWidth="1"/>
    <col min="6963" max="7163" width="9.140625" style="296"/>
    <col min="7164" max="7164" width="4.140625" style="296" bestFit="1" customWidth="1"/>
    <col min="7165" max="7165" width="12.140625" style="296" bestFit="1" customWidth="1"/>
    <col min="7166" max="7167" width="9.28515625" style="296" bestFit="1" customWidth="1"/>
    <col min="7168" max="7168" width="10" style="296" customWidth="1"/>
    <col min="7169" max="7169" width="3" style="296" customWidth="1"/>
    <col min="7170" max="7170" width="12.28515625" style="296" bestFit="1" customWidth="1"/>
    <col min="7171" max="7173" width="10" style="296" customWidth="1"/>
    <col min="7174" max="7174" width="1.7109375" style="296" customWidth="1"/>
    <col min="7175" max="7175" width="10" style="296" bestFit="1" customWidth="1"/>
    <col min="7176" max="7177" width="9.28515625" style="296" bestFit="1" customWidth="1"/>
    <col min="7178" max="7178" width="10" style="296" bestFit="1" customWidth="1"/>
    <col min="7179" max="7179" width="1.7109375" style="296" customWidth="1"/>
    <col min="7180" max="7180" width="8.140625" style="296" bestFit="1" customWidth="1"/>
    <col min="7181" max="7181" width="7.7109375" style="296" bestFit="1" customWidth="1"/>
    <col min="7182" max="7182" width="7" style="296" customWidth="1"/>
    <col min="7183" max="7183" width="8.140625" style="296" bestFit="1" customWidth="1"/>
    <col min="7184" max="7184" width="1.7109375" style="296" customWidth="1"/>
    <col min="7185" max="7185" width="8.140625" style="296" bestFit="1" customWidth="1"/>
    <col min="7186" max="7188" width="9.140625" style="296"/>
    <col min="7189" max="7189" width="3" style="296" customWidth="1"/>
    <col min="7190" max="7190" width="8.140625" style="296" bestFit="1" customWidth="1"/>
    <col min="7191" max="7193" width="9.140625" style="296"/>
    <col min="7194" max="7194" width="2.7109375" style="296" customWidth="1"/>
    <col min="7195" max="7195" width="8.28515625" style="296" bestFit="1" customWidth="1"/>
    <col min="7196" max="7198" width="9.140625" style="296"/>
    <col min="7199" max="7199" width="1.140625" style="296" customWidth="1"/>
    <col min="7200" max="7200" width="8.28515625" style="296" bestFit="1" customWidth="1"/>
    <col min="7201" max="7202" width="7.7109375" style="296" bestFit="1" customWidth="1"/>
    <col min="7203" max="7203" width="8.140625" style="296" bestFit="1" customWidth="1"/>
    <col min="7204" max="7204" width="1.7109375" style="296" customWidth="1"/>
    <col min="7205" max="7208" width="9.140625" style="296"/>
    <col min="7209" max="7209" width="1.5703125" style="296" customWidth="1"/>
    <col min="7210" max="7210" width="8.140625" style="296" bestFit="1" customWidth="1"/>
    <col min="7211" max="7212" width="7.7109375" style="296" bestFit="1" customWidth="1"/>
    <col min="7213" max="7213" width="8.140625" style="296" bestFit="1" customWidth="1"/>
    <col min="7214" max="7214" width="1.7109375" style="296" customWidth="1"/>
    <col min="7215" max="7215" width="8.28515625" style="296" bestFit="1" customWidth="1"/>
    <col min="7216" max="7217" width="7.7109375" style="296" bestFit="1" customWidth="1"/>
    <col min="7218" max="7218" width="8.140625" style="296" bestFit="1" customWidth="1"/>
    <col min="7219" max="7419" width="9.140625" style="296"/>
    <col min="7420" max="7420" width="4.140625" style="296" bestFit="1" customWidth="1"/>
    <col min="7421" max="7421" width="12.140625" style="296" bestFit="1" customWidth="1"/>
    <col min="7422" max="7423" width="9.28515625" style="296" bestFit="1" customWidth="1"/>
    <col min="7424" max="7424" width="10" style="296" customWidth="1"/>
    <col min="7425" max="7425" width="3" style="296" customWidth="1"/>
    <col min="7426" max="7426" width="12.28515625" style="296" bestFit="1" customWidth="1"/>
    <col min="7427" max="7429" width="10" style="296" customWidth="1"/>
    <col min="7430" max="7430" width="1.7109375" style="296" customWidth="1"/>
    <col min="7431" max="7431" width="10" style="296" bestFit="1" customWidth="1"/>
    <col min="7432" max="7433" width="9.28515625" style="296" bestFit="1" customWidth="1"/>
    <col min="7434" max="7434" width="10" style="296" bestFit="1" customWidth="1"/>
    <col min="7435" max="7435" width="1.7109375" style="296" customWidth="1"/>
    <col min="7436" max="7436" width="8.140625" style="296" bestFit="1" customWidth="1"/>
    <col min="7437" max="7437" width="7.7109375" style="296" bestFit="1" customWidth="1"/>
    <col min="7438" max="7438" width="7" style="296" customWidth="1"/>
    <col min="7439" max="7439" width="8.140625" style="296" bestFit="1" customWidth="1"/>
    <col min="7440" max="7440" width="1.7109375" style="296" customWidth="1"/>
    <col min="7441" max="7441" width="8.140625" style="296" bestFit="1" customWidth="1"/>
    <col min="7442" max="7444" width="9.140625" style="296"/>
    <col min="7445" max="7445" width="3" style="296" customWidth="1"/>
    <col min="7446" max="7446" width="8.140625" style="296" bestFit="1" customWidth="1"/>
    <col min="7447" max="7449" width="9.140625" style="296"/>
    <col min="7450" max="7450" width="2.7109375" style="296" customWidth="1"/>
    <col min="7451" max="7451" width="8.28515625" style="296" bestFit="1" customWidth="1"/>
    <col min="7452" max="7454" width="9.140625" style="296"/>
    <col min="7455" max="7455" width="1.140625" style="296" customWidth="1"/>
    <col min="7456" max="7456" width="8.28515625" style="296" bestFit="1" customWidth="1"/>
    <col min="7457" max="7458" width="7.7109375" style="296" bestFit="1" customWidth="1"/>
    <col min="7459" max="7459" width="8.140625" style="296" bestFit="1" customWidth="1"/>
    <col min="7460" max="7460" width="1.7109375" style="296" customWidth="1"/>
    <col min="7461" max="7464" width="9.140625" style="296"/>
    <col min="7465" max="7465" width="1.5703125" style="296" customWidth="1"/>
    <col min="7466" max="7466" width="8.140625" style="296" bestFit="1" customWidth="1"/>
    <col min="7467" max="7468" width="7.7109375" style="296" bestFit="1" customWidth="1"/>
    <col min="7469" max="7469" width="8.140625" style="296" bestFit="1" customWidth="1"/>
    <col min="7470" max="7470" width="1.7109375" style="296" customWidth="1"/>
    <col min="7471" max="7471" width="8.28515625" style="296" bestFit="1" customWidth="1"/>
    <col min="7472" max="7473" width="7.7109375" style="296" bestFit="1" customWidth="1"/>
    <col min="7474" max="7474" width="8.140625" style="296" bestFit="1" customWidth="1"/>
    <col min="7475" max="7675" width="9.140625" style="296"/>
    <col min="7676" max="7676" width="4.140625" style="296" bestFit="1" customWidth="1"/>
    <col min="7677" max="7677" width="12.140625" style="296" bestFit="1" customWidth="1"/>
    <col min="7678" max="7679" width="9.28515625" style="296" bestFit="1" customWidth="1"/>
    <col min="7680" max="7680" width="10" style="296" customWidth="1"/>
    <col min="7681" max="7681" width="3" style="296" customWidth="1"/>
    <col min="7682" max="7682" width="12.28515625" style="296" bestFit="1" customWidth="1"/>
    <col min="7683" max="7685" width="10" style="296" customWidth="1"/>
    <col min="7686" max="7686" width="1.7109375" style="296" customWidth="1"/>
    <col min="7687" max="7687" width="10" style="296" bestFit="1" customWidth="1"/>
    <col min="7688" max="7689" width="9.28515625" style="296" bestFit="1" customWidth="1"/>
    <col min="7690" max="7690" width="10" style="296" bestFit="1" customWidth="1"/>
    <col min="7691" max="7691" width="1.7109375" style="296" customWidth="1"/>
    <col min="7692" max="7692" width="8.140625" style="296" bestFit="1" customWidth="1"/>
    <col min="7693" max="7693" width="7.7109375" style="296" bestFit="1" customWidth="1"/>
    <col min="7694" max="7694" width="7" style="296" customWidth="1"/>
    <col min="7695" max="7695" width="8.140625" style="296" bestFit="1" customWidth="1"/>
    <col min="7696" max="7696" width="1.7109375" style="296" customWidth="1"/>
    <col min="7697" max="7697" width="8.140625" style="296" bestFit="1" customWidth="1"/>
    <col min="7698" max="7700" width="9.140625" style="296"/>
    <col min="7701" max="7701" width="3" style="296" customWidth="1"/>
    <col min="7702" max="7702" width="8.140625" style="296" bestFit="1" customWidth="1"/>
    <col min="7703" max="7705" width="9.140625" style="296"/>
    <col min="7706" max="7706" width="2.7109375" style="296" customWidth="1"/>
    <col min="7707" max="7707" width="8.28515625" style="296" bestFit="1" customWidth="1"/>
    <col min="7708" max="7710" width="9.140625" style="296"/>
    <col min="7711" max="7711" width="1.140625" style="296" customWidth="1"/>
    <col min="7712" max="7712" width="8.28515625" style="296" bestFit="1" customWidth="1"/>
    <col min="7713" max="7714" width="7.7109375" style="296" bestFit="1" customWidth="1"/>
    <col min="7715" max="7715" width="8.140625" style="296" bestFit="1" customWidth="1"/>
    <col min="7716" max="7716" width="1.7109375" style="296" customWidth="1"/>
    <col min="7717" max="7720" width="9.140625" style="296"/>
    <col min="7721" max="7721" width="1.5703125" style="296" customWidth="1"/>
    <col min="7722" max="7722" width="8.140625" style="296" bestFit="1" customWidth="1"/>
    <col min="7723" max="7724" width="7.7109375" style="296" bestFit="1" customWidth="1"/>
    <col min="7725" max="7725" width="8.140625" style="296" bestFit="1" customWidth="1"/>
    <col min="7726" max="7726" width="1.7109375" style="296" customWidth="1"/>
    <col min="7727" max="7727" width="8.28515625" style="296" bestFit="1" customWidth="1"/>
    <col min="7728" max="7729" width="7.7109375" style="296" bestFit="1" customWidth="1"/>
    <col min="7730" max="7730" width="8.140625" style="296" bestFit="1" customWidth="1"/>
    <col min="7731" max="7931" width="9.140625" style="296"/>
    <col min="7932" max="7932" width="4.140625" style="296" bestFit="1" customWidth="1"/>
    <col min="7933" max="7933" width="12.140625" style="296" bestFit="1" customWidth="1"/>
    <col min="7934" max="7935" width="9.28515625" style="296" bestFit="1" customWidth="1"/>
    <col min="7936" max="7936" width="10" style="296" customWidth="1"/>
    <col min="7937" max="7937" width="3" style="296" customWidth="1"/>
    <col min="7938" max="7938" width="12.28515625" style="296" bestFit="1" customWidth="1"/>
    <col min="7939" max="7941" width="10" style="296" customWidth="1"/>
    <col min="7942" max="7942" width="1.7109375" style="296" customWidth="1"/>
    <col min="7943" max="7943" width="10" style="296" bestFit="1" customWidth="1"/>
    <col min="7944" max="7945" width="9.28515625" style="296" bestFit="1" customWidth="1"/>
    <col min="7946" max="7946" width="10" style="296" bestFit="1" customWidth="1"/>
    <col min="7947" max="7947" width="1.7109375" style="296" customWidth="1"/>
    <col min="7948" max="7948" width="8.140625" style="296" bestFit="1" customWidth="1"/>
    <col min="7949" max="7949" width="7.7109375" style="296" bestFit="1" customWidth="1"/>
    <col min="7950" max="7950" width="7" style="296" customWidth="1"/>
    <col min="7951" max="7951" width="8.140625" style="296" bestFit="1" customWidth="1"/>
    <col min="7952" max="7952" width="1.7109375" style="296" customWidth="1"/>
    <col min="7953" max="7953" width="8.140625" style="296" bestFit="1" customWidth="1"/>
    <col min="7954" max="7956" width="9.140625" style="296"/>
    <col min="7957" max="7957" width="3" style="296" customWidth="1"/>
    <col min="7958" max="7958" width="8.140625" style="296" bestFit="1" customWidth="1"/>
    <col min="7959" max="7961" width="9.140625" style="296"/>
    <col min="7962" max="7962" width="2.7109375" style="296" customWidth="1"/>
    <col min="7963" max="7963" width="8.28515625" style="296" bestFit="1" customWidth="1"/>
    <col min="7964" max="7966" width="9.140625" style="296"/>
    <col min="7967" max="7967" width="1.140625" style="296" customWidth="1"/>
    <col min="7968" max="7968" width="8.28515625" style="296" bestFit="1" customWidth="1"/>
    <col min="7969" max="7970" width="7.7109375" style="296" bestFit="1" customWidth="1"/>
    <col min="7971" max="7971" width="8.140625" style="296" bestFit="1" customWidth="1"/>
    <col min="7972" max="7972" width="1.7109375" style="296" customWidth="1"/>
    <col min="7973" max="7976" width="9.140625" style="296"/>
    <col min="7977" max="7977" width="1.5703125" style="296" customWidth="1"/>
    <col min="7978" max="7978" width="8.140625" style="296" bestFit="1" customWidth="1"/>
    <col min="7979" max="7980" width="7.7109375" style="296" bestFit="1" customWidth="1"/>
    <col min="7981" max="7981" width="8.140625" style="296" bestFit="1" customWidth="1"/>
    <col min="7982" max="7982" width="1.7109375" style="296" customWidth="1"/>
    <col min="7983" max="7983" width="8.28515625" style="296" bestFit="1" customWidth="1"/>
    <col min="7984" max="7985" width="7.7109375" style="296" bestFit="1" customWidth="1"/>
    <col min="7986" max="7986" width="8.140625" style="296" bestFit="1" customWidth="1"/>
    <col min="7987" max="8187" width="9.140625" style="296"/>
    <col min="8188" max="8188" width="4.140625" style="296" bestFit="1" customWidth="1"/>
    <col min="8189" max="8189" width="12.140625" style="296" bestFit="1" customWidth="1"/>
    <col min="8190" max="8191" width="9.28515625" style="296" bestFit="1" customWidth="1"/>
    <col min="8192" max="8192" width="10" style="296" customWidth="1"/>
    <col min="8193" max="8193" width="3" style="296" customWidth="1"/>
    <col min="8194" max="8194" width="12.28515625" style="296" bestFit="1" customWidth="1"/>
    <col min="8195" max="8197" width="10" style="296" customWidth="1"/>
    <col min="8198" max="8198" width="1.7109375" style="296" customWidth="1"/>
    <col min="8199" max="8199" width="10" style="296" bestFit="1" customWidth="1"/>
    <col min="8200" max="8201" width="9.28515625" style="296" bestFit="1" customWidth="1"/>
    <col min="8202" max="8202" width="10" style="296" bestFit="1" customWidth="1"/>
    <col min="8203" max="8203" width="1.7109375" style="296" customWidth="1"/>
    <col min="8204" max="8204" width="8.140625" style="296" bestFit="1" customWidth="1"/>
    <col min="8205" max="8205" width="7.7109375" style="296" bestFit="1" customWidth="1"/>
    <col min="8206" max="8206" width="7" style="296" customWidth="1"/>
    <col min="8207" max="8207" width="8.140625" style="296" bestFit="1" customWidth="1"/>
    <col min="8208" max="8208" width="1.7109375" style="296" customWidth="1"/>
    <col min="8209" max="8209" width="8.140625" style="296" bestFit="1" customWidth="1"/>
    <col min="8210" max="8212" width="9.140625" style="296"/>
    <col min="8213" max="8213" width="3" style="296" customWidth="1"/>
    <col min="8214" max="8214" width="8.140625" style="296" bestFit="1" customWidth="1"/>
    <col min="8215" max="8217" width="9.140625" style="296"/>
    <col min="8218" max="8218" width="2.7109375" style="296" customWidth="1"/>
    <col min="8219" max="8219" width="8.28515625" style="296" bestFit="1" customWidth="1"/>
    <col min="8220" max="8222" width="9.140625" style="296"/>
    <col min="8223" max="8223" width="1.140625" style="296" customWidth="1"/>
    <col min="8224" max="8224" width="8.28515625" style="296" bestFit="1" customWidth="1"/>
    <col min="8225" max="8226" width="7.7109375" style="296" bestFit="1" customWidth="1"/>
    <col min="8227" max="8227" width="8.140625" style="296" bestFit="1" customWidth="1"/>
    <col min="8228" max="8228" width="1.7109375" style="296" customWidth="1"/>
    <col min="8229" max="8232" width="9.140625" style="296"/>
    <col min="8233" max="8233" width="1.5703125" style="296" customWidth="1"/>
    <col min="8234" max="8234" width="8.140625" style="296" bestFit="1" customWidth="1"/>
    <col min="8235" max="8236" width="7.7109375" style="296" bestFit="1" customWidth="1"/>
    <col min="8237" max="8237" width="8.140625" style="296" bestFit="1" customWidth="1"/>
    <col min="8238" max="8238" width="1.7109375" style="296" customWidth="1"/>
    <col min="8239" max="8239" width="8.28515625" style="296" bestFit="1" customWidth="1"/>
    <col min="8240" max="8241" width="7.7109375" style="296" bestFit="1" customWidth="1"/>
    <col min="8242" max="8242" width="8.140625" style="296" bestFit="1" customWidth="1"/>
    <col min="8243" max="8443" width="9.140625" style="296"/>
    <col min="8444" max="8444" width="4.140625" style="296" bestFit="1" customWidth="1"/>
    <col min="8445" max="8445" width="12.140625" style="296" bestFit="1" customWidth="1"/>
    <col min="8446" max="8447" width="9.28515625" style="296" bestFit="1" customWidth="1"/>
    <col min="8448" max="8448" width="10" style="296" customWidth="1"/>
    <col min="8449" max="8449" width="3" style="296" customWidth="1"/>
    <col min="8450" max="8450" width="12.28515625" style="296" bestFit="1" customWidth="1"/>
    <col min="8451" max="8453" width="10" style="296" customWidth="1"/>
    <col min="8454" max="8454" width="1.7109375" style="296" customWidth="1"/>
    <col min="8455" max="8455" width="10" style="296" bestFit="1" customWidth="1"/>
    <col min="8456" max="8457" width="9.28515625" style="296" bestFit="1" customWidth="1"/>
    <col min="8458" max="8458" width="10" style="296" bestFit="1" customWidth="1"/>
    <col min="8459" max="8459" width="1.7109375" style="296" customWidth="1"/>
    <col min="8460" max="8460" width="8.140625" style="296" bestFit="1" customWidth="1"/>
    <col min="8461" max="8461" width="7.7109375" style="296" bestFit="1" customWidth="1"/>
    <col min="8462" max="8462" width="7" style="296" customWidth="1"/>
    <col min="8463" max="8463" width="8.140625" style="296" bestFit="1" customWidth="1"/>
    <col min="8464" max="8464" width="1.7109375" style="296" customWidth="1"/>
    <col min="8465" max="8465" width="8.140625" style="296" bestFit="1" customWidth="1"/>
    <col min="8466" max="8468" width="9.140625" style="296"/>
    <col min="8469" max="8469" width="3" style="296" customWidth="1"/>
    <col min="8470" max="8470" width="8.140625" style="296" bestFit="1" customWidth="1"/>
    <col min="8471" max="8473" width="9.140625" style="296"/>
    <col min="8474" max="8474" width="2.7109375" style="296" customWidth="1"/>
    <col min="8475" max="8475" width="8.28515625" style="296" bestFit="1" customWidth="1"/>
    <col min="8476" max="8478" width="9.140625" style="296"/>
    <col min="8479" max="8479" width="1.140625" style="296" customWidth="1"/>
    <col min="8480" max="8480" width="8.28515625" style="296" bestFit="1" customWidth="1"/>
    <col min="8481" max="8482" width="7.7109375" style="296" bestFit="1" customWidth="1"/>
    <col min="8483" max="8483" width="8.140625" style="296" bestFit="1" customWidth="1"/>
    <col min="8484" max="8484" width="1.7109375" style="296" customWidth="1"/>
    <col min="8485" max="8488" width="9.140625" style="296"/>
    <col min="8489" max="8489" width="1.5703125" style="296" customWidth="1"/>
    <col min="8490" max="8490" width="8.140625" style="296" bestFit="1" customWidth="1"/>
    <col min="8491" max="8492" width="7.7109375" style="296" bestFit="1" customWidth="1"/>
    <col min="8493" max="8493" width="8.140625" style="296" bestFit="1" customWidth="1"/>
    <col min="8494" max="8494" width="1.7109375" style="296" customWidth="1"/>
    <col min="8495" max="8495" width="8.28515625" style="296" bestFit="1" customWidth="1"/>
    <col min="8496" max="8497" width="7.7109375" style="296" bestFit="1" customWidth="1"/>
    <col min="8498" max="8498" width="8.140625" style="296" bestFit="1" customWidth="1"/>
    <col min="8499" max="8699" width="9.140625" style="296"/>
    <col min="8700" max="8700" width="4.140625" style="296" bestFit="1" customWidth="1"/>
    <col min="8701" max="8701" width="12.140625" style="296" bestFit="1" customWidth="1"/>
    <col min="8702" max="8703" width="9.28515625" style="296" bestFit="1" customWidth="1"/>
    <col min="8704" max="8704" width="10" style="296" customWidth="1"/>
    <col min="8705" max="8705" width="3" style="296" customWidth="1"/>
    <col min="8706" max="8706" width="12.28515625" style="296" bestFit="1" customWidth="1"/>
    <col min="8707" max="8709" width="10" style="296" customWidth="1"/>
    <col min="8710" max="8710" width="1.7109375" style="296" customWidth="1"/>
    <col min="8711" max="8711" width="10" style="296" bestFit="1" customWidth="1"/>
    <col min="8712" max="8713" width="9.28515625" style="296" bestFit="1" customWidth="1"/>
    <col min="8714" max="8714" width="10" style="296" bestFit="1" customWidth="1"/>
    <col min="8715" max="8715" width="1.7109375" style="296" customWidth="1"/>
    <col min="8716" max="8716" width="8.140625" style="296" bestFit="1" customWidth="1"/>
    <col min="8717" max="8717" width="7.7109375" style="296" bestFit="1" customWidth="1"/>
    <col min="8718" max="8718" width="7" style="296" customWidth="1"/>
    <col min="8719" max="8719" width="8.140625" style="296" bestFit="1" customWidth="1"/>
    <col min="8720" max="8720" width="1.7109375" style="296" customWidth="1"/>
    <col min="8721" max="8721" width="8.140625" style="296" bestFit="1" customWidth="1"/>
    <col min="8722" max="8724" width="9.140625" style="296"/>
    <col min="8725" max="8725" width="3" style="296" customWidth="1"/>
    <col min="8726" max="8726" width="8.140625" style="296" bestFit="1" customWidth="1"/>
    <col min="8727" max="8729" width="9.140625" style="296"/>
    <col min="8730" max="8730" width="2.7109375" style="296" customWidth="1"/>
    <col min="8731" max="8731" width="8.28515625" style="296" bestFit="1" customWidth="1"/>
    <col min="8732" max="8734" width="9.140625" style="296"/>
    <col min="8735" max="8735" width="1.140625" style="296" customWidth="1"/>
    <col min="8736" max="8736" width="8.28515625" style="296" bestFit="1" customWidth="1"/>
    <col min="8737" max="8738" width="7.7109375" style="296" bestFit="1" customWidth="1"/>
    <col min="8739" max="8739" width="8.140625" style="296" bestFit="1" customWidth="1"/>
    <col min="8740" max="8740" width="1.7109375" style="296" customWidth="1"/>
    <col min="8741" max="8744" width="9.140625" style="296"/>
    <col min="8745" max="8745" width="1.5703125" style="296" customWidth="1"/>
    <col min="8746" max="8746" width="8.140625" style="296" bestFit="1" customWidth="1"/>
    <col min="8747" max="8748" width="7.7109375" style="296" bestFit="1" customWidth="1"/>
    <col min="8749" max="8749" width="8.140625" style="296" bestFit="1" customWidth="1"/>
    <col min="8750" max="8750" width="1.7109375" style="296" customWidth="1"/>
    <col min="8751" max="8751" width="8.28515625" style="296" bestFit="1" customWidth="1"/>
    <col min="8752" max="8753" width="7.7109375" style="296" bestFit="1" customWidth="1"/>
    <col min="8754" max="8754" width="8.140625" style="296" bestFit="1" customWidth="1"/>
    <col min="8755" max="8955" width="9.140625" style="296"/>
    <col min="8956" max="8956" width="4.140625" style="296" bestFit="1" customWidth="1"/>
    <col min="8957" max="8957" width="12.140625" style="296" bestFit="1" customWidth="1"/>
    <col min="8958" max="8959" width="9.28515625" style="296" bestFit="1" customWidth="1"/>
    <col min="8960" max="8960" width="10" style="296" customWidth="1"/>
    <col min="8961" max="8961" width="3" style="296" customWidth="1"/>
    <col min="8962" max="8962" width="12.28515625" style="296" bestFit="1" customWidth="1"/>
    <col min="8963" max="8965" width="10" style="296" customWidth="1"/>
    <col min="8966" max="8966" width="1.7109375" style="296" customWidth="1"/>
    <col min="8967" max="8967" width="10" style="296" bestFit="1" customWidth="1"/>
    <col min="8968" max="8969" width="9.28515625" style="296" bestFit="1" customWidth="1"/>
    <col min="8970" max="8970" width="10" style="296" bestFit="1" customWidth="1"/>
    <col min="8971" max="8971" width="1.7109375" style="296" customWidth="1"/>
    <col min="8972" max="8972" width="8.140625" style="296" bestFit="1" customWidth="1"/>
    <col min="8973" max="8973" width="7.7109375" style="296" bestFit="1" customWidth="1"/>
    <col min="8974" max="8974" width="7" style="296" customWidth="1"/>
    <col min="8975" max="8975" width="8.140625" style="296" bestFit="1" customWidth="1"/>
    <col min="8976" max="8976" width="1.7109375" style="296" customWidth="1"/>
    <col min="8977" max="8977" width="8.140625" style="296" bestFit="1" customWidth="1"/>
    <col min="8978" max="8980" width="9.140625" style="296"/>
    <col min="8981" max="8981" width="3" style="296" customWidth="1"/>
    <col min="8982" max="8982" width="8.140625" style="296" bestFit="1" customWidth="1"/>
    <col min="8983" max="8985" width="9.140625" style="296"/>
    <col min="8986" max="8986" width="2.7109375" style="296" customWidth="1"/>
    <col min="8987" max="8987" width="8.28515625" style="296" bestFit="1" customWidth="1"/>
    <col min="8988" max="8990" width="9.140625" style="296"/>
    <col min="8991" max="8991" width="1.140625" style="296" customWidth="1"/>
    <col min="8992" max="8992" width="8.28515625" style="296" bestFit="1" customWidth="1"/>
    <col min="8993" max="8994" width="7.7109375" style="296" bestFit="1" customWidth="1"/>
    <col min="8995" max="8995" width="8.140625" style="296" bestFit="1" customWidth="1"/>
    <col min="8996" max="8996" width="1.7109375" style="296" customWidth="1"/>
    <col min="8997" max="9000" width="9.140625" style="296"/>
    <col min="9001" max="9001" width="1.5703125" style="296" customWidth="1"/>
    <col min="9002" max="9002" width="8.140625" style="296" bestFit="1" customWidth="1"/>
    <col min="9003" max="9004" width="7.7109375" style="296" bestFit="1" customWidth="1"/>
    <col min="9005" max="9005" width="8.140625" style="296" bestFit="1" customWidth="1"/>
    <col min="9006" max="9006" width="1.7109375" style="296" customWidth="1"/>
    <col min="9007" max="9007" width="8.28515625" style="296" bestFit="1" customWidth="1"/>
    <col min="9008" max="9009" width="7.7109375" style="296" bestFit="1" customWidth="1"/>
    <col min="9010" max="9010" width="8.140625" style="296" bestFit="1" customWidth="1"/>
    <col min="9011" max="9211" width="9.140625" style="296"/>
    <col min="9212" max="9212" width="4.140625" style="296" bestFit="1" customWidth="1"/>
    <col min="9213" max="9213" width="12.140625" style="296" bestFit="1" customWidth="1"/>
    <col min="9214" max="9215" width="9.28515625" style="296" bestFit="1" customWidth="1"/>
    <col min="9216" max="9216" width="10" style="296" customWidth="1"/>
    <col min="9217" max="9217" width="3" style="296" customWidth="1"/>
    <col min="9218" max="9218" width="12.28515625" style="296" bestFit="1" customWidth="1"/>
    <col min="9219" max="9221" width="10" style="296" customWidth="1"/>
    <col min="9222" max="9222" width="1.7109375" style="296" customWidth="1"/>
    <col min="9223" max="9223" width="10" style="296" bestFit="1" customWidth="1"/>
    <col min="9224" max="9225" width="9.28515625" style="296" bestFit="1" customWidth="1"/>
    <col min="9226" max="9226" width="10" style="296" bestFit="1" customWidth="1"/>
    <col min="9227" max="9227" width="1.7109375" style="296" customWidth="1"/>
    <col min="9228" max="9228" width="8.140625" style="296" bestFit="1" customWidth="1"/>
    <col min="9229" max="9229" width="7.7109375" style="296" bestFit="1" customWidth="1"/>
    <col min="9230" max="9230" width="7" style="296" customWidth="1"/>
    <col min="9231" max="9231" width="8.140625" style="296" bestFit="1" customWidth="1"/>
    <col min="9232" max="9232" width="1.7109375" style="296" customWidth="1"/>
    <col min="9233" max="9233" width="8.140625" style="296" bestFit="1" customWidth="1"/>
    <col min="9234" max="9236" width="9.140625" style="296"/>
    <col min="9237" max="9237" width="3" style="296" customWidth="1"/>
    <col min="9238" max="9238" width="8.140625" style="296" bestFit="1" customWidth="1"/>
    <col min="9239" max="9241" width="9.140625" style="296"/>
    <col min="9242" max="9242" width="2.7109375" style="296" customWidth="1"/>
    <col min="9243" max="9243" width="8.28515625" style="296" bestFit="1" customWidth="1"/>
    <col min="9244" max="9246" width="9.140625" style="296"/>
    <col min="9247" max="9247" width="1.140625" style="296" customWidth="1"/>
    <col min="9248" max="9248" width="8.28515625" style="296" bestFit="1" customWidth="1"/>
    <col min="9249" max="9250" width="7.7109375" style="296" bestFit="1" customWidth="1"/>
    <col min="9251" max="9251" width="8.140625" style="296" bestFit="1" customWidth="1"/>
    <col min="9252" max="9252" width="1.7109375" style="296" customWidth="1"/>
    <col min="9253" max="9256" width="9.140625" style="296"/>
    <col min="9257" max="9257" width="1.5703125" style="296" customWidth="1"/>
    <col min="9258" max="9258" width="8.140625" style="296" bestFit="1" customWidth="1"/>
    <col min="9259" max="9260" width="7.7109375" style="296" bestFit="1" customWidth="1"/>
    <col min="9261" max="9261" width="8.140625" style="296" bestFit="1" customWidth="1"/>
    <col min="9262" max="9262" width="1.7109375" style="296" customWidth="1"/>
    <col min="9263" max="9263" width="8.28515625" style="296" bestFit="1" customWidth="1"/>
    <col min="9264" max="9265" width="7.7109375" style="296" bestFit="1" customWidth="1"/>
    <col min="9266" max="9266" width="8.140625" style="296" bestFit="1" customWidth="1"/>
    <col min="9267" max="9467" width="9.140625" style="296"/>
    <col min="9468" max="9468" width="4.140625" style="296" bestFit="1" customWidth="1"/>
    <col min="9469" max="9469" width="12.140625" style="296" bestFit="1" customWidth="1"/>
    <col min="9470" max="9471" width="9.28515625" style="296" bestFit="1" customWidth="1"/>
    <col min="9472" max="9472" width="10" style="296" customWidth="1"/>
    <col min="9473" max="9473" width="3" style="296" customWidth="1"/>
    <col min="9474" max="9474" width="12.28515625" style="296" bestFit="1" customWidth="1"/>
    <col min="9475" max="9477" width="10" style="296" customWidth="1"/>
    <col min="9478" max="9478" width="1.7109375" style="296" customWidth="1"/>
    <col min="9479" max="9479" width="10" style="296" bestFit="1" customWidth="1"/>
    <col min="9480" max="9481" width="9.28515625" style="296" bestFit="1" customWidth="1"/>
    <col min="9482" max="9482" width="10" style="296" bestFit="1" customWidth="1"/>
    <col min="9483" max="9483" width="1.7109375" style="296" customWidth="1"/>
    <col min="9484" max="9484" width="8.140625" style="296" bestFit="1" customWidth="1"/>
    <col min="9485" max="9485" width="7.7109375" style="296" bestFit="1" customWidth="1"/>
    <col min="9486" max="9486" width="7" style="296" customWidth="1"/>
    <col min="9487" max="9487" width="8.140625" style="296" bestFit="1" customWidth="1"/>
    <col min="9488" max="9488" width="1.7109375" style="296" customWidth="1"/>
    <col min="9489" max="9489" width="8.140625" style="296" bestFit="1" customWidth="1"/>
    <col min="9490" max="9492" width="9.140625" style="296"/>
    <col min="9493" max="9493" width="3" style="296" customWidth="1"/>
    <col min="9494" max="9494" width="8.140625" style="296" bestFit="1" customWidth="1"/>
    <col min="9495" max="9497" width="9.140625" style="296"/>
    <col min="9498" max="9498" width="2.7109375" style="296" customWidth="1"/>
    <col min="9499" max="9499" width="8.28515625" style="296" bestFit="1" customWidth="1"/>
    <col min="9500" max="9502" width="9.140625" style="296"/>
    <col min="9503" max="9503" width="1.140625" style="296" customWidth="1"/>
    <col min="9504" max="9504" width="8.28515625" style="296" bestFit="1" customWidth="1"/>
    <col min="9505" max="9506" width="7.7109375" style="296" bestFit="1" customWidth="1"/>
    <col min="9507" max="9507" width="8.140625" style="296" bestFit="1" customWidth="1"/>
    <col min="9508" max="9508" width="1.7109375" style="296" customWidth="1"/>
    <col min="9509" max="9512" width="9.140625" style="296"/>
    <col min="9513" max="9513" width="1.5703125" style="296" customWidth="1"/>
    <col min="9514" max="9514" width="8.140625" style="296" bestFit="1" customWidth="1"/>
    <col min="9515" max="9516" width="7.7109375" style="296" bestFit="1" customWidth="1"/>
    <col min="9517" max="9517" width="8.140625" style="296" bestFit="1" customWidth="1"/>
    <col min="9518" max="9518" width="1.7109375" style="296" customWidth="1"/>
    <col min="9519" max="9519" width="8.28515625" style="296" bestFit="1" customWidth="1"/>
    <col min="9520" max="9521" width="7.7109375" style="296" bestFit="1" customWidth="1"/>
    <col min="9522" max="9522" width="8.140625" style="296" bestFit="1" customWidth="1"/>
    <col min="9523" max="9723" width="9.140625" style="296"/>
    <col min="9724" max="9724" width="4.140625" style="296" bestFit="1" customWidth="1"/>
    <col min="9725" max="9725" width="12.140625" style="296" bestFit="1" customWidth="1"/>
    <col min="9726" max="9727" width="9.28515625" style="296" bestFit="1" customWidth="1"/>
    <col min="9728" max="9728" width="10" style="296" customWidth="1"/>
    <col min="9729" max="9729" width="3" style="296" customWidth="1"/>
    <col min="9730" max="9730" width="12.28515625" style="296" bestFit="1" customWidth="1"/>
    <col min="9731" max="9733" width="10" style="296" customWidth="1"/>
    <col min="9734" max="9734" width="1.7109375" style="296" customWidth="1"/>
    <col min="9735" max="9735" width="10" style="296" bestFit="1" customWidth="1"/>
    <col min="9736" max="9737" width="9.28515625" style="296" bestFit="1" customWidth="1"/>
    <col min="9738" max="9738" width="10" style="296" bestFit="1" customWidth="1"/>
    <col min="9739" max="9739" width="1.7109375" style="296" customWidth="1"/>
    <col min="9740" max="9740" width="8.140625" style="296" bestFit="1" customWidth="1"/>
    <col min="9741" max="9741" width="7.7109375" style="296" bestFit="1" customWidth="1"/>
    <col min="9742" max="9742" width="7" style="296" customWidth="1"/>
    <col min="9743" max="9743" width="8.140625" style="296" bestFit="1" customWidth="1"/>
    <col min="9744" max="9744" width="1.7109375" style="296" customWidth="1"/>
    <col min="9745" max="9745" width="8.140625" style="296" bestFit="1" customWidth="1"/>
    <col min="9746" max="9748" width="9.140625" style="296"/>
    <col min="9749" max="9749" width="3" style="296" customWidth="1"/>
    <col min="9750" max="9750" width="8.140625" style="296" bestFit="1" customWidth="1"/>
    <col min="9751" max="9753" width="9.140625" style="296"/>
    <col min="9754" max="9754" width="2.7109375" style="296" customWidth="1"/>
    <col min="9755" max="9755" width="8.28515625" style="296" bestFit="1" customWidth="1"/>
    <col min="9756" max="9758" width="9.140625" style="296"/>
    <col min="9759" max="9759" width="1.140625" style="296" customWidth="1"/>
    <col min="9760" max="9760" width="8.28515625" style="296" bestFit="1" customWidth="1"/>
    <col min="9761" max="9762" width="7.7109375" style="296" bestFit="1" customWidth="1"/>
    <col min="9763" max="9763" width="8.140625" style="296" bestFit="1" customWidth="1"/>
    <col min="9764" max="9764" width="1.7109375" style="296" customWidth="1"/>
    <col min="9765" max="9768" width="9.140625" style="296"/>
    <col min="9769" max="9769" width="1.5703125" style="296" customWidth="1"/>
    <col min="9770" max="9770" width="8.140625" style="296" bestFit="1" customWidth="1"/>
    <col min="9771" max="9772" width="7.7109375" style="296" bestFit="1" customWidth="1"/>
    <col min="9773" max="9773" width="8.140625" style="296" bestFit="1" customWidth="1"/>
    <col min="9774" max="9774" width="1.7109375" style="296" customWidth="1"/>
    <col min="9775" max="9775" width="8.28515625" style="296" bestFit="1" customWidth="1"/>
    <col min="9776" max="9777" width="7.7109375" style="296" bestFit="1" customWidth="1"/>
    <col min="9778" max="9778" width="8.140625" style="296" bestFit="1" customWidth="1"/>
    <col min="9779" max="9979" width="9.140625" style="296"/>
    <col min="9980" max="9980" width="4.140625" style="296" bestFit="1" customWidth="1"/>
    <col min="9981" max="9981" width="12.140625" style="296" bestFit="1" customWidth="1"/>
    <col min="9982" max="9983" width="9.28515625" style="296" bestFit="1" customWidth="1"/>
    <col min="9984" max="9984" width="10" style="296" customWidth="1"/>
    <col min="9985" max="9985" width="3" style="296" customWidth="1"/>
    <col min="9986" max="9986" width="12.28515625" style="296" bestFit="1" customWidth="1"/>
    <col min="9987" max="9989" width="10" style="296" customWidth="1"/>
    <col min="9990" max="9990" width="1.7109375" style="296" customWidth="1"/>
    <col min="9991" max="9991" width="10" style="296" bestFit="1" customWidth="1"/>
    <col min="9992" max="9993" width="9.28515625" style="296" bestFit="1" customWidth="1"/>
    <col min="9994" max="9994" width="10" style="296" bestFit="1" customWidth="1"/>
    <col min="9995" max="9995" width="1.7109375" style="296" customWidth="1"/>
    <col min="9996" max="9996" width="8.140625" style="296" bestFit="1" customWidth="1"/>
    <col min="9997" max="9997" width="7.7109375" style="296" bestFit="1" customWidth="1"/>
    <col min="9998" max="9998" width="7" style="296" customWidth="1"/>
    <col min="9999" max="9999" width="8.140625" style="296" bestFit="1" customWidth="1"/>
    <col min="10000" max="10000" width="1.7109375" style="296" customWidth="1"/>
    <col min="10001" max="10001" width="8.140625" style="296" bestFit="1" customWidth="1"/>
    <col min="10002" max="10004" width="9.140625" style="296"/>
    <col min="10005" max="10005" width="3" style="296" customWidth="1"/>
    <col min="10006" max="10006" width="8.140625" style="296" bestFit="1" customWidth="1"/>
    <col min="10007" max="10009" width="9.140625" style="296"/>
    <col min="10010" max="10010" width="2.7109375" style="296" customWidth="1"/>
    <col min="10011" max="10011" width="8.28515625" style="296" bestFit="1" customWidth="1"/>
    <col min="10012" max="10014" width="9.140625" style="296"/>
    <col min="10015" max="10015" width="1.140625" style="296" customWidth="1"/>
    <col min="10016" max="10016" width="8.28515625" style="296" bestFit="1" customWidth="1"/>
    <col min="10017" max="10018" width="7.7109375" style="296" bestFit="1" customWidth="1"/>
    <col min="10019" max="10019" width="8.140625" style="296" bestFit="1" customWidth="1"/>
    <col min="10020" max="10020" width="1.7109375" style="296" customWidth="1"/>
    <col min="10021" max="10024" width="9.140625" style="296"/>
    <col min="10025" max="10025" width="1.5703125" style="296" customWidth="1"/>
    <col min="10026" max="10026" width="8.140625" style="296" bestFit="1" customWidth="1"/>
    <col min="10027" max="10028" width="7.7109375" style="296" bestFit="1" customWidth="1"/>
    <col min="10029" max="10029" width="8.140625" style="296" bestFit="1" customWidth="1"/>
    <col min="10030" max="10030" width="1.7109375" style="296" customWidth="1"/>
    <col min="10031" max="10031" width="8.28515625" style="296" bestFit="1" customWidth="1"/>
    <col min="10032" max="10033" width="7.7109375" style="296" bestFit="1" customWidth="1"/>
    <col min="10034" max="10034" width="8.140625" style="296" bestFit="1" customWidth="1"/>
    <col min="10035" max="10235" width="9.140625" style="296"/>
    <col min="10236" max="10236" width="4.140625" style="296" bestFit="1" customWidth="1"/>
    <col min="10237" max="10237" width="12.140625" style="296" bestFit="1" customWidth="1"/>
    <col min="10238" max="10239" width="9.28515625" style="296" bestFit="1" customWidth="1"/>
    <col min="10240" max="10240" width="10" style="296" customWidth="1"/>
    <col min="10241" max="10241" width="3" style="296" customWidth="1"/>
    <col min="10242" max="10242" width="12.28515625" style="296" bestFit="1" customWidth="1"/>
    <col min="10243" max="10245" width="10" style="296" customWidth="1"/>
    <col min="10246" max="10246" width="1.7109375" style="296" customWidth="1"/>
    <col min="10247" max="10247" width="10" style="296" bestFit="1" customWidth="1"/>
    <col min="10248" max="10249" width="9.28515625" style="296" bestFit="1" customWidth="1"/>
    <col min="10250" max="10250" width="10" style="296" bestFit="1" customWidth="1"/>
    <col min="10251" max="10251" width="1.7109375" style="296" customWidth="1"/>
    <col min="10252" max="10252" width="8.140625" style="296" bestFit="1" customWidth="1"/>
    <col min="10253" max="10253" width="7.7109375" style="296" bestFit="1" customWidth="1"/>
    <col min="10254" max="10254" width="7" style="296" customWidth="1"/>
    <col min="10255" max="10255" width="8.140625" style="296" bestFit="1" customWidth="1"/>
    <col min="10256" max="10256" width="1.7109375" style="296" customWidth="1"/>
    <col min="10257" max="10257" width="8.140625" style="296" bestFit="1" customWidth="1"/>
    <col min="10258" max="10260" width="9.140625" style="296"/>
    <col min="10261" max="10261" width="3" style="296" customWidth="1"/>
    <col min="10262" max="10262" width="8.140625" style="296" bestFit="1" customWidth="1"/>
    <col min="10263" max="10265" width="9.140625" style="296"/>
    <col min="10266" max="10266" width="2.7109375" style="296" customWidth="1"/>
    <col min="10267" max="10267" width="8.28515625" style="296" bestFit="1" customWidth="1"/>
    <col min="10268" max="10270" width="9.140625" style="296"/>
    <col min="10271" max="10271" width="1.140625" style="296" customWidth="1"/>
    <col min="10272" max="10272" width="8.28515625" style="296" bestFit="1" customWidth="1"/>
    <col min="10273" max="10274" width="7.7109375" style="296" bestFit="1" customWidth="1"/>
    <col min="10275" max="10275" width="8.140625" style="296" bestFit="1" customWidth="1"/>
    <col min="10276" max="10276" width="1.7109375" style="296" customWidth="1"/>
    <col min="10277" max="10280" width="9.140625" style="296"/>
    <col min="10281" max="10281" width="1.5703125" style="296" customWidth="1"/>
    <col min="10282" max="10282" width="8.140625" style="296" bestFit="1" customWidth="1"/>
    <col min="10283" max="10284" width="7.7109375" style="296" bestFit="1" customWidth="1"/>
    <col min="10285" max="10285" width="8.140625" style="296" bestFit="1" customWidth="1"/>
    <col min="10286" max="10286" width="1.7109375" style="296" customWidth="1"/>
    <col min="10287" max="10287" width="8.28515625" style="296" bestFit="1" customWidth="1"/>
    <col min="10288" max="10289" width="7.7109375" style="296" bestFit="1" customWidth="1"/>
    <col min="10290" max="10290" width="8.140625" style="296" bestFit="1" customWidth="1"/>
    <col min="10291" max="10491" width="9.140625" style="296"/>
    <col min="10492" max="10492" width="4.140625" style="296" bestFit="1" customWidth="1"/>
    <col min="10493" max="10493" width="12.140625" style="296" bestFit="1" customWidth="1"/>
    <col min="10494" max="10495" width="9.28515625" style="296" bestFit="1" customWidth="1"/>
    <col min="10496" max="10496" width="10" style="296" customWidth="1"/>
    <col min="10497" max="10497" width="3" style="296" customWidth="1"/>
    <col min="10498" max="10498" width="12.28515625" style="296" bestFit="1" customWidth="1"/>
    <col min="10499" max="10501" width="10" style="296" customWidth="1"/>
    <col min="10502" max="10502" width="1.7109375" style="296" customWidth="1"/>
    <col min="10503" max="10503" width="10" style="296" bestFit="1" customWidth="1"/>
    <col min="10504" max="10505" width="9.28515625" style="296" bestFit="1" customWidth="1"/>
    <col min="10506" max="10506" width="10" style="296" bestFit="1" customWidth="1"/>
    <col min="10507" max="10507" width="1.7109375" style="296" customWidth="1"/>
    <col min="10508" max="10508" width="8.140625" style="296" bestFit="1" customWidth="1"/>
    <col min="10509" max="10509" width="7.7109375" style="296" bestFit="1" customWidth="1"/>
    <col min="10510" max="10510" width="7" style="296" customWidth="1"/>
    <col min="10511" max="10511" width="8.140625" style="296" bestFit="1" customWidth="1"/>
    <col min="10512" max="10512" width="1.7109375" style="296" customWidth="1"/>
    <col min="10513" max="10513" width="8.140625" style="296" bestFit="1" customWidth="1"/>
    <col min="10514" max="10516" width="9.140625" style="296"/>
    <col min="10517" max="10517" width="3" style="296" customWidth="1"/>
    <col min="10518" max="10518" width="8.140625" style="296" bestFit="1" customWidth="1"/>
    <col min="10519" max="10521" width="9.140625" style="296"/>
    <col min="10522" max="10522" width="2.7109375" style="296" customWidth="1"/>
    <col min="10523" max="10523" width="8.28515625" style="296" bestFit="1" customWidth="1"/>
    <col min="10524" max="10526" width="9.140625" style="296"/>
    <col min="10527" max="10527" width="1.140625" style="296" customWidth="1"/>
    <col min="10528" max="10528" width="8.28515625" style="296" bestFit="1" customWidth="1"/>
    <col min="10529" max="10530" width="7.7109375" style="296" bestFit="1" customWidth="1"/>
    <col min="10531" max="10531" width="8.140625" style="296" bestFit="1" customWidth="1"/>
    <col min="10532" max="10532" width="1.7109375" style="296" customWidth="1"/>
    <col min="10533" max="10536" width="9.140625" style="296"/>
    <col min="10537" max="10537" width="1.5703125" style="296" customWidth="1"/>
    <col min="10538" max="10538" width="8.140625" style="296" bestFit="1" customWidth="1"/>
    <col min="10539" max="10540" width="7.7109375" style="296" bestFit="1" customWidth="1"/>
    <col min="10541" max="10541" width="8.140625" style="296" bestFit="1" customWidth="1"/>
    <col min="10542" max="10542" width="1.7109375" style="296" customWidth="1"/>
    <col min="10543" max="10543" width="8.28515625" style="296" bestFit="1" customWidth="1"/>
    <col min="10544" max="10545" width="7.7109375" style="296" bestFit="1" customWidth="1"/>
    <col min="10546" max="10546" width="8.140625" style="296" bestFit="1" customWidth="1"/>
    <col min="10547" max="10747" width="9.140625" style="296"/>
    <col min="10748" max="10748" width="4.140625" style="296" bestFit="1" customWidth="1"/>
    <col min="10749" max="10749" width="12.140625" style="296" bestFit="1" customWidth="1"/>
    <col min="10750" max="10751" width="9.28515625" style="296" bestFit="1" customWidth="1"/>
    <col min="10752" max="10752" width="10" style="296" customWidth="1"/>
    <col min="10753" max="10753" width="3" style="296" customWidth="1"/>
    <col min="10754" max="10754" width="12.28515625" style="296" bestFit="1" customWidth="1"/>
    <col min="10755" max="10757" width="10" style="296" customWidth="1"/>
    <col min="10758" max="10758" width="1.7109375" style="296" customWidth="1"/>
    <col min="10759" max="10759" width="10" style="296" bestFit="1" customWidth="1"/>
    <col min="10760" max="10761" width="9.28515625" style="296" bestFit="1" customWidth="1"/>
    <col min="10762" max="10762" width="10" style="296" bestFit="1" customWidth="1"/>
    <col min="10763" max="10763" width="1.7109375" style="296" customWidth="1"/>
    <col min="10764" max="10764" width="8.140625" style="296" bestFit="1" customWidth="1"/>
    <col min="10765" max="10765" width="7.7109375" style="296" bestFit="1" customWidth="1"/>
    <col min="10766" max="10766" width="7" style="296" customWidth="1"/>
    <col min="10767" max="10767" width="8.140625" style="296" bestFit="1" customWidth="1"/>
    <col min="10768" max="10768" width="1.7109375" style="296" customWidth="1"/>
    <col min="10769" max="10769" width="8.140625" style="296" bestFit="1" customWidth="1"/>
    <col min="10770" max="10772" width="9.140625" style="296"/>
    <col min="10773" max="10773" width="3" style="296" customWidth="1"/>
    <col min="10774" max="10774" width="8.140625" style="296" bestFit="1" customWidth="1"/>
    <col min="10775" max="10777" width="9.140625" style="296"/>
    <col min="10778" max="10778" width="2.7109375" style="296" customWidth="1"/>
    <col min="10779" max="10779" width="8.28515625" style="296" bestFit="1" customWidth="1"/>
    <col min="10780" max="10782" width="9.140625" style="296"/>
    <col min="10783" max="10783" width="1.140625" style="296" customWidth="1"/>
    <col min="10784" max="10784" width="8.28515625" style="296" bestFit="1" customWidth="1"/>
    <col min="10785" max="10786" width="7.7109375" style="296" bestFit="1" customWidth="1"/>
    <col min="10787" max="10787" width="8.140625" style="296" bestFit="1" customWidth="1"/>
    <col min="10788" max="10788" width="1.7109375" style="296" customWidth="1"/>
    <col min="10789" max="10792" width="9.140625" style="296"/>
    <col min="10793" max="10793" width="1.5703125" style="296" customWidth="1"/>
    <col min="10794" max="10794" width="8.140625" style="296" bestFit="1" customWidth="1"/>
    <col min="10795" max="10796" width="7.7109375" style="296" bestFit="1" customWidth="1"/>
    <col min="10797" max="10797" width="8.140625" style="296" bestFit="1" customWidth="1"/>
    <col min="10798" max="10798" width="1.7109375" style="296" customWidth="1"/>
    <col min="10799" max="10799" width="8.28515625" style="296" bestFit="1" customWidth="1"/>
    <col min="10800" max="10801" width="7.7109375" style="296" bestFit="1" customWidth="1"/>
    <col min="10802" max="10802" width="8.140625" style="296" bestFit="1" customWidth="1"/>
    <col min="10803" max="11003" width="9.140625" style="296"/>
    <col min="11004" max="11004" width="4.140625" style="296" bestFit="1" customWidth="1"/>
    <col min="11005" max="11005" width="12.140625" style="296" bestFit="1" customWidth="1"/>
    <col min="11006" max="11007" width="9.28515625" style="296" bestFit="1" customWidth="1"/>
    <col min="11008" max="11008" width="10" style="296" customWidth="1"/>
    <col min="11009" max="11009" width="3" style="296" customWidth="1"/>
    <col min="11010" max="11010" width="12.28515625" style="296" bestFit="1" customWidth="1"/>
    <col min="11011" max="11013" width="10" style="296" customWidth="1"/>
    <col min="11014" max="11014" width="1.7109375" style="296" customWidth="1"/>
    <col min="11015" max="11015" width="10" style="296" bestFit="1" customWidth="1"/>
    <col min="11016" max="11017" width="9.28515625" style="296" bestFit="1" customWidth="1"/>
    <col min="11018" max="11018" width="10" style="296" bestFit="1" customWidth="1"/>
    <col min="11019" max="11019" width="1.7109375" style="296" customWidth="1"/>
    <col min="11020" max="11020" width="8.140625" style="296" bestFit="1" customWidth="1"/>
    <col min="11021" max="11021" width="7.7109375" style="296" bestFit="1" customWidth="1"/>
    <col min="11022" max="11022" width="7" style="296" customWidth="1"/>
    <col min="11023" max="11023" width="8.140625" style="296" bestFit="1" customWidth="1"/>
    <col min="11024" max="11024" width="1.7109375" style="296" customWidth="1"/>
    <col min="11025" max="11025" width="8.140625" style="296" bestFit="1" customWidth="1"/>
    <col min="11026" max="11028" width="9.140625" style="296"/>
    <col min="11029" max="11029" width="3" style="296" customWidth="1"/>
    <col min="11030" max="11030" width="8.140625" style="296" bestFit="1" customWidth="1"/>
    <col min="11031" max="11033" width="9.140625" style="296"/>
    <col min="11034" max="11034" width="2.7109375" style="296" customWidth="1"/>
    <col min="11035" max="11035" width="8.28515625" style="296" bestFit="1" customWidth="1"/>
    <col min="11036" max="11038" width="9.140625" style="296"/>
    <col min="11039" max="11039" width="1.140625" style="296" customWidth="1"/>
    <col min="11040" max="11040" width="8.28515625" style="296" bestFit="1" customWidth="1"/>
    <col min="11041" max="11042" width="7.7109375" style="296" bestFit="1" customWidth="1"/>
    <col min="11043" max="11043" width="8.140625" style="296" bestFit="1" customWidth="1"/>
    <col min="11044" max="11044" width="1.7109375" style="296" customWidth="1"/>
    <col min="11045" max="11048" width="9.140625" style="296"/>
    <col min="11049" max="11049" width="1.5703125" style="296" customWidth="1"/>
    <col min="11050" max="11050" width="8.140625" style="296" bestFit="1" customWidth="1"/>
    <col min="11051" max="11052" width="7.7109375" style="296" bestFit="1" customWidth="1"/>
    <col min="11053" max="11053" width="8.140625" style="296" bestFit="1" customWidth="1"/>
    <col min="11054" max="11054" width="1.7109375" style="296" customWidth="1"/>
    <col min="11055" max="11055" width="8.28515625" style="296" bestFit="1" customWidth="1"/>
    <col min="11056" max="11057" width="7.7109375" style="296" bestFit="1" customWidth="1"/>
    <col min="11058" max="11058" width="8.140625" style="296" bestFit="1" customWidth="1"/>
    <col min="11059" max="11259" width="9.140625" style="296"/>
    <col min="11260" max="11260" width="4.140625" style="296" bestFit="1" customWidth="1"/>
    <col min="11261" max="11261" width="12.140625" style="296" bestFit="1" customWidth="1"/>
    <col min="11262" max="11263" width="9.28515625" style="296" bestFit="1" customWidth="1"/>
    <col min="11264" max="11264" width="10" style="296" customWidth="1"/>
    <col min="11265" max="11265" width="3" style="296" customWidth="1"/>
    <col min="11266" max="11266" width="12.28515625" style="296" bestFit="1" customWidth="1"/>
    <col min="11267" max="11269" width="10" style="296" customWidth="1"/>
    <col min="11270" max="11270" width="1.7109375" style="296" customWidth="1"/>
    <col min="11271" max="11271" width="10" style="296" bestFit="1" customWidth="1"/>
    <col min="11272" max="11273" width="9.28515625" style="296" bestFit="1" customWidth="1"/>
    <col min="11274" max="11274" width="10" style="296" bestFit="1" customWidth="1"/>
    <col min="11275" max="11275" width="1.7109375" style="296" customWidth="1"/>
    <col min="11276" max="11276" width="8.140625" style="296" bestFit="1" customWidth="1"/>
    <col min="11277" max="11277" width="7.7109375" style="296" bestFit="1" customWidth="1"/>
    <col min="11278" max="11278" width="7" style="296" customWidth="1"/>
    <col min="11279" max="11279" width="8.140625" style="296" bestFit="1" customWidth="1"/>
    <col min="11280" max="11280" width="1.7109375" style="296" customWidth="1"/>
    <col min="11281" max="11281" width="8.140625" style="296" bestFit="1" customWidth="1"/>
    <col min="11282" max="11284" width="9.140625" style="296"/>
    <col min="11285" max="11285" width="3" style="296" customWidth="1"/>
    <col min="11286" max="11286" width="8.140625" style="296" bestFit="1" customWidth="1"/>
    <col min="11287" max="11289" width="9.140625" style="296"/>
    <col min="11290" max="11290" width="2.7109375" style="296" customWidth="1"/>
    <col min="11291" max="11291" width="8.28515625" style="296" bestFit="1" customWidth="1"/>
    <col min="11292" max="11294" width="9.140625" style="296"/>
    <col min="11295" max="11295" width="1.140625" style="296" customWidth="1"/>
    <col min="11296" max="11296" width="8.28515625" style="296" bestFit="1" customWidth="1"/>
    <col min="11297" max="11298" width="7.7109375" style="296" bestFit="1" customWidth="1"/>
    <col min="11299" max="11299" width="8.140625" style="296" bestFit="1" customWidth="1"/>
    <col min="11300" max="11300" width="1.7109375" style="296" customWidth="1"/>
    <col min="11301" max="11304" width="9.140625" style="296"/>
    <col min="11305" max="11305" width="1.5703125" style="296" customWidth="1"/>
    <col min="11306" max="11306" width="8.140625" style="296" bestFit="1" customWidth="1"/>
    <col min="11307" max="11308" width="7.7109375" style="296" bestFit="1" customWidth="1"/>
    <col min="11309" max="11309" width="8.140625" style="296" bestFit="1" customWidth="1"/>
    <col min="11310" max="11310" width="1.7109375" style="296" customWidth="1"/>
    <col min="11311" max="11311" width="8.28515625" style="296" bestFit="1" customWidth="1"/>
    <col min="11312" max="11313" width="7.7109375" style="296" bestFit="1" customWidth="1"/>
    <col min="11314" max="11314" width="8.140625" style="296" bestFit="1" customWidth="1"/>
    <col min="11315" max="11515" width="9.140625" style="296"/>
    <col min="11516" max="11516" width="4.140625" style="296" bestFit="1" customWidth="1"/>
    <col min="11517" max="11517" width="12.140625" style="296" bestFit="1" customWidth="1"/>
    <col min="11518" max="11519" width="9.28515625" style="296" bestFit="1" customWidth="1"/>
    <col min="11520" max="11520" width="10" style="296" customWidth="1"/>
    <col min="11521" max="11521" width="3" style="296" customWidth="1"/>
    <col min="11522" max="11522" width="12.28515625" style="296" bestFit="1" customWidth="1"/>
    <col min="11523" max="11525" width="10" style="296" customWidth="1"/>
    <col min="11526" max="11526" width="1.7109375" style="296" customWidth="1"/>
    <col min="11527" max="11527" width="10" style="296" bestFit="1" customWidth="1"/>
    <col min="11528" max="11529" width="9.28515625" style="296" bestFit="1" customWidth="1"/>
    <col min="11530" max="11530" width="10" style="296" bestFit="1" customWidth="1"/>
    <col min="11531" max="11531" width="1.7109375" style="296" customWidth="1"/>
    <col min="11532" max="11532" width="8.140625" style="296" bestFit="1" customWidth="1"/>
    <col min="11533" max="11533" width="7.7109375" style="296" bestFit="1" customWidth="1"/>
    <col min="11534" max="11534" width="7" style="296" customWidth="1"/>
    <col min="11535" max="11535" width="8.140625" style="296" bestFit="1" customWidth="1"/>
    <col min="11536" max="11536" width="1.7109375" style="296" customWidth="1"/>
    <col min="11537" max="11537" width="8.140625" style="296" bestFit="1" customWidth="1"/>
    <col min="11538" max="11540" width="9.140625" style="296"/>
    <col min="11541" max="11541" width="3" style="296" customWidth="1"/>
    <col min="11542" max="11542" width="8.140625" style="296" bestFit="1" customWidth="1"/>
    <col min="11543" max="11545" width="9.140625" style="296"/>
    <col min="11546" max="11546" width="2.7109375" style="296" customWidth="1"/>
    <col min="11547" max="11547" width="8.28515625" style="296" bestFit="1" customWidth="1"/>
    <col min="11548" max="11550" width="9.140625" style="296"/>
    <col min="11551" max="11551" width="1.140625" style="296" customWidth="1"/>
    <col min="11552" max="11552" width="8.28515625" style="296" bestFit="1" customWidth="1"/>
    <col min="11553" max="11554" width="7.7109375" style="296" bestFit="1" customWidth="1"/>
    <col min="11555" max="11555" width="8.140625" style="296" bestFit="1" customWidth="1"/>
    <col min="11556" max="11556" width="1.7109375" style="296" customWidth="1"/>
    <col min="11557" max="11560" width="9.140625" style="296"/>
    <col min="11561" max="11561" width="1.5703125" style="296" customWidth="1"/>
    <col min="11562" max="11562" width="8.140625" style="296" bestFit="1" customWidth="1"/>
    <col min="11563" max="11564" width="7.7109375" style="296" bestFit="1" customWidth="1"/>
    <col min="11565" max="11565" width="8.140625" style="296" bestFit="1" customWidth="1"/>
    <col min="11566" max="11566" width="1.7109375" style="296" customWidth="1"/>
    <col min="11567" max="11567" width="8.28515625" style="296" bestFit="1" customWidth="1"/>
    <col min="11568" max="11569" width="7.7109375" style="296" bestFit="1" customWidth="1"/>
    <col min="11570" max="11570" width="8.140625" style="296" bestFit="1" customWidth="1"/>
    <col min="11571" max="11771" width="9.140625" style="296"/>
    <col min="11772" max="11772" width="4.140625" style="296" bestFit="1" customWidth="1"/>
    <col min="11773" max="11773" width="12.140625" style="296" bestFit="1" customWidth="1"/>
    <col min="11774" max="11775" width="9.28515625" style="296" bestFit="1" customWidth="1"/>
    <col min="11776" max="11776" width="10" style="296" customWidth="1"/>
    <col min="11777" max="11777" width="3" style="296" customWidth="1"/>
    <col min="11778" max="11778" width="12.28515625" style="296" bestFit="1" customWidth="1"/>
    <col min="11779" max="11781" width="10" style="296" customWidth="1"/>
    <col min="11782" max="11782" width="1.7109375" style="296" customWidth="1"/>
    <col min="11783" max="11783" width="10" style="296" bestFit="1" customWidth="1"/>
    <col min="11784" max="11785" width="9.28515625" style="296" bestFit="1" customWidth="1"/>
    <col min="11786" max="11786" width="10" style="296" bestFit="1" customWidth="1"/>
    <col min="11787" max="11787" width="1.7109375" style="296" customWidth="1"/>
    <col min="11788" max="11788" width="8.140625" style="296" bestFit="1" customWidth="1"/>
    <col min="11789" max="11789" width="7.7109375" style="296" bestFit="1" customWidth="1"/>
    <col min="11790" max="11790" width="7" style="296" customWidth="1"/>
    <col min="11791" max="11791" width="8.140625" style="296" bestFit="1" customWidth="1"/>
    <col min="11792" max="11792" width="1.7109375" style="296" customWidth="1"/>
    <col min="11793" max="11793" width="8.140625" style="296" bestFit="1" customWidth="1"/>
    <col min="11794" max="11796" width="9.140625" style="296"/>
    <col min="11797" max="11797" width="3" style="296" customWidth="1"/>
    <col min="11798" max="11798" width="8.140625" style="296" bestFit="1" customWidth="1"/>
    <col min="11799" max="11801" width="9.140625" style="296"/>
    <col min="11802" max="11802" width="2.7109375" style="296" customWidth="1"/>
    <col min="11803" max="11803" width="8.28515625" style="296" bestFit="1" customWidth="1"/>
    <col min="11804" max="11806" width="9.140625" style="296"/>
    <col min="11807" max="11807" width="1.140625" style="296" customWidth="1"/>
    <col min="11808" max="11808" width="8.28515625" style="296" bestFit="1" customWidth="1"/>
    <col min="11809" max="11810" width="7.7109375" style="296" bestFit="1" customWidth="1"/>
    <col min="11811" max="11811" width="8.140625" style="296" bestFit="1" customWidth="1"/>
    <col min="11812" max="11812" width="1.7109375" style="296" customWidth="1"/>
    <col min="11813" max="11816" width="9.140625" style="296"/>
    <col min="11817" max="11817" width="1.5703125" style="296" customWidth="1"/>
    <col min="11818" max="11818" width="8.140625" style="296" bestFit="1" customWidth="1"/>
    <col min="11819" max="11820" width="7.7109375" style="296" bestFit="1" customWidth="1"/>
    <col min="11821" max="11821" width="8.140625" style="296" bestFit="1" customWidth="1"/>
    <col min="11822" max="11822" width="1.7109375" style="296" customWidth="1"/>
    <col min="11823" max="11823" width="8.28515625" style="296" bestFit="1" customWidth="1"/>
    <col min="11824" max="11825" width="7.7109375" style="296" bestFit="1" customWidth="1"/>
    <col min="11826" max="11826" width="8.140625" style="296" bestFit="1" customWidth="1"/>
    <col min="11827" max="12027" width="9.140625" style="296"/>
    <col min="12028" max="12028" width="4.140625" style="296" bestFit="1" customWidth="1"/>
    <col min="12029" max="12029" width="12.140625" style="296" bestFit="1" customWidth="1"/>
    <col min="12030" max="12031" width="9.28515625" style="296" bestFit="1" customWidth="1"/>
    <col min="12032" max="12032" width="10" style="296" customWidth="1"/>
    <col min="12033" max="12033" width="3" style="296" customWidth="1"/>
    <col min="12034" max="12034" width="12.28515625" style="296" bestFit="1" customWidth="1"/>
    <col min="12035" max="12037" width="10" style="296" customWidth="1"/>
    <col min="12038" max="12038" width="1.7109375" style="296" customWidth="1"/>
    <col min="12039" max="12039" width="10" style="296" bestFit="1" customWidth="1"/>
    <col min="12040" max="12041" width="9.28515625" style="296" bestFit="1" customWidth="1"/>
    <col min="12042" max="12042" width="10" style="296" bestFit="1" customWidth="1"/>
    <col min="12043" max="12043" width="1.7109375" style="296" customWidth="1"/>
    <col min="12044" max="12044" width="8.140625" style="296" bestFit="1" customWidth="1"/>
    <col min="12045" max="12045" width="7.7109375" style="296" bestFit="1" customWidth="1"/>
    <col min="12046" max="12046" width="7" style="296" customWidth="1"/>
    <col min="12047" max="12047" width="8.140625" style="296" bestFit="1" customWidth="1"/>
    <col min="12048" max="12048" width="1.7109375" style="296" customWidth="1"/>
    <col min="12049" max="12049" width="8.140625" style="296" bestFit="1" customWidth="1"/>
    <col min="12050" max="12052" width="9.140625" style="296"/>
    <col min="12053" max="12053" width="3" style="296" customWidth="1"/>
    <col min="12054" max="12054" width="8.140625" style="296" bestFit="1" customWidth="1"/>
    <col min="12055" max="12057" width="9.140625" style="296"/>
    <col min="12058" max="12058" width="2.7109375" style="296" customWidth="1"/>
    <col min="12059" max="12059" width="8.28515625" style="296" bestFit="1" customWidth="1"/>
    <col min="12060" max="12062" width="9.140625" style="296"/>
    <col min="12063" max="12063" width="1.140625" style="296" customWidth="1"/>
    <col min="12064" max="12064" width="8.28515625" style="296" bestFit="1" customWidth="1"/>
    <col min="12065" max="12066" width="7.7109375" style="296" bestFit="1" customWidth="1"/>
    <col min="12067" max="12067" width="8.140625" style="296" bestFit="1" customWidth="1"/>
    <col min="12068" max="12068" width="1.7109375" style="296" customWidth="1"/>
    <col min="12069" max="12072" width="9.140625" style="296"/>
    <col min="12073" max="12073" width="1.5703125" style="296" customWidth="1"/>
    <col min="12074" max="12074" width="8.140625" style="296" bestFit="1" customWidth="1"/>
    <col min="12075" max="12076" width="7.7109375" style="296" bestFit="1" customWidth="1"/>
    <col min="12077" max="12077" width="8.140625" style="296" bestFit="1" customWidth="1"/>
    <col min="12078" max="12078" width="1.7109375" style="296" customWidth="1"/>
    <col min="12079" max="12079" width="8.28515625" style="296" bestFit="1" customWidth="1"/>
    <col min="12080" max="12081" width="7.7109375" style="296" bestFit="1" customWidth="1"/>
    <col min="12082" max="12082" width="8.140625" style="296" bestFit="1" customWidth="1"/>
    <col min="12083" max="12283" width="9.140625" style="296"/>
    <col min="12284" max="12284" width="4.140625" style="296" bestFit="1" customWidth="1"/>
    <col min="12285" max="12285" width="12.140625" style="296" bestFit="1" customWidth="1"/>
    <col min="12286" max="12287" width="9.28515625" style="296" bestFit="1" customWidth="1"/>
    <col min="12288" max="12288" width="10" style="296" customWidth="1"/>
    <col min="12289" max="12289" width="3" style="296" customWidth="1"/>
    <col min="12290" max="12290" width="12.28515625" style="296" bestFit="1" customWidth="1"/>
    <col min="12291" max="12293" width="10" style="296" customWidth="1"/>
    <col min="12294" max="12294" width="1.7109375" style="296" customWidth="1"/>
    <col min="12295" max="12295" width="10" style="296" bestFit="1" customWidth="1"/>
    <col min="12296" max="12297" width="9.28515625" style="296" bestFit="1" customWidth="1"/>
    <col min="12298" max="12298" width="10" style="296" bestFit="1" customWidth="1"/>
    <col min="12299" max="12299" width="1.7109375" style="296" customWidth="1"/>
    <col min="12300" max="12300" width="8.140625" style="296" bestFit="1" customWidth="1"/>
    <col min="12301" max="12301" width="7.7109375" style="296" bestFit="1" customWidth="1"/>
    <col min="12302" max="12302" width="7" style="296" customWidth="1"/>
    <col min="12303" max="12303" width="8.140625" style="296" bestFit="1" customWidth="1"/>
    <col min="12304" max="12304" width="1.7109375" style="296" customWidth="1"/>
    <col min="12305" max="12305" width="8.140625" style="296" bestFit="1" customWidth="1"/>
    <col min="12306" max="12308" width="9.140625" style="296"/>
    <col min="12309" max="12309" width="3" style="296" customWidth="1"/>
    <col min="12310" max="12310" width="8.140625" style="296" bestFit="1" customWidth="1"/>
    <col min="12311" max="12313" width="9.140625" style="296"/>
    <col min="12314" max="12314" width="2.7109375" style="296" customWidth="1"/>
    <col min="12315" max="12315" width="8.28515625" style="296" bestFit="1" customWidth="1"/>
    <col min="12316" max="12318" width="9.140625" style="296"/>
    <col min="12319" max="12319" width="1.140625" style="296" customWidth="1"/>
    <col min="12320" max="12320" width="8.28515625" style="296" bestFit="1" customWidth="1"/>
    <col min="12321" max="12322" width="7.7109375" style="296" bestFit="1" customWidth="1"/>
    <col min="12323" max="12323" width="8.140625" style="296" bestFit="1" customWidth="1"/>
    <col min="12324" max="12324" width="1.7109375" style="296" customWidth="1"/>
    <col min="12325" max="12328" width="9.140625" style="296"/>
    <col min="12329" max="12329" width="1.5703125" style="296" customWidth="1"/>
    <col min="12330" max="12330" width="8.140625" style="296" bestFit="1" customWidth="1"/>
    <col min="12331" max="12332" width="7.7109375" style="296" bestFit="1" customWidth="1"/>
    <col min="12333" max="12333" width="8.140625" style="296" bestFit="1" customWidth="1"/>
    <col min="12334" max="12334" width="1.7109375" style="296" customWidth="1"/>
    <col min="12335" max="12335" width="8.28515625" style="296" bestFit="1" customWidth="1"/>
    <col min="12336" max="12337" width="7.7109375" style="296" bestFit="1" customWidth="1"/>
    <col min="12338" max="12338" width="8.140625" style="296" bestFit="1" customWidth="1"/>
    <col min="12339" max="12539" width="9.140625" style="296"/>
    <col min="12540" max="12540" width="4.140625" style="296" bestFit="1" customWidth="1"/>
    <col min="12541" max="12541" width="12.140625" style="296" bestFit="1" customWidth="1"/>
    <col min="12542" max="12543" width="9.28515625" style="296" bestFit="1" customWidth="1"/>
    <col min="12544" max="12544" width="10" style="296" customWidth="1"/>
    <col min="12545" max="12545" width="3" style="296" customWidth="1"/>
    <col min="12546" max="12546" width="12.28515625" style="296" bestFit="1" customWidth="1"/>
    <col min="12547" max="12549" width="10" style="296" customWidth="1"/>
    <col min="12550" max="12550" width="1.7109375" style="296" customWidth="1"/>
    <col min="12551" max="12551" width="10" style="296" bestFit="1" customWidth="1"/>
    <col min="12552" max="12553" width="9.28515625" style="296" bestFit="1" customWidth="1"/>
    <col min="12554" max="12554" width="10" style="296" bestFit="1" customWidth="1"/>
    <col min="12555" max="12555" width="1.7109375" style="296" customWidth="1"/>
    <col min="12556" max="12556" width="8.140625" style="296" bestFit="1" customWidth="1"/>
    <col min="12557" max="12557" width="7.7109375" style="296" bestFit="1" customWidth="1"/>
    <col min="12558" max="12558" width="7" style="296" customWidth="1"/>
    <col min="12559" max="12559" width="8.140625" style="296" bestFit="1" customWidth="1"/>
    <col min="12560" max="12560" width="1.7109375" style="296" customWidth="1"/>
    <col min="12561" max="12561" width="8.140625" style="296" bestFit="1" customWidth="1"/>
    <col min="12562" max="12564" width="9.140625" style="296"/>
    <col min="12565" max="12565" width="3" style="296" customWidth="1"/>
    <col min="12566" max="12566" width="8.140625" style="296" bestFit="1" customWidth="1"/>
    <col min="12567" max="12569" width="9.140625" style="296"/>
    <col min="12570" max="12570" width="2.7109375" style="296" customWidth="1"/>
    <col min="12571" max="12571" width="8.28515625" style="296" bestFit="1" customWidth="1"/>
    <col min="12572" max="12574" width="9.140625" style="296"/>
    <col min="12575" max="12575" width="1.140625" style="296" customWidth="1"/>
    <col min="12576" max="12576" width="8.28515625" style="296" bestFit="1" customWidth="1"/>
    <col min="12577" max="12578" width="7.7109375" style="296" bestFit="1" customWidth="1"/>
    <col min="12579" max="12579" width="8.140625" style="296" bestFit="1" customWidth="1"/>
    <col min="12580" max="12580" width="1.7109375" style="296" customWidth="1"/>
    <col min="12581" max="12584" width="9.140625" style="296"/>
    <col min="12585" max="12585" width="1.5703125" style="296" customWidth="1"/>
    <col min="12586" max="12586" width="8.140625" style="296" bestFit="1" customWidth="1"/>
    <col min="12587" max="12588" width="7.7109375" style="296" bestFit="1" customWidth="1"/>
    <col min="12589" max="12589" width="8.140625" style="296" bestFit="1" customWidth="1"/>
    <col min="12590" max="12590" width="1.7109375" style="296" customWidth="1"/>
    <col min="12591" max="12591" width="8.28515625" style="296" bestFit="1" customWidth="1"/>
    <col min="12592" max="12593" width="7.7109375" style="296" bestFit="1" customWidth="1"/>
    <col min="12594" max="12594" width="8.140625" style="296" bestFit="1" customWidth="1"/>
    <col min="12595" max="12795" width="9.140625" style="296"/>
    <col min="12796" max="12796" width="4.140625" style="296" bestFit="1" customWidth="1"/>
    <col min="12797" max="12797" width="12.140625" style="296" bestFit="1" customWidth="1"/>
    <col min="12798" max="12799" width="9.28515625" style="296" bestFit="1" customWidth="1"/>
    <col min="12800" max="12800" width="10" style="296" customWidth="1"/>
    <col min="12801" max="12801" width="3" style="296" customWidth="1"/>
    <col min="12802" max="12802" width="12.28515625" style="296" bestFit="1" customWidth="1"/>
    <col min="12803" max="12805" width="10" style="296" customWidth="1"/>
    <col min="12806" max="12806" width="1.7109375" style="296" customWidth="1"/>
    <col min="12807" max="12807" width="10" style="296" bestFit="1" customWidth="1"/>
    <col min="12808" max="12809" width="9.28515625" style="296" bestFit="1" customWidth="1"/>
    <col min="12810" max="12810" width="10" style="296" bestFit="1" customWidth="1"/>
    <col min="12811" max="12811" width="1.7109375" style="296" customWidth="1"/>
    <col min="12812" max="12812" width="8.140625" style="296" bestFit="1" customWidth="1"/>
    <col min="12813" max="12813" width="7.7109375" style="296" bestFit="1" customWidth="1"/>
    <col min="12814" max="12814" width="7" style="296" customWidth="1"/>
    <col min="12815" max="12815" width="8.140625" style="296" bestFit="1" customWidth="1"/>
    <col min="12816" max="12816" width="1.7109375" style="296" customWidth="1"/>
    <col min="12817" max="12817" width="8.140625" style="296" bestFit="1" customWidth="1"/>
    <col min="12818" max="12820" width="9.140625" style="296"/>
    <col min="12821" max="12821" width="3" style="296" customWidth="1"/>
    <col min="12822" max="12822" width="8.140625" style="296" bestFit="1" customWidth="1"/>
    <col min="12823" max="12825" width="9.140625" style="296"/>
    <col min="12826" max="12826" width="2.7109375" style="296" customWidth="1"/>
    <col min="12827" max="12827" width="8.28515625" style="296" bestFit="1" customWidth="1"/>
    <col min="12828" max="12830" width="9.140625" style="296"/>
    <col min="12831" max="12831" width="1.140625" style="296" customWidth="1"/>
    <col min="12832" max="12832" width="8.28515625" style="296" bestFit="1" customWidth="1"/>
    <col min="12833" max="12834" width="7.7109375" style="296" bestFit="1" customWidth="1"/>
    <col min="12835" max="12835" width="8.140625" style="296" bestFit="1" customWidth="1"/>
    <col min="12836" max="12836" width="1.7109375" style="296" customWidth="1"/>
    <col min="12837" max="12840" width="9.140625" style="296"/>
    <col min="12841" max="12841" width="1.5703125" style="296" customWidth="1"/>
    <col min="12842" max="12842" width="8.140625" style="296" bestFit="1" customWidth="1"/>
    <col min="12843" max="12844" width="7.7109375" style="296" bestFit="1" customWidth="1"/>
    <col min="12845" max="12845" width="8.140625" style="296" bestFit="1" customWidth="1"/>
    <col min="12846" max="12846" width="1.7109375" style="296" customWidth="1"/>
    <col min="12847" max="12847" width="8.28515625" style="296" bestFit="1" customWidth="1"/>
    <col min="12848" max="12849" width="7.7109375" style="296" bestFit="1" customWidth="1"/>
    <col min="12850" max="12850" width="8.140625" style="296" bestFit="1" customWidth="1"/>
    <col min="12851" max="13051" width="9.140625" style="296"/>
    <col min="13052" max="13052" width="4.140625" style="296" bestFit="1" customWidth="1"/>
    <col min="13053" max="13053" width="12.140625" style="296" bestFit="1" customWidth="1"/>
    <col min="13054" max="13055" width="9.28515625" style="296" bestFit="1" customWidth="1"/>
    <col min="13056" max="13056" width="10" style="296" customWidth="1"/>
    <col min="13057" max="13057" width="3" style="296" customWidth="1"/>
    <col min="13058" max="13058" width="12.28515625" style="296" bestFit="1" customWidth="1"/>
    <col min="13059" max="13061" width="10" style="296" customWidth="1"/>
    <col min="13062" max="13062" width="1.7109375" style="296" customWidth="1"/>
    <col min="13063" max="13063" width="10" style="296" bestFit="1" customWidth="1"/>
    <col min="13064" max="13065" width="9.28515625" style="296" bestFit="1" customWidth="1"/>
    <col min="13066" max="13066" width="10" style="296" bestFit="1" customWidth="1"/>
    <col min="13067" max="13067" width="1.7109375" style="296" customWidth="1"/>
    <col min="13068" max="13068" width="8.140625" style="296" bestFit="1" customWidth="1"/>
    <col min="13069" max="13069" width="7.7109375" style="296" bestFit="1" customWidth="1"/>
    <col min="13070" max="13070" width="7" style="296" customWidth="1"/>
    <col min="13071" max="13071" width="8.140625" style="296" bestFit="1" customWidth="1"/>
    <col min="13072" max="13072" width="1.7109375" style="296" customWidth="1"/>
    <col min="13073" max="13073" width="8.140625" style="296" bestFit="1" customWidth="1"/>
    <col min="13074" max="13076" width="9.140625" style="296"/>
    <col min="13077" max="13077" width="3" style="296" customWidth="1"/>
    <col min="13078" max="13078" width="8.140625" style="296" bestFit="1" customWidth="1"/>
    <col min="13079" max="13081" width="9.140625" style="296"/>
    <col min="13082" max="13082" width="2.7109375" style="296" customWidth="1"/>
    <col min="13083" max="13083" width="8.28515625" style="296" bestFit="1" customWidth="1"/>
    <col min="13084" max="13086" width="9.140625" style="296"/>
    <col min="13087" max="13087" width="1.140625" style="296" customWidth="1"/>
    <col min="13088" max="13088" width="8.28515625" style="296" bestFit="1" customWidth="1"/>
    <col min="13089" max="13090" width="7.7109375" style="296" bestFit="1" customWidth="1"/>
    <col min="13091" max="13091" width="8.140625" style="296" bestFit="1" customWidth="1"/>
    <col min="13092" max="13092" width="1.7109375" style="296" customWidth="1"/>
    <col min="13093" max="13096" width="9.140625" style="296"/>
    <col min="13097" max="13097" width="1.5703125" style="296" customWidth="1"/>
    <col min="13098" max="13098" width="8.140625" style="296" bestFit="1" customWidth="1"/>
    <col min="13099" max="13100" width="7.7109375" style="296" bestFit="1" customWidth="1"/>
    <col min="13101" max="13101" width="8.140625" style="296" bestFit="1" customWidth="1"/>
    <col min="13102" max="13102" width="1.7109375" style="296" customWidth="1"/>
    <col min="13103" max="13103" width="8.28515625" style="296" bestFit="1" customWidth="1"/>
    <col min="13104" max="13105" width="7.7109375" style="296" bestFit="1" customWidth="1"/>
    <col min="13106" max="13106" width="8.140625" style="296" bestFit="1" customWidth="1"/>
    <col min="13107" max="13307" width="9.140625" style="296"/>
    <col min="13308" max="13308" width="4.140625" style="296" bestFit="1" customWidth="1"/>
    <col min="13309" max="13309" width="12.140625" style="296" bestFit="1" customWidth="1"/>
    <col min="13310" max="13311" width="9.28515625" style="296" bestFit="1" customWidth="1"/>
    <col min="13312" max="13312" width="10" style="296" customWidth="1"/>
    <col min="13313" max="13313" width="3" style="296" customWidth="1"/>
    <col min="13314" max="13314" width="12.28515625" style="296" bestFit="1" customWidth="1"/>
    <col min="13315" max="13317" width="10" style="296" customWidth="1"/>
    <col min="13318" max="13318" width="1.7109375" style="296" customWidth="1"/>
    <col min="13319" max="13319" width="10" style="296" bestFit="1" customWidth="1"/>
    <col min="13320" max="13321" width="9.28515625" style="296" bestFit="1" customWidth="1"/>
    <col min="13322" max="13322" width="10" style="296" bestFit="1" customWidth="1"/>
    <col min="13323" max="13323" width="1.7109375" style="296" customWidth="1"/>
    <col min="13324" max="13324" width="8.140625" style="296" bestFit="1" customWidth="1"/>
    <col min="13325" max="13325" width="7.7109375" style="296" bestFit="1" customWidth="1"/>
    <col min="13326" max="13326" width="7" style="296" customWidth="1"/>
    <col min="13327" max="13327" width="8.140625" style="296" bestFit="1" customWidth="1"/>
    <col min="13328" max="13328" width="1.7109375" style="296" customWidth="1"/>
    <col min="13329" max="13329" width="8.140625" style="296" bestFit="1" customWidth="1"/>
    <col min="13330" max="13332" width="9.140625" style="296"/>
    <col min="13333" max="13333" width="3" style="296" customWidth="1"/>
    <col min="13334" max="13334" width="8.140625" style="296" bestFit="1" customWidth="1"/>
    <col min="13335" max="13337" width="9.140625" style="296"/>
    <col min="13338" max="13338" width="2.7109375" style="296" customWidth="1"/>
    <col min="13339" max="13339" width="8.28515625" style="296" bestFit="1" customWidth="1"/>
    <col min="13340" max="13342" width="9.140625" style="296"/>
    <col min="13343" max="13343" width="1.140625" style="296" customWidth="1"/>
    <col min="13344" max="13344" width="8.28515625" style="296" bestFit="1" customWidth="1"/>
    <col min="13345" max="13346" width="7.7109375" style="296" bestFit="1" customWidth="1"/>
    <col min="13347" max="13347" width="8.140625" style="296" bestFit="1" customWidth="1"/>
    <col min="13348" max="13348" width="1.7109375" style="296" customWidth="1"/>
    <col min="13349" max="13352" width="9.140625" style="296"/>
    <col min="13353" max="13353" width="1.5703125" style="296" customWidth="1"/>
    <col min="13354" max="13354" width="8.140625" style="296" bestFit="1" customWidth="1"/>
    <col min="13355" max="13356" width="7.7109375" style="296" bestFit="1" customWidth="1"/>
    <col min="13357" max="13357" width="8.140625" style="296" bestFit="1" customWidth="1"/>
    <col min="13358" max="13358" width="1.7109375" style="296" customWidth="1"/>
    <col min="13359" max="13359" width="8.28515625" style="296" bestFit="1" customWidth="1"/>
    <col min="13360" max="13361" width="7.7109375" style="296" bestFit="1" customWidth="1"/>
    <col min="13362" max="13362" width="8.140625" style="296" bestFit="1" customWidth="1"/>
    <col min="13363" max="13563" width="9.140625" style="296"/>
    <col min="13564" max="13564" width="4.140625" style="296" bestFit="1" customWidth="1"/>
    <col min="13565" max="13565" width="12.140625" style="296" bestFit="1" customWidth="1"/>
    <col min="13566" max="13567" width="9.28515625" style="296" bestFit="1" customWidth="1"/>
    <col min="13568" max="13568" width="10" style="296" customWidth="1"/>
    <col min="13569" max="13569" width="3" style="296" customWidth="1"/>
    <col min="13570" max="13570" width="12.28515625" style="296" bestFit="1" customWidth="1"/>
    <col min="13571" max="13573" width="10" style="296" customWidth="1"/>
    <col min="13574" max="13574" width="1.7109375" style="296" customWidth="1"/>
    <col min="13575" max="13575" width="10" style="296" bestFit="1" customWidth="1"/>
    <col min="13576" max="13577" width="9.28515625" style="296" bestFit="1" customWidth="1"/>
    <col min="13578" max="13578" width="10" style="296" bestFit="1" customWidth="1"/>
    <col min="13579" max="13579" width="1.7109375" style="296" customWidth="1"/>
    <col min="13580" max="13580" width="8.140625" style="296" bestFit="1" customWidth="1"/>
    <col min="13581" max="13581" width="7.7109375" style="296" bestFit="1" customWidth="1"/>
    <col min="13582" max="13582" width="7" style="296" customWidth="1"/>
    <col min="13583" max="13583" width="8.140625" style="296" bestFit="1" customWidth="1"/>
    <col min="13584" max="13584" width="1.7109375" style="296" customWidth="1"/>
    <col min="13585" max="13585" width="8.140625" style="296" bestFit="1" customWidth="1"/>
    <col min="13586" max="13588" width="9.140625" style="296"/>
    <col min="13589" max="13589" width="3" style="296" customWidth="1"/>
    <col min="13590" max="13590" width="8.140625" style="296" bestFit="1" customWidth="1"/>
    <col min="13591" max="13593" width="9.140625" style="296"/>
    <col min="13594" max="13594" width="2.7109375" style="296" customWidth="1"/>
    <col min="13595" max="13595" width="8.28515625" style="296" bestFit="1" customWidth="1"/>
    <col min="13596" max="13598" width="9.140625" style="296"/>
    <col min="13599" max="13599" width="1.140625" style="296" customWidth="1"/>
    <col min="13600" max="13600" width="8.28515625" style="296" bestFit="1" customWidth="1"/>
    <col min="13601" max="13602" width="7.7109375" style="296" bestFit="1" customWidth="1"/>
    <col min="13603" max="13603" width="8.140625" style="296" bestFit="1" customWidth="1"/>
    <col min="13604" max="13604" width="1.7109375" style="296" customWidth="1"/>
    <col min="13605" max="13608" width="9.140625" style="296"/>
    <col min="13609" max="13609" width="1.5703125" style="296" customWidth="1"/>
    <col min="13610" max="13610" width="8.140625" style="296" bestFit="1" customWidth="1"/>
    <col min="13611" max="13612" width="7.7109375" style="296" bestFit="1" customWidth="1"/>
    <col min="13613" max="13613" width="8.140625" style="296" bestFit="1" customWidth="1"/>
    <col min="13614" max="13614" width="1.7109375" style="296" customWidth="1"/>
    <col min="13615" max="13615" width="8.28515625" style="296" bestFit="1" customWidth="1"/>
    <col min="13616" max="13617" width="7.7109375" style="296" bestFit="1" customWidth="1"/>
    <col min="13618" max="13618" width="8.140625" style="296" bestFit="1" customWidth="1"/>
    <col min="13619" max="13819" width="9.140625" style="296"/>
    <col min="13820" max="13820" width="4.140625" style="296" bestFit="1" customWidth="1"/>
    <col min="13821" max="13821" width="12.140625" style="296" bestFit="1" customWidth="1"/>
    <col min="13822" max="13823" width="9.28515625" style="296" bestFit="1" customWidth="1"/>
    <col min="13824" max="13824" width="10" style="296" customWidth="1"/>
    <col min="13825" max="13825" width="3" style="296" customWidth="1"/>
    <col min="13826" max="13826" width="12.28515625" style="296" bestFit="1" customWidth="1"/>
    <col min="13827" max="13829" width="10" style="296" customWidth="1"/>
    <col min="13830" max="13830" width="1.7109375" style="296" customWidth="1"/>
    <col min="13831" max="13831" width="10" style="296" bestFit="1" customWidth="1"/>
    <col min="13832" max="13833" width="9.28515625" style="296" bestFit="1" customWidth="1"/>
    <col min="13834" max="13834" width="10" style="296" bestFit="1" customWidth="1"/>
    <col min="13835" max="13835" width="1.7109375" style="296" customWidth="1"/>
    <col min="13836" max="13836" width="8.140625" style="296" bestFit="1" customWidth="1"/>
    <col min="13837" max="13837" width="7.7109375" style="296" bestFit="1" customWidth="1"/>
    <col min="13838" max="13838" width="7" style="296" customWidth="1"/>
    <col min="13839" max="13839" width="8.140625" style="296" bestFit="1" customWidth="1"/>
    <col min="13840" max="13840" width="1.7109375" style="296" customWidth="1"/>
    <col min="13841" max="13841" width="8.140625" style="296" bestFit="1" customWidth="1"/>
    <col min="13842" max="13844" width="9.140625" style="296"/>
    <col min="13845" max="13845" width="3" style="296" customWidth="1"/>
    <col min="13846" max="13846" width="8.140625" style="296" bestFit="1" customWidth="1"/>
    <col min="13847" max="13849" width="9.140625" style="296"/>
    <col min="13850" max="13850" width="2.7109375" style="296" customWidth="1"/>
    <col min="13851" max="13851" width="8.28515625" style="296" bestFit="1" customWidth="1"/>
    <col min="13852" max="13854" width="9.140625" style="296"/>
    <col min="13855" max="13855" width="1.140625" style="296" customWidth="1"/>
    <col min="13856" max="13856" width="8.28515625" style="296" bestFit="1" customWidth="1"/>
    <col min="13857" max="13858" width="7.7109375" style="296" bestFit="1" customWidth="1"/>
    <col min="13859" max="13859" width="8.140625" style="296" bestFit="1" customWidth="1"/>
    <col min="13860" max="13860" width="1.7109375" style="296" customWidth="1"/>
    <col min="13861" max="13864" width="9.140625" style="296"/>
    <col min="13865" max="13865" width="1.5703125" style="296" customWidth="1"/>
    <col min="13866" max="13866" width="8.140625" style="296" bestFit="1" customWidth="1"/>
    <col min="13867" max="13868" width="7.7109375" style="296" bestFit="1" customWidth="1"/>
    <col min="13869" max="13869" width="8.140625" style="296" bestFit="1" customWidth="1"/>
    <col min="13870" max="13870" width="1.7109375" style="296" customWidth="1"/>
    <col min="13871" max="13871" width="8.28515625" style="296" bestFit="1" customWidth="1"/>
    <col min="13872" max="13873" width="7.7109375" style="296" bestFit="1" customWidth="1"/>
    <col min="13874" max="13874" width="8.140625" style="296" bestFit="1" customWidth="1"/>
    <col min="13875" max="14075" width="9.140625" style="296"/>
    <col min="14076" max="14076" width="4.140625" style="296" bestFit="1" customWidth="1"/>
    <col min="14077" max="14077" width="12.140625" style="296" bestFit="1" customWidth="1"/>
    <col min="14078" max="14079" width="9.28515625" style="296" bestFit="1" customWidth="1"/>
    <col min="14080" max="14080" width="10" style="296" customWidth="1"/>
    <col min="14081" max="14081" width="3" style="296" customWidth="1"/>
    <col min="14082" max="14082" width="12.28515625" style="296" bestFit="1" customWidth="1"/>
    <col min="14083" max="14085" width="10" style="296" customWidth="1"/>
    <col min="14086" max="14086" width="1.7109375" style="296" customWidth="1"/>
    <col min="14087" max="14087" width="10" style="296" bestFit="1" customWidth="1"/>
    <col min="14088" max="14089" width="9.28515625" style="296" bestFit="1" customWidth="1"/>
    <col min="14090" max="14090" width="10" style="296" bestFit="1" customWidth="1"/>
    <col min="14091" max="14091" width="1.7109375" style="296" customWidth="1"/>
    <col min="14092" max="14092" width="8.140625" style="296" bestFit="1" customWidth="1"/>
    <col min="14093" max="14093" width="7.7109375" style="296" bestFit="1" customWidth="1"/>
    <col min="14094" max="14094" width="7" style="296" customWidth="1"/>
    <col min="14095" max="14095" width="8.140625" style="296" bestFit="1" customWidth="1"/>
    <col min="14096" max="14096" width="1.7109375" style="296" customWidth="1"/>
    <col min="14097" max="14097" width="8.140625" style="296" bestFit="1" customWidth="1"/>
    <col min="14098" max="14100" width="9.140625" style="296"/>
    <col min="14101" max="14101" width="3" style="296" customWidth="1"/>
    <col min="14102" max="14102" width="8.140625" style="296" bestFit="1" customWidth="1"/>
    <col min="14103" max="14105" width="9.140625" style="296"/>
    <col min="14106" max="14106" width="2.7109375" style="296" customWidth="1"/>
    <col min="14107" max="14107" width="8.28515625" style="296" bestFit="1" customWidth="1"/>
    <col min="14108" max="14110" width="9.140625" style="296"/>
    <col min="14111" max="14111" width="1.140625" style="296" customWidth="1"/>
    <col min="14112" max="14112" width="8.28515625" style="296" bestFit="1" customWidth="1"/>
    <col min="14113" max="14114" width="7.7109375" style="296" bestFit="1" customWidth="1"/>
    <col min="14115" max="14115" width="8.140625" style="296" bestFit="1" customWidth="1"/>
    <col min="14116" max="14116" width="1.7109375" style="296" customWidth="1"/>
    <col min="14117" max="14120" width="9.140625" style="296"/>
    <col min="14121" max="14121" width="1.5703125" style="296" customWidth="1"/>
    <col min="14122" max="14122" width="8.140625" style="296" bestFit="1" customWidth="1"/>
    <col min="14123" max="14124" width="7.7109375" style="296" bestFit="1" customWidth="1"/>
    <col min="14125" max="14125" width="8.140625" style="296" bestFit="1" customWidth="1"/>
    <col min="14126" max="14126" width="1.7109375" style="296" customWidth="1"/>
    <col min="14127" max="14127" width="8.28515625" style="296" bestFit="1" customWidth="1"/>
    <col min="14128" max="14129" width="7.7109375" style="296" bestFit="1" customWidth="1"/>
    <col min="14130" max="14130" width="8.140625" style="296" bestFit="1" customWidth="1"/>
    <col min="14131" max="14331" width="9.140625" style="296"/>
    <col min="14332" max="14332" width="4.140625" style="296" bestFit="1" customWidth="1"/>
    <col min="14333" max="14333" width="12.140625" style="296" bestFit="1" customWidth="1"/>
    <col min="14334" max="14335" width="9.28515625" style="296" bestFit="1" customWidth="1"/>
    <col min="14336" max="14336" width="10" style="296" customWidth="1"/>
    <col min="14337" max="14337" width="3" style="296" customWidth="1"/>
    <col min="14338" max="14338" width="12.28515625" style="296" bestFit="1" customWidth="1"/>
    <col min="14339" max="14341" width="10" style="296" customWidth="1"/>
    <col min="14342" max="14342" width="1.7109375" style="296" customWidth="1"/>
    <col min="14343" max="14343" width="10" style="296" bestFit="1" customWidth="1"/>
    <col min="14344" max="14345" width="9.28515625" style="296" bestFit="1" customWidth="1"/>
    <col min="14346" max="14346" width="10" style="296" bestFit="1" customWidth="1"/>
    <col min="14347" max="14347" width="1.7109375" style="296" customWidth="1"/>
    <col min="14348" max="14348" width="8.140625" style="296" bestFit="1" customWidth="1"/>
    <col min="14349" max="14349" width="7.7109375" style="296" bestFit="1" customWidth="1"/>
    <col min="14350" max="14350" width="7" style="296" customWidth="1"/>
    <col min="14351" max="14351" width="8.140625" style="296" bestFit="1" customWidth="1"/>
    <col min="14352" max="14352" width="1.7109375" style="296" customWidth="1"/>
    <col min="14353" max="14353" width="8.140625" style="296" bestFit="1" customWidth="1"/>
    <col min="14354" max="14356" width="9.140625" style="296"/>
    <col min="14357" max="14357" width="3" style="296" customWidth="1"/>
    <col min="14358" max="14358" width="8.140625" style="296" bestFit="1" customWidth="1"/>
    <col min="14359" max="14361" width="9.140625" style="296"/>
    <col min="14362" max="14362" width="2.7109375" style="296" customWidth="1"/>
    <col min="14363" max="14363" width="8.28515625" style="296" bestFit="1" customWidth="1"/>
    <col min="14364" max="14366" width="9.140625" style="296"/>
    <col min="14367" max="14367" width="1.140625" style="296" customWidth="1"/>
    <col min="14368" max="14368" width="8.28515625" style="296" bestFit="1" customWidth="1"/>
    <col min="14369" max="14370" width="7.7109375" style="296" bestFit="1" customWidth="1"/>
    <col min="14371" max="14371" width="8.140625" style="296" bestFit="1" customWidth="1"/>
    <col min="14372" max="14372" width="1.7109375" style="296" customWidth="1"/>
    <col min="14373" max="14376" width="9.140625" style="296"/>
    <col min="14377" max="14377" width="1.5703125" style="296" customWidth="1"/>
    <col min="14378" max="14378" width="8.140625" style="296" bestFit="1" customWidth="1"/>
    <col min="14379" max="14380" width="7.7109375" style="296" bestFit="1" customWidth="1"/>
    <col min="14381" max="14381" width="8.140625" style="296" bestFit="1" customWidth="1"/>
    <col min="14382" max="14382" width="1.7109375" style="296" customWidth="1"/>
    <col min="14383" max="14383" width="8.28515625" style="296" bestFit="1" customWidth="1"/>
    <col min="14384" max="14385" width="7.7109375" style="296" bestFit="1" customWidth="1"/>
    <col min="14386" max="14386" width="8.140625" style="296" bestFit="1" customWidth="1"/>
    <col min="14387" max="14587" width="9.140625" style="296"/>
    <col min="14588" max="14588" width="4.140625" style="296" bestFit="1" customWidth="1"/>
    <col min="14589" max="14589" width="12.140625" style="296" bestFit="1" customWidth="1"/>
    <col min="14590" max="14591" width="9.28515625" style="296" bestFit="1" customWidth="1"/>
    <col min="14592" max="14592" width="10" style="296" customWidth="1"/>
    <col min="14593" max="14593" width="3" style="296" customWidth="1"/>
    <col min="14594" max="14594" width="12.28515625" style="296" bestFit="1" customWidth="1"/>
    <col min="14595" max="14597" width="10" style="296" customWidth="1"/>
    <col min="14598" max="14598" width="1.7109375" style="296" customWidth="1"/>
    <col min="14599" max="14599" width="10" style="296" bestFit="1" customWidth="1"/>
    <col min="14600" max="14601" width="9.28515625" style="296" bestFit="1" customWidth="1"/>
    <col min="14602" max="14602" width="10" style="296" bestFit="1" customWidth="1"/>
    <col min="14603" max="14603" width="1.7109375" style="296" customWidth="1"/>
    <col min="14604" max="14604" width="8.140625" style="296" bestFit="1" customWidth="1"/>
    <col min="14605" max="14605" width="7.7109375" style="296" bestFit="1" customWidth="1"/>
    <col min="14606" max="14606" width="7" style="296" customWidth="1"/>
    <col min="14607" max="14607" width="8.140625" style="296" bestFit="1" customWidth="1"/>
    <col min="14608" max="14608" width="1.7109375" style="296" customWidth="1"/>
    <col min="14609" max="14609" width="8.140625" style="296" bestFit="1" customWidth="1"/>
    <col min="14610" max="14612" width="9.140625" style="296"/>
    <col min="14613" max="14613" width="3" style="296" customWidth="1"/>
    <col min="14614" max="14614" width="8.140625" style="296" bestFit="1" customWidth="1"/>
    <col min="14615" max="14617" width="9.140625" style="296"/>
    <col min="14618" max="14618" width="2.7109375" style="296" customWidth="1"/>
    <col min="14619" max="14619" width="8.28515625" style="296" bestFit="1" customWidth="1"/>
    <col min="14620" max="14622" width="9.140625" style="296"/>
    <col min="14623" max="14623" width="1.140625" style="296" customWidth="1"/>
    <col min="14624" max="14624" width="8.28515625" style="296" bestFit="1" customWidth="1"/>
    <col min="14625" max="14626" width="7.7109375" style="296" bestFit="1" customWidth="1"/>
    <col min="14627" max="14627" width="8.140625" style="296" bestFit="1" customWidth="1"/>
    <col min="14628" max="14628" width="1.7109375" style="296" customWidth="1"/>
    <col min="14629" max="14632" width="9.140625" style="296"/>
    <col min="14633" max="14633" width="1.5703125" style="296" customWidth="1"/>
    <col min="14634" max="14634" width="8.140625" style="296" bestFit="1" customWidth="1"/>
    <col min="14635" max="14636" width="7.7109375" style="296" bestFit="1" customWidth="1"/>
    <col min="14637" max="14637" width="8.140625" style="296" bestFit="1" customWidth="1"/>
    <col min="14638" max="14638" width="1.7109375" style="296" customWidth="1"/>
    <col min="14639" max="14639" width="8.28515625" style="296" bestFit="1" customWidth="1"/>
    <col min="14640" max="14641" width="7.7109375" style="296" bestFit="1" customWidth="1"/>
    <col min="14642" max="14642" width="8.140625" style="296" bestFit="1" customWidth="1"/>
    <col min="14643" max="14843" width="9.140625" style="296"/>
    <col min="14844" max="14844" width="4.140625" style="296" bestFit="1" customWidth="1"/>
    <col min="14845" max="14845" width="12.140625" style="296" bestFit="1" customWidth="1"/>
    <col min="14846" max="14847" width="9.28515625" style="296" bestFit="1" customWidth="1"/>
    <col min="14848" max="14848" width="10" style="296" customWidth="1"/>
    <col min="14849" max="14849" width="3" style="296" customWidth="1"/>
    <col min="14850" max="14850" width="12.28515625" style="296" bestFit="1" customWidth="1"/>
    <col min="14851" max="14853" width="10" style="296" customWidth="1"/>
    <col min="14854" max="14854" width="1.7109375" style="296" customWidth="1"/>
    <col min="14855" max="14855" width="10" style="296" bestFit="1" customWidth="1"/>
    <col min="14856" max="14857" width="9.28515625" style="296" bestFit="1" customWidth="1"/>
    <col min="14858" max="14858" width="10" style="296" bestFit="1" customWidth="1"/>
    <col min="14859" max="14859" width="1.7109375" style="296" customWidth="1"/>
    <col min="14860" max="14860" width="8.140625" style="296" bestFit="1" customWidth="1"/>
    <col min="14861" max="14861" width="7.7109375" style="296" bestFit="1" customWidth="1"/>
    <col min="14862" max="14862" width="7" style="296" customWidth="1"/>
    <col min="14863" max="14863" width="8.140625" style="296" bestFit="1" customWidth="1"/>
    <col min="14864" max="14864" width="1.7109375" style="296" customWidth="1"/>
    <col min="14865" max="14865" width="8.140625" style="296" bestFit="1" customWidth="1"/>
    <col min="14866" max="14868" width="9.140625" style="296"/>
    <col min="14869" max="14869" width="3" style="296" customWidth="1"/>
    <col min="14870" max="14870" width="8.140625" style="296" bestFit="1" customWidth="1"/>
    <col min="14871" max="14873" width="9.140625" style="296"/>
    <col min="14874" max="14874" width="2.7109375" style="296" customWidth="1"/>
    <col min="14875" max="14875" width="8.28515625" style="296" bestFit="1" customWidth="1"/>
    <col min="14876" max="14878" width="9.140625" style="296"/>
    <col min="14879" max="14879" width="1.140625" style="296" customWidth="1"/>
    <col min="14880" max="14880" width="8.28515625" style="296" bestFit="1" customWidth="1"/>
    <col min="14881" max="14882" width="7.7109375" style="296" bestFit="1" customWidth="1"/>
    <col min="14883" max="14883" width="8.140625" style="296" bestFit="1" customWidth="1"/>
    <col min="14884" max="14884" width="1.7109375" style="296" customWidth="1"/>
    <col min="14885" max="14888" width="9.140625" style="296"/>
    <col min="14889" max="14889" width="1.5703125" style="296" customWidth="1"/>
    <col min="14890" max="14890" width="8.140625" style="296" bestFit="1" customWidth="1"/>
    <col min="14891" max="14892" width="7.7109375" style="296" bestFit="1" customWidth="1"/>
    <col min="14893" max="14893" width="8.140625" style="296" bestFit="1" customWidth="1"/>
    <col min="14894" max="14894" width="1.7109375" style="296" customWidth="1"/>
    <col min="14895" max="14895" width="8.28515625" style="296" bestFit="1" customWidth="1"/>
    <col min="14896" max="14897" width="7.7109375" style="296" bestFit="1" customWidth="1"/>
    <col min="14898" max="14898" width="8.140625" style="296" bestFit="1" customWidth="1"/>
    <col min="14899" max="15099" width="9.140625" style="296"/>
    <col min="15100" max="15100" width="4.140625" style="296" bestFit="1" customWidth="1"/>
    <col min="15101" max="15101" width="12.140625" style="296" bestFit="1" customWidth="1"/>
    <col min="15102" max="15103" width="9.28515625" style="296" bestFit="1" customWidth="1"/>
    <col min="15104" max="15104" width="10" style="296" customWidth="1"/>
    <col min="15105" max="15105" width="3" style="296" customWidth="1"/>
    <col min="15106" max="15106" width="12.28515625" style="296" bestFit="1" customWidth="1"/>
    <col min="15107" max="15109" width="10" style="296" customWidth="1"/>
    <col min="15110" max="15110" width="1.7109375" style="296" customWidth="1"/>
    <col min="15111" max="15111" width="10" style="296" bestFit="1" customWidth="1"/>
    <col min="15112" max="15113" width="9.28515625" style="296" bestFit="1" customWidth="1"/>
    <col min="15114" max="15114" width="10" style="296" bestFit="1" customWidth="1"/>
    <col min="15115" max="15115" width="1.7109375" style="296" customWidth="1"/>
    <col min="15116" max="15116" width="8.140625" style="296" bestFit="1" customWidth="1"/>
    <col min="15117" max="15117" width="7.7109375" style="296" bestFit="1" customWidth="1"/>
    <col min="15118" max="15118" width="7" style="296" customWidth="1"/>
    <col min="15119" max="15119" width="8.140625" style="296" bestFit="1" customWidth="1"/>
    <col min="15120" max="15120" width="1.7109375" style="296" customWidth="1"/>
    <col min="15121" max="15121" width="8.140625" style="296" bestFit="1" customWidth="1"/>
    <col min="15122" max="15124" width="9.140625" style="296"/>
    <col min="15125" max="15125" width="3" style="296" customWidth="1"/>
    <col min="15126" max="15126" width="8.140625" style="296" bestFit="1" customWidth="1"/>
    <col min="15127" max="15129" width="9.140625" style="296"/>
    <col min="15130" max="15130" width="2.7109375" style="296" customWidth="1"/>
    <col min="15131" max="15131" width="8.28515625" style="296" bestFit="1" customWidth="1"/>
    <col min="15132" max="15134" width="9.140625" style="296"/>
    <col min="15135" max="15135" width="1.140625" style="296" customWidth="1"/>
    <col min="15136" max="15136" width="8.28515625" style="296" bestFit="1" customWidth="1"/>
    <col min="15137" max="15138" width="7.7109375" style="296" bestFit="1" customWidth="1"/>
    <col min="15139" max="15139" width="8.140625" style="296" bestFit="1" customWidth="1"/>
    <col min="15140" max="15140" width="1.7109375" style="296" customWidth="1"/>
    <col min="15141" max="15144" width="9.140625" style="296"/>
    <col min="15145" max="15145" width="1.5703125" style="296" customWidth="1"/>
    <col min="15146" max="15146" width="8.140625" style="296" bestFit="1" customWidth="1"/>
    <col min="15147" max="15148" width="7.7109375" style="296" bestFit="1" customWidth="1"/>
    <col min="15149" max="15149" width="8.140625" style="296" bestFit="1" customWidth="1"/>
    <col min="15150" max="15150" width="1.7109375" style="296" customWidth="1"/>
    <col min="15151" max="15151" width="8.28515625" style="296" bestFit="1" customWidth="1"/>
    <col min="15152" max="15153" width="7.7109375" style="296" bestFit="1" customWidth="1"/>
    <col min="15154" max="15154" width="8.140625" style="296" bestFit="1" customWidth="1"/>
    <col min="15155" max="15355" width="9.140625" style="296"/>
    <col min="15356" max="15356" width="4.140625" style="296" bestFit="1" customWidth="1"/>
    <col min="15357" max="15357" width="12.140625" style="296" bestFit="1" customWidth="1"/>
    <col min="15358" max="15359" width="9.28515625" style="296" bestFit="1" customWidth="1"/>
    <col min="15360" max="15360" width="10" style="296" customWidth="1"/>
    <col min="15361" max="15361" width="3" style="296" customWidth="1"/>
    <col min="15362" max="15362" width="12.28515625" style="296" bestFit="1" customWidth="1"/>
    <col min="15363" max="15365" width="10" style="296" customWidth="1"/>
    <col min="15366" max="15366" width="1.7109375" style="296" customWidth="1"/>
    <col min="15367" max="15367" width="10" style="296" bestFit="1" customWidth="1"/>
    <col min="15368" max="15369" width="9.28515625" style="296" bestFit="1" customWidth="1"/>
    <col min="15370" max="15370" width="10" style="296" bestFit="1" customWidth="1"/>
    <col min="15371" max="15371" width="1.7109375" style="296" customWidth="1"/>
    <col min="15372" max="15372" width="8.140625" style="296" bestFit="1" customWidth="1"/>
    <col min="15373" max="15373" width="7.7109375" style="296" bestFit="1" customWidth="1"/>
    <col min="15374" max="15374" width="7" style="296" customWidth="1"/>
    <col min="15375" max="15375" width="8.140625" style="296" bestFit="1" customWidth="1"/>
    <col min="15376" max="15376" width="1.7109375" style="296" customWidth="1"/>
    <col min="15377" max="15377" width="8.140625" style="296" bestFit="1" customWidth="1"/>
    <col min="15378" max="15380" width="9.140625" style="296"/>
    <col min="15381" max="15381" width="3" style="296" customWidth="1"/>
    <col min="15382" max="15382" width="8.140625" style="296" bestFit="1" customWidth="1"/>
    <col min="15383" max="15385" width="9.140625" style="296"/>
    <col min="15386" max="15386" width="2.7109375" style="296" customWidth="1"/>
    <col min="15387" max="15387" width="8.28515625" style="296" bestFit="1" customWidth="1"/>
    <col min="15388" max="15390" width="9.140625" style="296"/>
    <col min="15391" max="15391" width="1.140625" style="296" customWidth="1"/>
    <col min="15392" max="15392" width="8.28515625" style="296" bestFit="1" customWidth="1"/>
    <col min="15393" max="15394" width="7.7109375" style="296" bestFit="1" customWidth="1"/>
    <col min="15395" max="15395" width="8.140625" style="296" bestFit="1" customWidth="1"/>
    <col min="15396" max="15396" width="1.7109375" style="296" customWidth="1"/>
    <col min="15397" max="15400" width="9.140625" style="296"/>
    <col min="15401" max="15401" width="1.5703125" style="296" customWidth="1"/>
    <col min="15402" max="15402" width="8.140625" style="296" bestFit="1" customWidth="1"/>
    <col min="15403" max="15404" width="7.7109375" style="296" bestFit="1" customWidth="1"/>
    <col min="15405" max="15405" width="8.140625" style="296" bestFit="1" customWidth="1"/>
    <col min="15406" max="15406" width="1.7109375" style="296" customWidth="1"/>
    <col min="15407" max="15407" width="8.28515625" style="296" bestFit="1" customWidth="1"/>
    <col min="15408" max="15409" width="7.7109375" style="296" bestFit="1" customWidth="1"/>
    <col min="15410" max="15410" width="8.140625" style="296" bestFit="1" customWidth="1"/>
    <col min="15411" max="15611" width="9.140625" style="296"/>
    <col min="15612" max="15612" width="4.140625" style="296" bestFit="1" customWidth="1"/>
    <col min="15613" max="15613" width="12.140625" style="296" bestFit="1" customWidth="1"/>
    <col min="15614" max="15615" width="9.28515625" style="296" bestFit="1" customWidth="1"/>
    <col min="15616" max="15616" width="10" style="296" customWidth="1"/>
    <col min="15617" max="15617" width="3" style="296" customWidth="1"/>
    <col min="15618" max="15618" width="12.28515625" style="296" bestFit="1" customWidth="1"/>
    <col min="15619" max="15621" width="10" style="296" customWidth="1"/>
    <col min="15622" max="15622" width="1.7109375" style="296" customWidth="1"/>
    <col min="15623" max="15623" width="10" style="296" bestFit="1" customWidth="1"/>
    <col min="15624" max="15625" width="9.28515625" style="296" bestFit="1" customWidth="1"/>
    <col min="15626" max="15626" width="10" style="296" bestFit="1" customWidth="1"/>
    <col min="15627" max="15627" width="1.7109375" style="296" customWidth="1"/>
    <col min="15628" max="15628" width="8.140625" style="296" bestFit="1" customWidth="1"/>
    <col min="15629" max="15629" width="7.7109375" style="296" bestFit="1" customWidth="1"/>
    <col min="15630" max="15630" width="7" style="296" customWidth="1"/>
    <col min="15631" max="15631" width="8.140625" style="296" bestFit="1" customWidth="1"/>
    <col min="15632" max="15632" width="1.7109375" style="296" customWidth="1"/>
    <col min="15633" max="15633" width="8.140625" style="296" bestFit="1" customWidth="1"/>
    <col min="15634" max="15636" width="9.140625" style="296"/>
    <col min="15637" max="15637" width="3" style="296" customWidth="1"/>
    <col min="15638" max="15638" width="8.140625" style="296" bestFit="1" customWidth="1"/>
    <col min="15639" max="15641" width="9.140625" style="296"/>
    <col min="15642" max="15642" width="2.7109375" style="296" customWidth="1"/>
    <col min="15643" max="15643" width="8.28515625" style="296" bestFit="1" customWidth="1"/>
    <col min="15644" max="15646" width="9.140625" style="296"/>
    <col min="15647" max="15647" width="1.140625" style="296" customWidth="1"/>
    <col min="15648" max="15648" width="8.28515625" style="296" bestFit="1" customWidth="1"/>
    <col min="15649" max="15650" width="7.7109375" style="296" bestFit="1" customWidth="1"/>
    <col min="15651" max="15651" width="8.140625" style="296" bestFit="1" customWidth="1"/>
    <col min="15652" max="15652" width="1.7109375" style="296" customWidth="1"/>
    <col min="15653" max="15656" width="9.140625" style="296"/>
    <col min="15657" max="15657" width="1.5703125" style="296" customWidth="1"/>
    <col min="15658" max="15658" width="8.140625" style="296" bestFit="1" customWidth="1"/>
    <col min="15659" max="15660" width="7.7109375" style="296" bestFit="1" customWidth="1"/>
    <col min="15661" max="15661" width="8.140625" style="296" bestFit="1" customWidth="1"/>
    <col min="15662" max="15662" width="1.7109375" style="296" customWidth="1"/>
    <col min="15663" max="15663" width="8.28515625" style="296" bestFit="1" customWidth="1"/>
    <col min="15664" max="15665" width="7.7109375" style="296" bestFit="1" customWidth="1"/>
    <col min="15666" max="15666" width="8.140625" style="296" bestFit="1" customWidth="1"/>
    <col min="15667" max="15867" width="9.140625" style="296"/>
    <col min="15868" max="15868" width="4.140625" style="296" bestFit="1" customWidth="1"/>
    <col min="15869" max="15869" width="12.140625" style="296" bestFit="1" customWidth="1"/>
    <col min="15870" max="15871" width="9.28515625" style="296" bestFit="1" customWidth="1"/>
    <col min="15872" max="15872" width="10" style="296" customWidth="1"/>
    <col min="15873" max="15873" width="3" style="296" customWidth="1"/>
    <col min="15874" max="15874" width="12.28515625" style="296" bestFit="1" customWidth="1"/>
    <col min="15875" max="15877" width="10" style="296" customWidth="1"/>
    <col min="15878" max="15878" width="1.7109375" style="296" customWidth="1"/>
    <col min="15879" max="15879" width="10" style="296" bestFit="1" customWidth="1"/>
    <col min="15880" max="15881" width="9.28515625" style="296" bestFit="1" customWidth="1"/>
    <col min="15882" max="15882" width="10" style="296" bestFit="1" customWidth="1"/>
    <col min="15883" max="15883" width="1.7109375" style="296" customWidth="1"/>
    <col min="15884" max="15884" width="8.140625" style="296" bestFit="1" customWidth="1"/>
    <col min="15885" max="15885" width="7.7109375" style="296" bestFit="1" customWidth="1"/>
    <col min="15886" max="15886" width="7" style="296" customWidth="1"/>
    <col min="15887" max="15887" width="8.140625" style="296" bestFit="1" customWidth="1"/>
    <col min="15888" max="15888" width="1.7109375" style="296" customWidth="1"/>
    <col min="15889" max="15889" width="8.140625" style="296" bestFit="1" customWidth="1"/>
    <col min="15890" max="15892" width="9.140625" style="296"/>
    <col min="15893" max="15893" width="3" style="296" customWidth="1"/>
    <col min="15894" max="15894" width="8.140625" style="296" bestFit="1" customWidth="1"/>
    <col min="15895" max="15897" width="9.140625" style="296"/>
    <col min="15898" max="15898" width="2.7109375" style="296" customWidth="1"/>
    <col min="15899" max="15899" width="8.28515625" style="296" bestFit="1" customWidth="1"/>
    <col min="15900" max="15902" width="9.140625" style="296"/>
    <col min="15903" max="15903" width="1.140625" style="296" customWidth="1"/>
    <col min="15904" max="15904" width="8.28515625" style="296" bestFit="1" customWidth="1"/>
    <col min="15905" max="15906" width="7.7109375" style="296" bestFit="1" customWidth="1"/>
    <col min="15907" max="15907" width="8.140625" style="296" bestFit="1" customWidth="1"/>
    <col min="15908" max="15908" width="1.7109375" style="296" customWidth="1"/>
    <col min="15909" max="15912" width="9.140625" style="296"/>
    <col min="15913" max="15913" width="1.5703125" style="296" customWidth="1"/>
    <col min="15914" max="15914" width="8.140625" style="296" bestFit="1" customWidth="1"/>
    <col min="15915" max="15916" width="7.7109375" style="296" bestFit="1" customWidth="1"/>
    <col min="15917" max="15917" width="8.140625" style="296" bestFit="1" customWidth="1"/>
    <col min="15918" max="15918" width="1.7109375" style="296" customWidth="1"/>
    <col min="15919" max="15919" width="8.28515625" style="296" bestFit="1" customWidth="1"/>
    <col min="15920" max="15921" width="7.7109375" style="296" bestFit="1" customWidth="1"/>
    <col min="15922" max="15922" width="8.140625" style="296" bestFit="1" customWidth="1"/>
    <col min="15923" max="16123" width="9.140625" style="296"/>
    <col min="16124" max="16124" width="4.140625" style="296" bestFit="1" customWidth="1"/>
    <col min="16125" max="16125" width="12.140625" style="296" bestFit="1" customWidth="1"/>
    <col min="16126" max="16127" width="9.28515625" style="296" bestFit="1" customWidth="1"/>
    <col min="16128" max="16128" width="10" style="296" customWidth="1"/>
    <col min="16129" max="16129" width="3" style="296" customWidth="1"/>
    <col min="16130" max="16130" width="12.28515625" style="296" bestFit="1" customWidth="1"/>
    <col min="16131" max="16133" width="10" style="296" customWidth="1"/>
    <col min="16134" max="16134" width="1.7109375" style="296" customWidth="1"/>
    <col min="16135" max="16135" width="10" style="296" bestFit="1" customWidth="1"/>
    <col min="16136" max="16137" width="9.28515625" style="296" bestFit="1" customWidth="1"/>
    <col min="16138" max="16138" width="10" style="296" bestFit="1" customWidth="1"/>
    <col min="16139" max="16139" width="1.7109375" style="296" customWidth="1"/>
    <col min="16140" max="16140" width="8.140625" style="296" bestFit="1" customWidth="1"/>
    <col min="16141" max="16141" width="7.7109375" style="296" bestFit="1" customWidth="1"/>
    <col min="16142" max="16142" width="7" style="296" customWidth="1"/>
    <col min="16143" max="16143" width="8.140625" style="296" bestFit="1" customWidth="1"/>
    <col min="16144" max="16144" width="1.7109375" style="296" customWidth="1"/>
    <col min="16145" max="16145" width="8.140625" style="296" bestFit="1" customWidth="1"/>
    <col min="16146" max="16148" width="9.140625" style="296"/>
    <col min="16149" max="16149" width="3" style="296" customWidth="1"/>
    <col min="16150" max="16150" width="8.140625" style="296" bestFit="1" customWidth="1"/>
    <col min="16151" max="16153" width="9.140625" style="296"/>
    <col min="16154" max="16154" width="2.7109375" style="296" customWidth="1"/>
    <col min="16155" max="16155" width="8.28515625" style="296" bestFit="1" customWidth="1"/>
    <col min="16156" max="16158" width="9.140625" style="296"/>
    <col min="16159" max="16159" width="1.140625" style="296" customWidth="1"/>
    <col min="16160" max="16160" width="8.28515625" style="296" bestFit="1" customWidth="1"/>
    <col min="16161" max="16162" width="7.7109375" style="296" bestFit="1" customWidth="1"/>
    <col min="16163" max="16163" width="8.140625" style="296" bestFit="1" customWidth="1"/>
    <col min="16164" max="16164" width="1.7109375" style="296" customWidth="1"/>
    <col min="16165" max="16168" width="9.140625" style="296"/>
    <col min="16169" max="16169" width="1.5703125" style="296" customWidth="1"/>
    <col min="16170" max="16170" width="8.140625" style="296" bestFit="1" customWidth="1"/>
    <col min="16171" max="16172" width="7.7109375" style="296" bestFit="1" customWidth="1"/>
    <col min="16173" max="16173" width="8.140625" style="296" bestFit="1" customWidth="1"/>
    <col min="16174" max="16174" width="1.7109375" style="296" customWidth="1"/>
    <col min="16175" max="16175" width="8.28515625" style="296" bestFit="1" customWidth="1"/>
    <col min="16176" max="16177" width="7.7109375" style="296" bestFit="1" customWidth="1"/>
    <col min="16178" max="16178" width="8.140625" style="296" bestFit="1" customWidth="1"/>
    <col min="16179" max="16384" width="9.140625" style="296"/>
  </cols>
  <sheetData>
    <row r="1" spans="1:55" ht="18.75">
      <c r="A1" s="295" t="s">
        <v>358</v>
      </c>
    </row>
    <row r="4" spans="1:55">
      <c r="AF4" s="351" t="s">
        <v>359</v>
      </c>
      <c r="AK4" s="296" t="s">
        <v>360</v>
      </c>
      <c r="AU4" s="351" t="s">
        <v>361</v>
      </c>
      <c r="AZ4" s="351" t="s">
        <v>361</v>
      </c>
    </row>
    <row r="5" spans="1:55">
      <c r="A5" s="298" t="s">
        <v>0</v>
      </c>
      <c r="B5" s="298" t="s">
        <v>362</v>
      </c>
      <c r="C5" s="298"/>
      <c r="D5" s="298"/>
      <c r="E5" s="298"/>
      <c r="F5" s="299"/>
      <c r="G5" s="298" t="s">
        <v>363</v>
      </c>
      <c r="H5" s="298"/>
      <c r="I5" s="298"/>
      <c r="J5" s="298"/>
      <c r="L5" s="298" t="s">
        <v>364</v>
      </c>
      <c r="M5" s="298"/>
      <c r="N5" s="298"/>
      <c r="O5" s="298"/>
      <c r="Q5" s="298" t="s">
        <v>365</v>
      </c>
      <c r="R5" s="298"/>
      <c r="S5" s="298"/>
      <c r="T5" s="298"/>
      <c r="V5" s="298" t="s">
        <v>366</v>
      </c>
      <c r="W5" s="300"/>
      <c r="X5" s="300"/>
      <c r="Y5" s="300"/>
      <c r="AA5" s="298" t="s">
        <v>367</v>
      </c>
      <c r="AB5" s="300"/>
      <c r="AC5" s="300"/>
      <c r="AD5" s="300"/>
      <c r="AF5" s="352" t="s">
        <v>368</v>
      </c>
      <c r="AG5" s="298"/>
      <c r="AH5" s="298"/>
      <c r="AI5" s="298"/>
      <c r="AK5" s="298" t="s">
        <v>367</v>
      </c>
      <c r="AL5" s="300"/>
      <c r="AM5" s="300"/>
      <c r="AN5" s="300"/>
      <c r="AP5" s="298" t="s">
        <v>369</v>
      </c>
      <c r="AQ5" s="298"/>
      <c r="AR5" s="298"/>
      <c r="AS5" s="298"/>
      <c r="AU5" s="352" t="s">
        <v>368</v>
      </c>
      <c r="AV5" s="298"/>
      <c r="AW5" s="298"/>
      <c r="AX5" s="298"/>
      <c r="AZ5" s="352" t="s">
        <v>364</v>
      </c>
      <c r="BB5" s="298">
        <f>+AR6</f>
        <v>5.5555E-2</v>
      </c>
    </row>
    <row r="6" spans="1:55">
      <c r="A6" s="297">
        <v>1</v>
      </c>
      <c r="B6" s="301">
        <v>3.7499999999999999E-2</v>
      </c>
      <c r="C6" s="301">
        <v>0.5</v>
      </c>
      <c r="D6" s="301">
        <f>B6*0.5</f>
        <v>1.8749999999999999E-2</v>
      </c>
      <c r="E6" s="301">
        <f t="shared" ref="E6:E26" si="0">SUM(C6:D6)</f>
        <v>0.51875000000000004</v>
      </c>
      <c r="F6" s="301"/>
      <c r="G6" s="301">
        <v>0.05</v>
      </c>
      <c r="H6" s="301">
        <v>0.5</v>
      </c>
      <c r="I6" s="301">
        <f>G6*0.5</f>
        <v>2.5000000000000001E-2</v>
      </c>
      <c r="J6" s="301">
        <f t="shared" ref="J6:J21" si="1">SUM(H6:I6)</f>
        <v>0.52500000000000002</v>
      </c>
      <c r="L6" s="301">
        <v>8.3299999999999999E-2</v>
      </c>
      <c r="M6" s="301">
        <v>0.5</v>
      </c>
      <c r="N6" s="301">
        <f>L6*0.5</f>
        <v>4.165E-2</v>
      </c>
      <c r="O6" s="301">
        <f t="shared" ref="O6:O18" si="2">SUM(M6:N6)</f>
        <v>0.54164999999999996</v>
      </c>
      <c r="Q6" s="301">
        <v>0.1429</v>
      </c>
      <c r="R6" s="301">
        <v>0.5</v>
      </c>
      <c r="S6" s="301">
        <f>Q6*0.5</f>
        <v>7.145E-2</v>
      </c>
      <c r="T6" s="301">
        <f t="shared" ref="T6:T13" si="3">SUM(R6:S6)</f>
        <v>0.57145000000000001</v>
      </c>
      <c r="V6" s="301">
        <v>0.2</v>
      </c>
      <c r="W6" s="301">
        <v>0.5</v>
      </c>
      <c r="X6" s="301">
        <f t="shared" ref="X6:X11" si="4">V6*0.5</f>
        <v>0.1</v>
      </c>
      <c r="Y6" s="301">
        <f t="shared" ref="Y6:Y11" si="5">SUM(W6:X6)</f>
        <v>0.6</v>
      </c>
      <c r="AA6" s="301">
        <v>0.33329999999999999</v>
      </c>
      <c r="AB6" s="301">
        <v>0.5</v>
      </c>
      <c r="AC6" s="301">
        <f>AA6*0.5</f>
        <v>0.16664999999999999</v>
      </c>
      <c r="AD6" s="301">
        <f>SUM(AB6:AC6)</f>
        <v>0.66664999999999996</v>
      </c>
      <c r="AF6" s="301">
        <v>0.1</v>
      </c>
      <c r="AG6" s="301">
        <v>0.5</v>
      </c>
      <c r="AH6" s="301">
        <f>AF6*0.5</f>
        <v>0.05</v>
      </c>
      <c r="AI6" s="301">
        <f t="shared" ref="AI6:AI16" si="6">SUM(AG6:AH6)</f>
        <v>0.55000000000000004</v>
      </c>
      <c r="AK6" s="301">
        <f>1/3/2</f>
        <v>0.16666666666666666</v>
      </c>
      <c r="AL6" s="301">
        <v>0.5</v>
      </c>
      <c r="AM6" s="301">
        <f>AK6*0.5</f>
        <v>8.3333333333333329E-2</v>
      </c>
      <c r="AN6" s="301">
        <f>SUM(AL6:AM6)</f>
        <v>0.58333333333333337</v>
      </c>
      <c r="AP6" s="301">
        <v>0.11111</v>
      </c>
      <c r="AQ6" s="301">
        <v>0.5</v>
      </c>
      <c r="AR6" s="301">
        <f>AP6*0.5</f>
        <v>5.5555E-2</v>
      </c>
      <c r="AS6" s="301">
        <f t="shared" ref="AS6:AS15" si="7">SUM(AQ6:AR6)</f>
        <v>0.55555500000000002</v>
      </c>
      <c r="AU6" s="301">
        <v>7.4999999999999997E-2</v>
      </c>
      <c r="AV6" s="301">
        <v>0.5</v>
      </c>
      <c r="AW6" s="301">
        <f>AU6*0.5</f>
        <v>3.7499999999999999E-2</v>
      </c>
      <c r="AX6" s="301">
        <f t="shared" ref="AX6:AX16" si="8">SUM(AV6:AW6)</f>
        <v>0.53749999999999998</v>
      </c>
      <c r="AZ6" s="301">
        <v>6.25E-2</v>
      </c>
      <c r="BA6" s="296">
        <v>0.5</v>
      </c>
      <c r="BB6" s="301">
        <f>AZ6*$BA$6</f>
        <v>3.125E-2</v>
      </c>
      <c r="BC6" s="301">
        <f>BA6+BB6</f>
        <v>0.53125</v>
      </c>
    </row>
    <row r="7" spans="1:55">
      <c r="A7" s="297">
        <v>2</v>
      </c>
      <c r="B7" s="301">
        <v>7.2190000000000004E-2</v>
      </c>
      <c r="C7" s="301"/>
      <c r="D7" s="301">
        <f>B7*0.5</f>
        <v>3.6095000000000002E-2</v>
      </c>
      <c r="E7" s="301">
        <f t="shared" si="0"/>
        <v>3.6095000000000002E-2</v>
      </c>
      <c r="F7" s="301"/>
      <c r="G7" s="301">
        <v>9.5000000000000001E-2</v>
      </c>
      <c r="H7" s="301"/>
      <c r="I7" s="301">
        <f t="shared" ref="I7:I21" si="9">G7*0.5</f>
        <v>4.7500000000000001E-2</v>
      </c>
      <c r="J7" s="301">
        <f t="shared" si="1"/>
        <v>4.7500000000000001E-2</v>
      </c>
      <c r="L7" s="301">
        <v>0.15279999999999999</v>
      </c>
      <c r="M7" s="301"/>
      <c r="N7" s="301">
        <f t="shared" ref="N7:N18" si="10">L7*0.5</f>
        <v>7.6399999999999996E-2</v>
      </c>
      <c r="O7" s="301">
        <f t="shared" si="2"/>
        <v>7.6399999999999996E-2</v>
      </c>
      <c r="Q7" s="301">
        <v>0.24490000000000001</v>
      </c>
      <c r="R7" s="301"/>
      <c r="S7" s="301">
        <f t="shared" ref="S7:S13" si="11">Q7*0.5</f>
        <v>0.12245</v>
      </c>
      <c r="T7" s="301">
        <f t="shared" si="3"/>
        <v>0.12245</v>
      </c>
      <c r="V7" s="301">
        <v>0.32</v>
      </c>
      <c r="W7" s="301"/>
      <c r="X7" s="301">
        <f t="shared" si="4"/>
        <v>0.16</v>
      </c>
      <c r="Y7" s="301">
        <f t="shared" si="5"/>
        <v>0.16</v>
      </c>
      <c r="AA7" s="301">
        <v>0.44450000000000001</v>
      </c>
      <c r="AB7" s="301"/>
      <c r="AC7" s="301">
        <f>AA7*0.5</f>
        <v>0.22225</v>
      </c>
      <c r="AD7" s="301">
        <f>SUM(AB7:AC7)</f>
        <v>0.22225</v>
      </c>
      <c r="AF7" s="301">
        <v>0.18</v>
      </c>
      <c r="AG7" s="301"/>
      <c r="AH7" s="301">
        <f t="shared" ref="AH7:AH16" si="12">AF7*0.5</f>
        <v>0.09</v>
      </c>
      <c r="AI7" s="301">
        <f t="shared" si="6"/>
        <v>0.09</v>
      </c>
      <c r="AK7" s="301">
        <f>1/3</f>
        <v>0.33333333333333331</v>
      </c>
      <c r="AL7" s="301"/>
      <c r="AM7" s="301">
        <f>AK7*0.5</f>
        <v>0.16666666666666666</v>
      </c>
      <c r="AN7" s="301">
        <f>SUM(AL7:AM7)</f>
        <v>0.16666666666666666</v>
      </c>
      <c r="AP7" s="301">
        <v>0.19753000000000001</v>
      </c>
      <c r="AQ7" s="301"/>
      <c r="AR7" s="301">
        <f t="shared" ref="AR7:AR15" si="13">AP7*0.5</f>
        <v>9.8765000000000006E-2</v>
      </c>
      <c r="AS7" s="301">
        <f t="shared" si="7"/>
        <v>9.8765000000000006E-2</v>
      </c>
      <c r="AU7" s="301">
        <v>0.13875000000000001</v>
      </c>
      <c r="AV7" s="301"/>
      <c r="AW7" s="301">
        <f t="shared" ref="AW7:AW16" si="14">AU7*0.5</f>
        <v>6.9375000000000006E-2</v>
      </c>
      <c r="AX7" s="301">
        <f t="shared" si="8"/>
        <v>6.9375000000000006E-2</v>
      </c>
      <c r="AZ7" s="301">
        <v>0.11719</v>
      </c>
      <c r="BB7" s="301">
        <f t="shared" ref="BB7:BB18" si="15">AZ7*$BA$6</f>
        <v>5.8595000000000001E-2</v>
      </c>
      <c r="BC7" s="301">
        <f t="shared" ref="BC7:BC18" si="16">BA7+BB7</f>
        <v>5.8595000000000001E-2</v>
      </c>
    </row>
    <row r="8" spans="1:55">
      <c r="A8" s="297">
        <v>3</v>
      </c>
      <c r="B8" s="301">
        <v>6.6769999999999996E-2</v>
      </c>
      <c r="C8" s="301"/>
      <c r="D8" s="301">
        <f t="shared" ref="D8:D26" si="17">B8*0.5</f>
        <v>3.3384999999999998E-2</v>
      </c>
      <c r="E8" s="301">
        <f t="shared" si="0"/>
        <v>3.3384999999999998E-2</v>
      </c>
      <c r="F8" s="301"/>
      <c r="G8" s="301">
        <v>8.5500000000000007E-2</v>
      </c>
      <c r="H8" s="301"/>
      <c r="I8" s="301">
        <f t="shared" si="9"/>
        <v>4.2750000000000003E-2</v>
      </c>
      <c r="J8" s="301">
        <f t="shared" si="1"/>
        <v>4.2750000000000003E-2</v>
      </c>
      <c r="L8" s="301">
        <v>0.1273</v>
      </c>
      <c r="M8" s="301"/>
      <c r="N8" s="301">
        <f t="shared" si="10"/>
        <v>6.3649999999999998E-2</v>
      </c>
      <c r="O8" s="301">
        <f t="shared" si="2"/>
        <v>6.3649999999999998E-2</v>
      </c>
      <c r="Q8" s="301">
        <v>0.1749</v>
      </c>
      <c r="R8" s="301"/>
      <c r="S8" s="301">
        <f t="shared" si="11"/>
        <v>8.745E-2</v>
      </c>
      <c r="T8" s="301">
        <f t="shared" si="3"/>
        <v>8.745E-2</v>
      </c>
      <c r="V8" s="301">
        <v>0.192</v>
      </c>
      <c r="X8" s="301">
        <f t="shared" si="4"/>
        <v>9.6000000000000002E-2</v>
      </c>
      <c r="Y8" s="301">
        <f t="shared" si="5"/>
        <v>9.6000000000000002E-2</v>
      </c>
      <c r="AA8" s="301">
        <v>0.14810000000000001</v>
      </c>
      <c r="AC8" s="301">
        <f>AA8*0.5</f>
        <v>7.4050000000000005E-2</v>
      </c>
      <c r="AD8" s="301">
        <f>SUM(AB8:AC8)</f>
        <v>7.4050000000000005E-2</v>
      </c>
      <c r="AF8" s="301">
        <v>0.14399999999999999</v>
      </c>
      <c r="AG8" s="301"/>
      <c r="AH8" s="301">
        <f t="shared" si="12"/>
        <v>7.1999999999999995E-2</v>
      </c>
      <c r="AI8" s="301">
        <f t="shared" si="6"/>
        <v>7.1999999999999995E-2</v>
      </c>
      <c r="AK8" s="301">
        <f>1/3</f>
        <v>0.33333333333333331</v>
      </c>
      <c r="AM8" s="301">
        <f>AK8*0.5</f>
        <v>0.16666666666666666</v>
      </c>
      <c r="AN8" s="301">
        <f>SUM(AL8:AM8)</f>
        <v>0.16666666666666666</v>
      </c>
      <c r="AP8" s="301">
        <v>0.15364</v>
      </c>
      <c r="AQ8" s="301"/>
      <c r="AR8" s="301">
        <f t="shared" si="13"/>
        <v>7.6819999999999999E-2</v>
      </c>
      <c r="AS8" s="301">
        <f t="shared" si="7"/>
        <v>7.6819999999999999E-2</v>
      </c>
      <c r="AU8" s="301">
        <v>0.11794</v>
      </c>
      <c r="AV8" s="301"/>
      <c r="AW8" s="301">
        <f t="shared" si="14"/>
        <v>5.8970000000000002E-2</v>
      </c>
      <c r="AX8" s="301">
        <f t="shared" si="8"/>
        <v>5.8970000000000002E-2</v>
      </c>
      <c r="AZ8" s="301">
        <v>0.10255</v>
      </c>
      <c r="BB8" s="301">
        <f t="shared" si="15"/>
        <v>5.1275000000000001E-2</v>
      </c>
      <c r="BC8" s="301">
        <f t="shared" si="16"/>
        <v>5.1275000000000001E-2</v>
      </c>
    </row>
    <row r="9" spans="1:55">
      <c r="A9" s="297">
        <v>4</v>
      </c>
      <c r="B9" s="301">
        <v>6.1769999999999999E-2</v>
      </c>
      <c r="C9" s="301"/>
      <c r="D9" s="301">
        <f t="shared" si="17"/>
        <v>3.0884999999999999E-2</v>
      </c>
      <c r="E9" s="301">
        <f t="shared" si="0"/>
        <v>3.0884999999999999E-2</v>
      </c>
      <c r="F9" s="301"/>
      <c r="G9" s="301">
        <v>7.6999999999999999E-2</v>
      </c>
      <c r="H9" s="301"/>
      <c r="I9" s="301">
        <f t="shared" si="9"/>
        <v>3.85E-2</v>
      </c>
      <c r="J9" s="301">
        <f t="shared" si="1"/>
        <v>3.85E-2</v>
      </c>
      <c r="L9" s="301">
        <v>0.1061</v>
      </c>
      <c r="M9" s="301"/>
      <c r="N9" s="301">
        <f t="shared" si="10"/>
        <v>5.305E-2</v>
      </c>
      <c r="O9" s="301">
        <f t="shared" si="2"/>
        <v>5.305E-2</v>
      </c>
      <c r="Q9" s="301">
        <v>0.1249</v>
      </c>
      <c r="R9" s="301"/>
      <c r="S9" s="301">
        <f t="shared" si="11"/>
        <v>6.2449999999999999E-2</v>
      </c>
      <c r="T9" s="301">
        <f t="shared" si="3"/>
        <v>6.2449999999999999E-2</v>
      </c>
      <c r="V9" s="301">
        <v>0.1152</v>
      </c>
      <c r="X9" s="301">
        <f t="shared" si="4"/>
        <v>5.7599999999999998E-2</v>
      </c>
      <c r="Y9" s="301">
        <f t="shared" si="5"/>
        <v>5.7599999999999998E-2</v>
      </c>
      <c r="AA9" s="301">
        <v>7.4099999999999999E-2</v>
      </c>
      <c r="AC9" s="301">
        <f>AA9*0.5</f>
        <v>3.705E-2</v>
      </c>
      <c r="AD9" s="301">
        <f>SUM(AB9:AC9)</f>
        <v>3.705E-2</v>
      </c>
      <c r="AF9" s="301">
        <v>0.1152</v>
      </c>
      <c r="AG9" s="301"/>
      <c r="AH9" s="301">
        <f t="shared" si="12"/>
        <v>5.7599999999999998E-2</v>
      </c>
      <c r="AI9" s="301">
        <f t="shared" si="6"/>
        <v>5.7599999999999998E-2</v>
      </c>
      <c r="AK9" s="301">
        <f>1/3/2</f>
        <v>0.16666666666666666</v>
      </c>
      <c r="AM9" s="301">
        <f>AK9*0.5</f>
        <v>8.3333333333333329E-2</v>
      </c>
      <c r="AN9" s="301">
        <f>SUM(AL9:AM9)</f>
        <v>8.3333333333333329E-2</v>
      </c>
      <c r="AP9" s="301">
        <v>0.11949</v>
      </c>
      <c r="AQ9" s="301"/>
      <c r="AR9" s="301">
        <f t="shared" si="13"/>
        <v>5.9744999999999999E-2</v>
      </c>
      <c r="AS9" s="301">
        <f t="shared" si="7"/>
        <v>5.9744999999999999E-2</v>
      </c>
      <c r="AU9" s="301">
        <v>0.10025000000000001</v>
      </c>
      <c r="AV9" s="301"/>
      <c r="AW9" s="301">
        <f t="shared" si="14"/>
        <v>5.0125000000000003E-2</v>
      </c>
      <c r="AX9" s="301">
        <f t="shared" si="8"/>
        <v>5.0125000000000003E-2</v>
      </c>
      <c r="AZ9" s="301">
        <v>8.9730000000000004E-2</v>
      </c>
      <c r="BB9" s="301">
        <f t="shared" si="15"/>
        <v>4.4865000000000002E-2</v>
      </c>
      <c r="BC9" s="301">
        <f t="shared" si="16"/>
        <v>4.4865000000000002E-2</v>
      </c>
    </row>
    <row r="10" spans="1:55">
      <c r="A10" s="297">
        <v>5</v>
      </c>
      <c r="B10" s="301">
        <v>5.713E-2</v>
      </c>
      <c r="C10" s="301"/>
      <c r="D10" s="301">
        <f t="shared" si="17"/>
        <v>2.8565E-2</v>
      </c>
      <c r="E10" s="301">
        <f t="shared" si="0"/>
        <v>2.8565E-2</v>
      </c>
      <c r="F10" s="301"/>
      <c r="G10" s="301">
        <v>6.93E-2</v>
      </c>
      <c r="H10" s="301"/>
      <c r="I10" s="301">
        <f t="shared" si="9"/>
        <v>3.465E-2</v>
      </c>
      <c r="J10" s="301">
        <f t="shared" si="1"/>
        <v>3.465E-2</v>
      </c>
      <c r="L10" s="301">
        <v>8.8400000000000006E-2</v>
      </c>
      <c r="M10" s="301"/>
      <c r="N10" s="301">
        <f t="shared" si="10"/>
        <v>4.4200000000000003E-2</v>
      </c>
      <c r="O10" s="301">
        <f t="shared" si="2"/>
        <v>4.4200000000000003E-2</v>
      </c>
      <c r="Q10" s="301">
        <v>8.9300000000000004E-2</v>
      </c>
      <c r="R10" s="301"/>
      <c r="S10" s="301">
        <f t="shared" si="11"/>
        <v>4.4650000000000002E-2</v>
      </c>
      <c r="T10" s="301">
        <f t="shared" si="3"/>
        <v>4.4650000000000002E-2</v>
      </c>
      <c r="V10" s="301">
        <v>0.1152</v>
      </c>
      <c r="X10" s="301">
        <f t="shared" si="4"/>
        <v>5.7599999999999998E-2</v>
      </c>
      <c r="Y10" s="301">
        <f t="shared" si="5"/>
        <v>5.7599999999999998E-2</v>
      </c>
      <c r="AF10" s="301">
        <v>9.2200000000000004E-2</v>
      </c>
      <c r="AG10" s="301"/>
      <c r="AH10" s="301">
        <f t="shared" si="12"/>
        <v>4.6100000000000002E-2</v>
      </c>
      <c r="AI10" s="301">
        <f t="shared" si="6"/>
        <v>4.6100000000000002E-2</v>
      </c>
      <c r="AK10" s="301"/>
      <c r="AL10" s="301"/>
      <c r="AM10" s="301"/>
      <c r="AN10" s="301"/>
      <c r="AP10" s="301">
        <v>9.2939999999999995E-2</v>
      </c>
      <c r="AQ10" s="301"/>
      <c r="AR10" s="301">
        <f t="shared" si="13"/>
        <v>4.6469999999999997E-2</v>
      </c>
      <c r="AS10" s="301">
        <f t="shared" si="7"/>
        <v>4.6469999999999997E-2</v>
      </c>
      <c r="AU10" s="301">
        <v>8.7389999999999995E-2</v>
      </c>
      <c r="AV10" s="301"/>
      <c r="AW10" s="301">
        <f t="shared" si="14"/>
        <v>4.3694999999999998E-2</v>
      </c>
      <c r="AX10" s="301">
        <f t="shared" si="8"/>
        <v>4.3694999999999998E-2</v>
      </c>
      <c r="AZ10" s="301">
        <v>7.8520000000000006E-2</v>
      </c>
      <c r="BB10" s="301">
        <f t="shared" si="15"/>
        <v>3.9260000000000003E-2</v>
      </c>
      <c r="BC10" s="301">
        <f t="shared" si="16"/>
        <v>3.9260000000000003E-2</v>
      </c>
    </row>
    <row r="11" spans="1:55">
      <c r="A11" s="297">
        <v>6</v>
      </c>
      <c r="B11" s="301">
        <v>5.2850000000000001E-2</v>
      </c>
      <c r="C11" s="301"/>
      <c r="D11" s="301">
        <f t="shared" si="17"/>
        <v>2.6425000000000001E-2</v>
      </c>
      <c r="E11" s="301">
        <f t="shared" si="0"/>
        <v>2.6425000000000001E-2</v>
      </c>
      <c r="F11" s="301"/>
      <c r="G11" s="301">
        <v>6.2300000000000001E-2</v>
      </c>
      <c r="H11" s="301"/>
      <c r="I11" s="301">
        <f t="shared" si="9"/>
        <v>3.1150000000000001E-2</v>
      </c>
      <c r="J11" s="301">
        <f t="shared" si="1"/>
        <v>3.1150000000000001E-2</v>
      </c>
      <c r="L11" s="301">
        <v>7.3700000000000002E-2</v>
      </c>
      <c r="M11" s="301"/>
      <c r="N11" s="301">
        <f t="shared" si="10"/>
        <v>3.6850000000000001E-2</v>
      </c>
      <c r="O11" s="301">
        <f t="shared" si="2"/>
        <v>3.6850000000000001E-2</v>
      </c>
      <c r="Q11" s="301">
        <v>8.9200000000000002E-2</v>
      </c>
      <c r="R11" s="301"/>
      <c r="S11" s="301">
        <f t="shared" si="11"/>
        <v>4.4600000000000001E-2</v>
      </c>
      <c r="T11" s="301">
        <f t="shared" si="3"/>
        <v>4.4600000000000001E-2</v>
      </c>
      <c r="V11" s="301">
        <v>5.7599999999999998E-2</v>
      </c>
      <c r="X11" s="301">
        <f t="shared" si="4"/>
        <v>2.8799999999999999E-2</v>
      </c>
      <c r="Y11" s="301">
        <f t="shared" si="5"/>
        <v>2.8799999999999999E-2</v>
      </c>
      <c r="AA11" s="301"/>
      <c r="AC11" s="301"/>
      <c r="AD11" s="301"/>
      <c r="AF11" s="301">
        <v>7.3700000000000002E-2</v>
      </c>
      <c r="AG11" s="301"/>
      <c r="AH11" s="301">
        <f t="shared" si="12"/>
        <v>3.6850000000000001E-2</v>
      </c>
      <c r="AI11" s="301">
        <f t="shared" si="6"/>
        <v>3.6850000000000001E-2</v>
      </c>
      <c r="AK11" s="301"/>
      <c r="AM11" s="301"/>
      <c r="AN11" s="301"/>
      <c r="AP11" s="301">
        <v>7.2289999999999993E-2</v>
      </c>
      <c r="AQ11" s="301"/>
      <c r="AR11" s="301">
        <f t="shared" si="13"/>
        <v>3.6144999999999997E-2</v>
      </c>
      <c r="AS11" s="301">
        <f t="shared" si="7"/>
        <v>3.6144999999999997E-2</v>
      </c>
      <c r="AU11" s="301">
        <v>8.7389999999999995E-2</v>
      </c>
      <c r="AV11" s="301"/>
      <c r="AW11" s="301">
        <f t="shared" si="14"/>
        <v>4.3694999999999998E-2</v>
      </c>
      <c r="AX11" s="301">
        <f t="shared" si="8"/>
        <v>4.3694999999999998E-2</v>
      </c>
      <c r="AZ11" s="301">
        <v>7.3270000000000002E-2</v>
      </c>
      <c r="BB11" s="301">
        <f t="shared" si="15"/>
        <v>3.6635000000000001E-2</v>
      </c>
      <c r="BC11" s="301">
        <f t="shared" si="16"/>
        <v>3.6635000000000001E-2</v>
      </c>
    </row>
    <row r="12" spans="1:55">
      <c r="A12" s="297">
        <v>7</v>
      </c>
      <c r="B12" s="301">
        <v>4.888E-2</v>
      </c>
      <c r="C12" s="301"/>
      <c r="D12" s="301">
        <f t="shared" si="17"/>
        <v>2.444E-2</v>
      </c>
      <c r="E12" s="301">
        <f t="shared" si="0"/>
        <v>2.444E-2</v>
      </c>
      <c r="F12" s="301"/>
      <c r="G12" s="301">
        <v>5.8999999999999997E-2</v>
      </c>
      <c r="H12" s="301"/>
      <c r="I12" s="301">
        <f t="shared" si="9"/>
        <v>2.9499999999999998E-2</v>
      </c>
      <c r="J12" s="301">
        <f t="shared" si="1"/>
        <v>2.9499999999999998E-2</v>
      </c>
      <c r="K12" s="301"/>
      <c r="L12" s="301">
        <v>6.1400000000000003E-2</v>
      </c>
      <c r="M12" s="301"/>
      <c r="N12" s="301">
        <f t="shared" si="10"/>
        <v>3.0700000000000002E-2</v>
      </c>
      <c r="O12" s="301">
        <f t="shared" si="2"/>
        <v>3.0700000000000002E-2</v>
      </c>
      <c r="P12" s="301"/>
      <c r="Q12" s="301">
        <v>8.9300000000000004E-2</v>
      </c>
      <c r="R12" s="301"/>
      <c r="S12" s="301">
        <f t="shared" si="11"/>
        <v>4.4650000000000002E-2</v>
      </c>
      <c r="T12" s="301">
        <f t="shared" si="3"/>
        <v>4.4650000000000002E-2</v>
      </c>
      <c r="AF12" s="301">
        <v>6.5500000000000003E-2</v>
      </c>
      <c r="AG12" s="301"/>
      <c r="AH12" s="301">
        <f t="shared" si="12"/>
        <v>3.2750000000000001E-2</v>
      </c>
      <c r="AI12" s="301">
        <f t="shared" si="6"/>
        <v>3.2750000000000001E-2</v>
      </c>
      <c r="AJ12" s="301"/>
      <c r="AP12" s="301">
        <v>7.2279999999999997E-2</v>
      </c>
      <c r="AQ12" s="301"/>
      <c r="AR12" s="301">
        <f t="shared" si="13"/>
        <v>3.6139999999999999E-2</v>
      </c>
      <c r="AS12" s="301">
        <f t="shared" si="7"/>
        <v>3.6139999999999999E-2</v>
      </c>
      <c r="AT12" s="301"/>
      <c r="AU12" s="301">
        <v>8.7389999999999995E-2</v>
      </c>
      <c r="AV12" s="301"/>
      <c r="AW12" s="301">
        <f t="shared" si="14"/>
        <v>4.3694999999999998E-2</v>
      </c>
      <c r="AX12" s="301">
        <f t="shared" si="8"/>
        <v>4.3694999999999998E-2</v>
      </c>
      <c r="AZ12" s="301">
        <v>7.3270000000000002E-2</v>
      </c>
      <c r="BB12" s="301">
        <f t="shared" si="15"/>
        <v>3.6635000000000001E-2</v>
      </c>
      <c r="BC12" s="301">
        <f t="shared" si="16"/>
        <v>3.6635000000000001E-2</v>
      </c>
    </row>
    <row r="13" spans="1:55">
      <c r="A13" s="297">
        <v>8</v>
      </c>
      <c r="B13" s="301">
        <v>4.5220000000000003E-2</v>
      </c>
      <c r="C13" s="301"/>
      <c r="D13" s="301">
        <f t="shared" si="17"/>
        <v>2.2610000000000002E-2</v>
      </c>
      <c r="E13" s="301">
        <f t="shared" si="0"/>
        <v>2.2610000000000002E-2</v>
      </c>
      <c r="F13" s="301"/>
      <c r="G13" s="301">
        <v>5.8999999999999997E-2</v>
      </c>
      <c r="H13" s="301"/>
      <c r="I13" s="301">
        <f t="shared" si="9"/>
        <v>2.9499999999999998E-2</v>
      </c>
      <c r="J13" s="301">
        <f t="shared" si="1"/>
        <v>2.9499999999999998E-2</v>
      </c>
      <c r="K13" s="301"/>
      <c r="L13" s="301">
        <v>5.5800000000000002E-2</v>
      </c>
      <c r="M13" s="301"/>
      <c r="N13" s="301">
        <f t="shared" si="10"/>
        <v>2.7900000000000001E-2</v>
      </c>
      <c r="O13" s="301">
        <f t="shared" si="2"/>
        <v>2.7900000000000001E-2</v>
      </c>
      <c r="P13" s="301"/>
      <c r="Q13" s="301">
        <v>4.4600000000000001E-2</v>
      </c>
      <c r="R13" s="301"/>
      <c r="S13" s="301">
        <f t="shared" si="11"/>
        <v>2.23E-2</v>
      </c>
      <c r="T13" s="301">
        <f t="shared" si="3"/>
        <v>2.23E-2</v>
      </c>
      <c r="U13" s="301"/>
      <c r="AF13" s="301">
        <v>6.5500000000000003E-2</v>
      </c>
      <c r="AG13" s="301"/>
      <c r="AH13" s="301">
        <f t="shared" si="12"/>
        <v>3.2750000000000001E-2</v>
      </c>
      <c r="AI13" s="301">
        <f t="shared" si="6"/>
        <v>3.2750000000000001E-2</v>
      </c>
      <c r="AJ13" s="301"/>
      <c r="AP13" s="301">
        <v>7.2289999999999993E-2</v>
      </c>
      <c r="AQ13" s="301"/>
      <c r="AR13" s="301">
        <f t="shared" si="13"/>
        <v>3.6144999999999997E-2</v>
      </c>
      <c r="AS13" s="301">
        <f t="shared" si="7"/>
        <v>3.6144999999999997E-2</v>
      </c>
      <c r="AT13" s="301"/>
      <c r="AU13" s="301">
        <v>8.7389999999999995E-2</v>
      </c>
      <c r="AV13" s="301"/>
      <c r="AW13" s="301">
        <f t="shared" si="14"/>
        <v>4.3694999999999998E-2</v>
      </c>
      <c r="AX13" s="301">
        <f t="shared" si="8"/>
        <v>4.3694999999999998E-2</v>
      </c>
      <c r="AZ13" s="301">
        <v>7.3270000000000002E-2</v>
      </c>
      <c r="BB13" s="301">
        <f t="shared" si="15"/>
        <v>3.6635000000000001E-2</v>
      </c>
      <c r="BC13" s="301">
        <f t="shared" si="16"/>
        <v>3.6635000000000001E-2</v>
      </c>
    </row>
    <row r="14" spans="1:55">
      <c r="A14" s="297">
        <v>9</v>
      </c>
      <c r="B14" s="301">
        <v>4.462E-2</v>
      </c>
      <c r="C14" s="301"/>
      <c r="D14" s="301">
        <f t="shared" si="17"/>
        <v>2.231E-2</v>
      </c>
      <c r="E14" s="301">
        <f t="shared" si="0"/>
        <v>2.231E-2</v>
      </c>
      <c r="F14" s="301"/>
      <c r="G14" s="301">
        <v>5.91E-2</v>
      </c>
      <c r="H14" s="301"/>
      <c r="I14" s="301">
        <f t="shared" si="9"/>
        <v>2.955E-2</v>
      </c>
      <c r="J14" s="301">
        <f t="shared" si="1"/>
        <v>2.955E-2</v>
      </c>
      <c r="K14" s="301"/>
      <c r="L14" s="301">
        <v>5.5800000000000002E-2</v>
      </c>
      <c r="M14" s="301"/>
      <c r="N14" s="301">
        <f t="shared" si="10"/>
        <v>2.7900000000000001E-2</v>
      </c>
      <c r="O14" s="301">
        <f t="shared" si="2"/>
        <v>2.7900000000000001E-2</v>
      </c>
      <c r="P14" s="301"/>
      <c r="AF14" s="301">
        <v>6.5600000000000006E-2</v>
      </c>
      <c r="AG14" s="301"/>
      <c r="AH14" s="301">
        <f t="shared" si="12"/>
        <v>3.2800000000000003E-2</v>
      </c>
      <c r="AI14" s="301">
        <f t="shared" si="6"/>
        <v>3.2800000000000003E-2</v>
      </c>
      <c r="AJ14" s="301"/>
      <c r="AP14" s="301">
        <v>7.2289999999999993E-2</v>
      </c>
      <c r="AQ14" s="301"/>
      <c r="AR14" s="301">
        <f t="shared" si="13"/>
        <v>3.6144999999999997E-2</v>
      </c>
      <c r="AS14" s="301">
        <f t="shared" si="7"/>
        <v>3.6144999999999997E-2</v>
      </c>
      <c r="AT14" s="301"/>
      <c r="AU14" s="301">
        <v>8.7389999999999995E-2</v>
      </c>
      <c r="AV14" s="301"/>
      <c r="AW14" s="301">
        <f t="shared" si="14"/>
        <v>4.3694999999999998E-2</v>
      </c>
      <c r="AX14" s="301">
        <f t="shared" si="8"/>
        <v>4.3694999999999998E-2</v>
      </c>
      <c r="AZ14" s="301">
        <v>7.3270000000000002E-2</v>
      </c>
      <c r="BB14" s="301">
        <f t="shared" si="15"/>
        <v>3.6635000000000001E-2</v>
      </c>
      <c r="BC14" s="301">
        <f t="shared" si="16"/>
        <v>3.6635000000000001E-2</v>
      </c>
    </row>
    <row r="15" spans="1:55">
      <c r="A15" s="297">
        <v>10</v>
      </c>
      <c r="B15" s="301">
        <v>4.4609999999999997E-2</v>
      </c>
      <c r="C15" s="301"/>
      <c r="D15" s="301">
        <f t="shared" si="17"/>
        <v>2.2304999999999998E-2</v>
      </c>
      <c r="E15" s="301">
        <f t="shared" si="0"/>
        <v>2.2304999999999998E-2</v>
      </c>
      <c r="F15" s="301"/>
      <c r="G15" s="301">
        <v>5.8999999999999997E-2</v>
      </c>
      <c r="H15" s="301"/>
      <c r="I15" s="301">
        <f t="shared" si="9"/>
        <v>2.9499999999999998E-2</v>
      </c>
      <c r="J15" s="301">
        <f t="shared" si="1"/>
        <v>2.9499999999999998E-2</v>
      </c>
      <c r="K15" s="301"/>
      <c r="L15" s="301">
        <v>5.5899999999999998E-2</v>
      </c>
      <c r="M15" s="301"/>
      <c r="N15" s="301">
        <f t="shared" si="10"/>
        <v>2.7949999999999999E-2</v>
      </c>
      <c r="O15" s="301">
        <f t="shared" si="2"/>
        <v>2.7949999999999999E-2</v>
      </c>
      <c r="P15" s="301"/>
      <c r="AF15" s="301">
        <v>6.5500000000000003E-2</v>
      </c>
      <c r="AG15" s="301"/>
      <c r="AH15" s="301">
        <f t="shared" si="12"/>
        <v>3.2750000000000001E-2</v>
      </c>
      <c r="AI15" s="301">
        <f t="shared" si="6"/>
        <v>3.2750000000000001E-2</v>
      </c>
      <c r="AJ15" s="301"/>
      <c r="AP15" s="301">
        <v>3.6139999999999999E-2</v>
      </c>
      <c r="AQ15" s="301"/>
      <c r="AR15" s="301">
        <f t="shared" si="13"/>
        <v>1.8069999999999999E-2</v>
      </c>
      <c r="AS15" s="301">
        <f t="shared" si="7"/>
        <v>1.8069999999999999E-2</v>
      </c>
      <c r="AT15" s="301"/>
      <c r="AU15" s="301">
        <v>8.7389999999999995E-2</v>
      </c>
      <c r="AV15" s="301"/>
      <c r="AW15" s="301">
        <f t="shared" si="14"/>
        <v>4.3694999999999998E-2</v>
      </c>
      <c r="AX15" s="301">
        <f t="shared" si="8"/>
        <v>4.3694999999999998E-2</v>
      </c>
      <c r="AZ15" s="301">
        <v>7.3270000000000002E-2</v>
      </c>
      <c r="BB15" s="301">
        <f t="shared" si="15"/>
        <v>3.6635000000000001E-2</v>
      </c>
      <c r="BC15" s="301">
        <f t="shared" si="16"/>
        <v>3.6635000000000001E-2</v>
      </c>
    </row>
    <row r="16" spans="1:55">
      <c r="A16" s="297">
        <v>11</v>
      </c>
      <c r="B16" s="301">
        <v>4.462E-2</v>
      </c>
      <c r="C16" s="301"/>
      <c r="D16" s="301">
        <f t="shared" si="17"/>
        <v>2.231E-2</v>
      </c>
      <c r="E16" s="301">
        <f t="shared" si="0"/>
        <v>2.231E-2</v>
      </c>
      <c r="F16" s="301"/>
      <c r="G16" s="301">
        <v>5.91E-2</v>
      </c>
      <c r="H16" s="301"/>
      <c r="I16" s="301">
        <f t="shared" si="9"/>
        <v>2.955E-2</v>
      </c>
      <c r="J16" s="301">
        <f t="shared" si="1"/>
        <v>2.955E-2</v>
      </c>
      <c r="K16" s="301"/>
      <c r="L16" s="301">
        <v>5.5800000000000002E-2</v>
      </c>
      <c r="M16" s="301"/>
      <c r="N16" s="301">
        <f t="shared" si="10"/>
        <v>2.7900000000000001E-2</v>
      </c>
      <c r="O16" s="301">
        <f t="shared" si="2"/>
        <v>2.7900000000000001E-2</v>
      </c>
      <c r="P16" s="301"/>
      <c r="AF16" s="301">
        <v>3.2800000000000003E-2</v>
      </c>
      <c r="AG16" s="301"/>
      <c r="AH16" s="301">
        <f t="shared" si="12"/>
        <v>1.6400000000000001E-2</v>
      </c>
      <c r="AI16" s="301">
        <f t="shared" si="6"/>
        <v>1.6400000000000001E-2</v>
      </c>
      <c r="AJ16" s="301"/>
      <c r="AP16" s="301"/>
      <c r="AQ16" s="301"/>
      <c r="AR16" s="301"/>
      <c r="AS16" s="301"/>
      <c r="AT16" s="301"/>
      <c r="AU16" s="301">
        <v>4.3720000000000002E-2</v>
      </c>
      <c r="AV16" s="301"/>
      <c r="AW16" s="301">
        <f t="shared" si="14"/>
        <v>2.1860000000000001E-2</v>
      </c>
      <c r="AX16" s="301">
        <f t="shared" si="8"/>
        <v>2.1860000000000001E-2</v>
      </c>
      <c r="AZ16" s="301">
        <v>7.3270000000000002E-2</v>
      </c>
      <c r="BB16" s="301">
        <f t="shared" si="15"/>
        <v>3.6635000000000001E-2</v>
      </c>
      <c r="BC16" s="301">
        <f t="shared" si="16"/>
        <v>3.6635000000000001E-2</v>
      </c>
    </row>
    <row r="17" spans="1:55">
      <c r="A17" s="297">
        <v>12</v>
      </c>
      <c r="B17" s="301">
        <v>4.4609999999999997E-2</v>
      </c>
      <c r="C17" s="301"/>
      <c r="D17" s="301">
        <f t="shared" si="17"/>
        <v>2.2304999999999998E-2</v>
      </c>
      <c r="E17" s="301">
        <f t="shared" si="0"/>
        <v>2.2304999999999998E-2</v>
      </c>
      <c r="F17" s="301"/>
      <c r="G17" s="301">
        <v>5.8999999999999997E-2</v>
      </c>
      <c r="H17" s="301"/>
      <c r="I17" s="301">
        <f t="shared" si="9"/>
        <v>2.9499999999999998E-2</v>
      </c>
      <c r="J17" s="301">
        <f t="shared" si="1"/>
        <v>2.9499999999999998E-2</v>
      </c>
      <c r="K17" s="301"/>
      <c r="L17" s="301">
        <v>5.5800000000000002E-2</v>
      </c>
      <c r="M17" s="301"/>
      <c r="N17" s="301">
        <f t="shared" si="10"/>
        <v>2.7900000000000001E-2</v>
      </c>
      <c r="O17" s="301">
        <f t="shared" si="2"/>
        <v>2.7900000000000001E-2</v>
      </c>
      <c r="P17" s="301"/>
      <c r="AF17" s="301"/>
      <c r="AG17" s="301"/>
      <c r="AH17" s="301"/>
      <c r="AI17" s="301"/>
      <c r="AJ17" s="301"/>
      <c r="AP17" s="301"/>
      <c r="AQ17" s="301"/>
      <c r="AR17" s="301"/>
      <c r="AS17" s="301"/>
      <c r="AT17" s="301"/>
      <c r="AU17" s="301"/>
      <c r="AV17" s="301"/>
      <c r="AW17" s="301"/>
      <c r="AX17" s="301"/>
      <c r="AZ17" s="301">
        <v>7.3270000000000002E-2</v>
      </c>
      <c r="BB17" s="301">
        <f t="shared" si="15"/>
        <v>3.6635000000000001E-2</v>
      </c>
      <c r="BC17" s="301">
        <f t="shared" si="16"/>
        <v>3.6635000000000001E-2</v>
      </c>
    </row>
    <row r="18" spans="1:55">
      <c r="A18" s="297">
        <v>13</v>
      </c>
      <c r="B18" s="301">
        <v>4.462E-2</v>
      </c>
      <c r="C18" s="301"/>
      <c r="D18" s="301">
        <f t="shared" si="17"/>
        <v>2.231E-2</v>
      </c>
      <c r="E18" s="301">
        <f t="shared" si="0"/>
        <v>2.231E-2</v>
      </c>
      <c r="F18" s="301"/>
      <c r="G18" s="301">
        <v>5.91E-2</v>
      </c>
      <c r="H18" s="301"/>
      <c r="I18" s="301">
        <f t="shared" si="9"/>
        <v>2.955E-2</v>
      </c>
      <c r="J18" s="301">
        <f t="shared" si="1"/>
        <v>2.955E-2</v>
      </c>
      <c r="K18" s="301"/>
      <c r="L18" s="301">
        <v>2.7900000000000001E-2</v>
      </c>
      <c r="M18" s="301"/>
      <c r="N18" s="301">
        <f t="shared" si="10"/>
        <v>1.3950000000000001E-2</v>
      </c>
      <c r="O18" s="301">
        <f t="shared" si="2"/>
        <v>1.3950000000000001E-2</v>
      </c>
      <c r="P18" s="301"/>
      <c r="AF18" s="301"/>
      <c r="AG18" s="301"/>
      <c r="AH18" s="301"/>
      <c r="AI18" s="301"/>
      <c r="AJ18" s="301"/>
      <c r="AP18" s="302"/>
      <c r="AQ18" s="302"/>
      <c r="AR18" s="302"/>
      <c r="AS18" s="302"/>
      <c r="AT18" s="301"/>
      <c r="AU18" s="301"/>
      <c r="AV18" s="301"/>
      <c r="AW18" s="301"/>
      <c r="AX18" s="301"/>
      <c r="AZ18" s="301">
        <v>3.662E-2</v>
      </c>
      <c r="BB18" s="301">
        <f t="shared" si="15"/>
        <v>1.831E-2</v>
      </c>
      <c r="BC18" s="301">
        <f t="shared" si="16"/>
        <v>1.831E-2</v>
      </c>
    </row>
    <row r="19" spans="1:55">
      <c r="A19" s="297">
        <v>14</v>
      </c>
      <c r="B19" s="301">
        <v>4.4609999999999997E-2</v>
      </c>
      <c r="C19" s="301"/>
      <c r="D19" s="301">
        <f t="shared" si="17"/>
        <v>2.2304999999999998E-2</v>
      </c>
      <c r="E19" s="301">
        <f t="shared" si="0"/>
        <v>2.2304999999999998E-2</v>
      </c>
      <c r="F19" s="301"/>
      <c r="G19" s="301">
        <v>5.8999999999999997E-2</v>
      </c>
      <c r="H19" s="301"/>
      <c r="I19" s="301">
        <f t="shared" si="9"/>
        <v>2.9499999999999998E-2</v>
      </c>
      <c r="J19" s="301">
        <f t="shared" si="1"/>
        <v>2.9499999999999998E-2</v>
      </c>
      <c r="K19" s="301"/>
      <c r="L19" s="302"/>
      <c r="M19" s="302"/>
      <c r="N19" s="302"/>
      <c r="O19" s="302"/>
      <c r="P19" s="301"/>
      <c r="AJ19" s="301"/>
      <c r="AP19" s="302"/>
      <c r="AQ19" s="302"/>
      <c r="AR19" s="302"/>
      <c r="AS19" s="302"/>
      <c r="AT19" s="301"/>
      <c r="AZ19" s="301"/>
      <c r="BA19" s="301"/>
      <c r="BB19" s="301"/>
      <c r="BC19" s="301"/>
    </row>
    <row r="20" spans="1:55">
      <c r="A20" s="297">
        <v>15</v>
      </c>
      <c r="B20" s="301">
        <v>4.462E-2</v>
      </c>
      <c r="C20" s="301"/>
      <c r="D20" s="301">
        <f t="shared" si="17"/>
        <v>2.231E-2</v>
      </c>
      <c r="E20" s="301">
        <f t="shared" si="0"/>
        <v>2.231E-2</v>
      </c>
      <c r="F20" s="301"/>
      <c r="G20" s="301">
        <v>5.91E-2</v>
      </c>
      <c r="H20" s="301"/>
      <c r="I20" s="301">
        <f t="shared" si="9"/>
        <v>2.955E-2</v>
      </c>
      <c r="J20" s="301">
        <f t="shared" si="1"/>
        <v>2.955E-2</v>
      </c>
      <c r="K20" s="301"/>
      <c r="L20" s="302"/>
      <c r="M20" s="302"/>
      <c r="N20" s="302"/>
      <c r="O20" s="302"/>
      <c r="P20" s="301"/>
      <c r="AF20" s="302"/>
      <c r="AG20" s="302"/>
      <c r="AH20" s="302"/>
      <c r="AI20" s="302"/>
      <c r="AJ20" s="301"/>
      <c r="AP20" s="302"/>
      <c r="AQ20" s="302"/>
      <c r="AR20" s="302"/>
      <c r="AS20" s="302"/>
      <c r="AT20" s="301"/>
      <c r="AU20" s="302"/>
      <c r="AV20" s="302"/>
      <c r="AW20" s="302"/>
      <c r="AX20" s="302"/>
      <c r="AZ20" s="301"/>
      <c r="BA20" s="301"/>
    </row>
    <row r="21" spans="1:55">
      <c r="A21" s="297">
        <v>16</v>
      </c>
      <c r="B21" s="301">
        <v>4.4609999999999997E-2</v>
      </c>
      <c r="C21" s="301"/>
      <c r="D21" s="301">
        <f t="shared" si="17"/>
        <v>2.2304999999999998E-2</v>
      </c>
      <c r="E21" s="301">
        <f t="shared" si="0"/>
        <v>2.2304999999999998E-2</v>
      </c>
      <c r="F21" s="301"/>
      <c r="G21" s="301">
        <v>2.9499999999999998E-2</v>
      </c>
      <c r="H21" s="301"/>
      <c r="I21" s="301">
        <f t="shared" si="9"/>
        <v>1.4749999999999999E-2</v>
      </c>
      <c r="J21" s="301">
        <f t="shared" si="1"/>
        <v>1.4749999999999999E-2</v>
      </c>
      <c r="K21" s="301"/>
      <c r="L21" s="302"/>
      <c r="M21" s="302"/>
      <c r="N21" s="302"/>
      <c r="O21" s="302"/>
      <c r="P21" s="301"/>
      <c r="AF21" s="302"/>
      <c r="AG21" s="302"/>
      <c r="AH21" s="302"/>
      <c r="AI21" s="302"/>
      <c r="AJ21" s="301"/>
      <c r="AP21" s="302"/>
      <c r="AQ21" s="302"/>
      <c r="AR21" s="302"/>
      <c r="AS21" s="302"/>
      <c r="AT21" s="301"/>
      <c r="AU21" s="302"/>
      <c r="AV21" s="302"/>
      <c r="AW21" s="302"/>
      <c r="AX21" s="302"/>
      <c r="AZ21" s="301"/>
      <c r="BA21" s="301"/>
    </row>
    <row r="22" spans="1:55">
      <c r="A22" s="297">
        <v>17</v>
      </c>
      <c r="B22" s="301">
        <v>4.462E-2</v>
      </c>
      <c r="C22" s="301"/>
      <c r="D22" s="301">
        <f t="shared" si="17"/>
        <v>2.231E-2</v>
      </c>
      <c r="E22" s="301">
        <f t="shared" si="0"/>
        <v>2.231E-2</v>
      </c>
      <c r="F22" s="301"/>
      <c r="G22" s="301"/>
      <c r="H22" s="301"/>
      <c r="I22" s="301"/>
      <c r="J22" s="301"/>
      <c r="K22" s="301"/>
      <c r="L22" s="302"/>
      <c r="M22" s="302"/>
      <c r="N22" s="302"/>
      <c r="O22" s="302"/>
      <c r="P22" s="301"/>
      <c r="AF22" s="302"/>
      <c r="AG22" s="302"/>
      <c r="AH22" s="302"/>
      <c r="AI22" s="302"/>
      <c r="AJ22" s="301"/>
      <c r="AP22" s="302"/>
      <c r="AQ22" s="302"/>
      <c r="AR22" s="302"/>
      <c r="AS22" s="302"/>
      <c r="AT22" s="301"/>
      <c r="AU22" s="302"/>
      <c r="AV22" s="302"/>
      <c r="AW22" s="302"/>
      <c r="AX22" s="302"/>
      <c r="AZ22" s="301"/>
      <c r="BA22" s="301"/>
    </row>
    <row r="23" spans="1:55">
      <c r="A23" s="297">
        <v>18</v>
      </c>
      <c r="B23" s="301">
        <v>4.4609999999999997E-2</v>
      </c>
      <c r="C23" s="301"/>
      <c r="D23" s="301">
        <f t="shared" si="17"/>
        <v>2.2304999999999998E-2</v>
      </c>
      <c r="E23" s="301">
        <f t="shared" si="0"/>
        <v>2.2304999999999998E-2</v>
      </c>
      <c r="F23" s="301"/>
      <c r="G23" s="301"/>
      <c r="H23" s="301"/>
      <c r="I23" s="301"/>
      <c r="J23" s="301"/>
      <c r="K23" s="301"/>
      <c r="L23" s="301"/>
      <c r="M23" s="301"/>
      <c r="N23" s="301"/>
      <c r="O23" s="301"/>
      <c r="P23" s="301"/>
      <c r="AF23" s="301"/>
      <c r="AG23" s="301"/>
      <c r="AH23" s="301"/>
      <c r="AI23" s="301"/>
      <c r="AJ23" s="301"/>
      <c r="AP23" s="301"/>
      <c r="AQ23" s="301"/>
      <c r="AR23" s="301"/>
      <c r="AS23" s="301"/>
      <c r="AT23" s="301"/>
      <c r="AU23" s="301"/>
      <c r="AV23" s="301"/>
      <c r="AW23" s="301"/>
      <c r="AX23" s="301"/>
      <c r="AZ23" s="301"/>
      <c r="BA23" s="301"/>
    </row>
    <row r="24" spans="1:55">
      <c r="A24" s="297">
        <v>19</v>
      </c>
      <c r="B24" s="301">
        <v>4.462E-2</v>
      </c>
      <c r="C24" s="301"/>
      <c r="D24" s="301">
        <f t="shared" si="17"/>
        <v>2.231E-2</v>
      </c>
      <c r="E24" s="301">
        <f t="shared" si="0"/>
        <v>2.231E-2</v>
      </c>
      <c r="F24" s="301"/>
      <c r="G24" s="301"/>
      <c r="H24" s="301"/>
      <c r="I24" s="301"/>
      <c r="J24" s="301"/>
      <c r="K24" s="301"/>
      <c r="L24" s="301"/>
      <c r="M24" s="301"/>
      <c r="N24" s="301"/>
      <c r="O24" s="301"/>
      <c r="P24" s="301"/>
      <c r="AF24" s="301"/>
      <c r="AG24" s="301"/>
      <c r="AH24" s="301"/>
      <c r="AI24" s="301"/>
      <c r="AJ24" s="301"/>
      <c r="AP24" s="301"/>
      <c r="AQ24" s="301"/>
      <c r="AR24" s="301"/>
      <c r="AS24" s="301"/>
      <c r="AT24" s="301"/>
      <c r="AU24" s="301"/>
      <c r="AV24" s="301"/>
      <c r="AW24" s="301"/>
      <c r="AX24" s="301"/>
      <c r="AZ24" s="301"/>
      <c r="BA24" s="301"/>
    </row>
    <row r="25" spans="1:55">
      <c r="A25" s="297">
        <v>20</v>
      </c>
      <c r="B25" s="301">
        <v>4.4609999999999997E-2</v>
      </c>
      <c r="C25" s="301"/>
      <c r="D25" s="301">
        <f t="shared" si="17"/>
        <v>2.2304999999999998E-2</v>
      </c>
      <c r="E25" s="301">
        <f t="shared" si="0"/>
        <v>2.2304999999999998E-2</v>
      </c>
      <c r="F25" s="301"/>
      <c r="G25" s="301"/>
      <c r="H25" s="301"/>
      <c r="I25" s="301"/>
      <c r="J25" s="301"/>
      <c r="K25" s="301"/>
      <c r="L25" s="301"/>
      <c r="M25" s="301"/>
      <c r="N25" s="301"/>
      <c r="O25" s="301"/>
      <c r="P25" s="301"/>
      <c r="AF25" s="301"/>
      <c r="AG25" s="301"/>
      <c r="AH25" s="301"/>
      <c r="AI25" s="301"/>
      <c r="AJ25" s="301"/>
      <c r="AP25" s="301"/>
      <c r="AQ25" s="301"/>
      <c r="AR25" s="301"/>
      <c r="AS25" s="301"/>
      <c r="AT25" s="301"/>
      <c r="AU25" s="301"/>
      <c r="AV25" s="301"/>
      <c r="AW25" s="301"/>
      <c r="AX25" s="301"/>
      <c r="AZ25" s="301"/>
      <c r="BA25" s="301"/>
    </row>
    <row r="26" spans="1:55">
      <c r="A26" s="297">
        <v>21</v>
      </c>
      <c r="B26" s="301">
        <v>2.231E-2</v>
      </c>
      <c r="C26" s="301"/>
      <c r="D26" s="301">
        <f t="shared" si="17"/>
        <v>1.1155E-2</v>
      </c>
      <c r="E26" s="301">
        <f t="shared" si="0"/>
        <v>1.1155E-2</v>
      </c>
      <c r="F26" s="301"/>
      <c r="G26" s="301"/>
      <c r="H26" s="301"/>
      <c r="I26" s="301"/>
      <c r="J26" s="301"/>
      <c r="K26" s="301"/>
      <c r="L26" s="301"/>
      <c r="M26" s="301"/>
      <c r="N26" s="301"/>
      <c r="O26" s="301"/>
      <c r="P26" s="301"/>
      <c r="AF26" s="301"/>
      <c r="AG26" s="301"/>
      <c r="AH26" s="301"/>
      <c r="AI26" s="301"/>
      <c r="AJ26" s="301"/>
      <c r="AP26" s="301"/>
      <c r="AQ26" s="301"/>
      <c r="AR26" s="301"/>
      <c r="AS26" s="301"/>
      <c r="AT26" s="301"/>
      <c r="AU26" s="301"/>
      <c r="AV26" s="301"/>
      <c r="AW26" s="301"/>
      <c r="AX26" s="301"/>
      <c r="AZ26" s="301"/>
      <c r="BA26" s="301"/>
    </row>
    <row r="27" spans="1:55" ht="13.5" thickBot="1">
      <c r="B27" s="303">
        <f>SUM(B6:B26)</f>
        <v>1.0000000000000002</v>
      </c>
      <c r="C27" s="303">
        <f>SUM(C6:C26)</f>
        <v>0.5</v>
      </c>
      <c r="D27" s="303">
        <f>SUM(D6:D26)</f>
        <v>0.50000000000000011</v>
      </c>
      <c r="E27" s="303">
        <f>SUM(E6:E26)</f>
        <v>1.0000000000000004</v>
      </c>
      <c r="F27" s="302"/>
      <c r="G27" s="303">
        <f>SUM(G6:G26)</f>
        <v>1.0000000000000002</v>
      </c>
      <c r="H27" s="303">
        <f>SUM(H6:H26)</f>
        <v>0.5</v>
      </c>
      <c r="I27" s="303">
        <f>SUM(I6:I26)</f>
        <v>0.50000000000000011</v>
      </c>
      <c r="J27" s="303">
        <f>SUM(J6:J26)</f>
        <v>0.99999999999999967</v>
      </c>
      <c r="K27" s="301"/>
      <c r="L27" s="303">
        <f>SUM(L6:L26)</f>
        <v>0.99999999999999978</v>
      </c>
      <c r="M27" s="303">
        <f>SUM(M6:M26)</f>
        <v>0.5</v>
      </c>
      <c r="N27" s="303">
        <f>SUM(N6:N26)</f>
        <v>0.49999999999999989</v>
      </c>
      <c r="O27" s="303">
        <f>SUM(O6:O26)</f>
        <v>1.0000000000000002</v>
      </c>
      <c r="P27" s="301"/>
      <c r="Q27" s="303">
        <f>SUM(Q6:Q26)</f>
        <v>1.0000000000000002</v>
      </c>
      <c r="R27" s="303">
        <f>SUM(R6:R26)</f>
        <v>0.5</v>
      </c>
      <c r="S27" s="303">
        <f>SUM(S6:S26)</f>
        <v>0.50000000000000011</v>
      </c>
      <c r="T27" s="303">
        <f>SUM(T6:T26)</f>
        <v>0.99999999999999989</v>
      </c>
      <c r="V27" s="303">
        <f>SUM(V6:V26)</f>
        <v>0.99999999999999989</v>
      </c>
      <c r="W27" s="303">
        <f>SUM(W6:W26)</f>
        <v>0.5</v>
      </c>
      <c r="X27" s="303">
        <f>SUM(X6:X26)</f>
        <v>0.49999999999999994</v>
      </c>
      <c r="Y27" s="303">
        <f>SUM(Y6:Y26)</f>
        <v>1</v>
      </c>
      <c r="AA27" s="303">
        <f>SUM(AA6:AA26)</f>
        <v>1</v>
      </c>
      <c r="AB27" s="303">
        <f>SUM(AB6:AB26)</f>
        <v>0.5</v>
      </c>
      <c r="AC27" s="303">
        <f>SUM(AC6:AC26)</f>
        <v>0.5</v>
      </c>
      <c r="AD27" s="303">
        <f>SUM(AD6:AD26)</f>
        <v>1</v>
      </c>
      <c r="AF27" s="303">
        <f>SUM(AF6:AF26)</f>
        <v>1</v>
      </c>
      <c r="AG27" s="303">
        <f>SUM(AG6:AG26)</f>
        <v>0.5</v>
      </c>
      <c r="AH27" s="303">
        <f>SUM(AH6:AH26)</f>
        <v>0.5</v>
      </c>
      <c r="AI27" s="303">
        <f>SUM(AI6:AI26)</f>
        <v>1</v>
      </c>
      <c r="AJ27" s="301"/>
      <c r="AK27" s="303">
        <f>SUM(AK6:AK26)</f>
        <v>0.99999999999999989</v>
      </c>
      <c r="AL27" s="303">
        <f>SUM(AL6:AL26)</f>
        <v>0.5</v>
      </c>
      <c r="AM27" s="303">
        <f>SUM(AM6:AM26)</f>
        <v>0.49999999999999994</v>
      </c>
      <c r="AN27" s="303">
        <f>SUM(AN6:AN26)</f>
        <v>1</v>
      </c>
      <c r="AP27" s="303">
        <f>SUM(AP6:AP26)</f>
        <v>0.99999999999999989</v>
      </c>
      <c r="AQ27" s="303">
        <f>SUM(AQ6:AQ26)</f>
        <v>0.5</v>
      </c>
      <c r="AR27" s="303">
        <f>SUM(AR6:AR26)</f>
        <v>0.49999999999999994</v>
      </c>
      <c r="AS27" s="303">
        <f>SUM(AS6:AS26)</f>
        <v>1</v>
      </c>
      <c r="AT27" s="301"/>
      <c r="AU27" s="303">
        <f>SUM(AU6:AU26)</f>
        <v>0.99999999999999978</v>
      </c>
      <c r="AV27" s="303">
        <f>SUM(AV6:AV26)</f>
        <v>0.5</v>
      </c>
      <c r="AW27" s="303">
        <f>SUM(AW6:AW26)</f>
        <v>0.49999999999999989</v>
      </c>
      <c r="AX27" s="303">
        <f>SUM(AX6:AX26)</f>
        <v>1.0000000000000002</v>
      </c>
      <c r="AZ27" s="303">
        <f>SUM(AZ6:AZ26)</f>
        <v>0.99999999999999967</v>
      </c>
      <c r="BA27" s="303">
        <f>SUM(BA6:BA26)</f>
        <v>0.5</v>
      </c>
      <c r="BB27" s="303">
        <f>SUM(BB6:BB26)</f>
        <v>0.49999999999999983</v>
      </c>
      <c r="BC27" s="303">
        <f>SUM(BC6:BC26)</f>
        <v>0.99999999999999978</v>
      </c>
    </row>
    <row r="28" spans="1:55" ht="13.5" thickTop="1">
      <c r="AZ28" s="301"/>
      <c r="BA28" s="301"/>
    </row>
    <row r="29" spans="1:55">
      <c r="AZ29" s="301"/>
      <c r="BA29" s="301"/>
    </row>
    <row r="30" spans="1:55">
      <c r="AZ30" s="301"/>
      <c r="BA30" s="301"/>
    </row>
    <row r="31" spans="1:55">
      <c r="AZ31" s="301"/>
      <c r="BA31" s="301"/>
    </row>
    <row r="32" spans="1:55">
      <c r="AZ32" s="301"/>
      <c r="BA32" s="301"/>
    </row>
    <row r="33" spans="52:53">
      <c r="AZ33" s="301"/>
      <c r="BA33" s="301"/>
    </row>
    <row r="34" spans="52:53">
      <c r="AZ34" s="301"/>
      <c r="BA34" s="301"/>
    </row>
    <row r="35" spans="52:53">
      <c r="AZ35" s="301"/>
      <c r="BA35" s="301"/>
    </row>
    <row r="36" spans="52:53">
      <c r="AZ36" s="301"/>
      <c r="BA36" s="301"/>
    </row>
    <row r="37" spans="52:53">
      <c r="AZ37" s="301"/>
      <c r="BA37" s="301"/>
    </row>
    <row r="38" spans="52:53">
      <c r="AZ38" s="301"/>
      <c r="BA38" s="301"/>
    </row>
    <row r="39" spans="52:53">
      <c r="AZ39" s="301"/>
      <c r="BA39" s="301"/>
    </row>
    <row r="40" spans="52:53">
      <c r="AZ40" s="301"/>
      <c r="BA40" s="301"/>
    </row>
    <row r="41" spans="52:53">
      <c r="AZ41" s="301"/>
      <c r="BA41" s="301"/>
    </row>
    <row r="42" spans="52:53">
      <c r="AZ42" s="301"/>
      <c r="BA42" s="301"/>
    </row>
    <row r="43" spans="52:53">
      <c r="AZ43" s="301"/>
      <c r="BA43" s="301"/>
    </row>
    <row r="44" spans="52:53">
      <c r="AZ44" s="301"/>
      <c r="BA44" s="301"/>
    </row>
    <row r="45" spans="52:53">
      <c r="AZ45" s="301"/>
      <c r="BA45" s="301"/>
    </row>
    <row r="46" spans="52:53">
      <c r="AZ46" s="301"/>
      <c r="BA46" s="301"/>
    </row>
    <row r="47" spans="52:53">
      <c r="AZ47" s="301"/>
      <c r="BA47" s="301"/>
    </row>
    <row r="48" spans="52:53">
      <c r="AZ48" s="301"/>
      <c r="BA48" s="301"/>
    </row>
    <row r="49" spans="52:53">
      <c r="AZ49" s="301"/>
      <c r="BA49" s="301"/>
    </row>
    <row r="50" spans="52:53">
      <c r="AZ50" s="301"/>
      <c r="BA50" s="301"/>
    </row>
    <row r="51" spans="52:53">
      <c r="AZ51" s="301"/>
      <c r="BA51" s="301"/>
    </row>
    <row r="52" spans="52:53">
      <c r="AZ52" s="301"/>
      <c r="BA52" s="301"/>
    </row>
    <row r="53" spans="52:53">
      <c r="AZ53" s="301"/>
      <c r="BA53" s="301"/>
    </row>
    <row r="54" spans="52:53">
      <c r="AZ54" s="301"/>
      <c r="BA54" s="301"/>
    </row>
    <row r="55" spans="52:53">
      <c r="AZ55" s="301"/>
      <c r="BA55" s="301"/>
    </row>
    <row r="56" spans="52:53">
      <c r="AZ56" s="301"/>
      <c r="BA56" s="301"/>
    </row>
    <row r="57" spans="52:53">
      <c r="AZ57" s="301"/>
      <c r="BA57" s="301"/>
    </row>
    <row r="58" spans="52:53">
      <c r="AZ58" s="301"/>
      <c r="BA58" s="301"/>
    </row>
    <row r="59" spans="52:53">
      <c r="AZ59" s="301"/>
      <c r="BA59" s="301"/>
    </row>
    <row r="60" spans="52:53">
      <c r="AZ60" s="301"/>
      <c r="BA60" s="301"/>
    </row>
    <row r="61" spans="52:53">
      <c r="AZ61" s="301"/>
      <c r="BA61" s="301"/>
    </row>
    <row r="62" spans="52:53">
      <c r="AZ62" s="301"/>
      <c r="BA62" s="301"/>
    </row>
    <row r="63" spans="52:53">
      <c r="AZ63" s="301"/>
      <c r="BA63" s="301"/>
    </row>
    <row r="64" spans="52:53">
      <c r="AZ64" s="301"/>
      <c r="BA64" s="301"/>
    </row>
    <row r="65" spans="52:53">
      <c r="AZ65" s="301"/>
      <c r="BA65" s="301"/>
    </row>
    <row r="66" spans="52:53">
      <c r="AZ66" s="301"/>
      <c r="BA66" s="301"/>
    </row>
    <row r="67" spans="52:53">
      <c r="AZ67" s="301"/>
      <c r="BA67" s="301"/>
    </row>
    <row r="68" spans="52:53">
      <c r="AZ68" s="301"/>
      <c r="BA68" s="301"/>
    </row>
    <row r="69" spans="52:53">
      <c r="AZ69" s="301"/>
      <c r="BA69" s="301"/>
    </row>
    <row r="70" spans="52:53">
      <c r="AZ70" s="301"/>
      <c r="BA70" s="301"/>
    </row>
    <row r="71" spans="52:53">
      <c r="AZ71" s="301"/>
      <c r="BA71" s="301"/>
    </row>
    <row r="72" spans="52:53">
      <c r="AZ72" s="301"/>
      <c r="BA72" s="301"/>
    </row>
    <row r="73" spans="52:53">
      <c r="AZ73" s="301"/>
      <c r="BA73" s="301"/>
    </row>
    <row r="74" spans="52:53">
      <c r="AZ74" s="301"/>
      <c r="BA74" s="301"/>
    </row>
    <row r="75" spans="52:53">
      <c r="AZ75" s="301"/>
      <c r="BA75" s="301"/>
    </row>
    <row r="76" spans="52:53">
      <c r="AZ76" s="301"/>
      <c r="BA76" s="301"/>
    </row>
    <row r="77" spans="52:53">
      <c r="AZ77" s="301"/>
      <c r="BA77" s="301"/>
    </row>
    <row r="78" spans="52:53">
      <c r="AZ78" s="301"/>
      <c r="BA78" s="301"/>
    </row>
    <row r="79" spans="52:53">
      <c r="AZ79" s="301"/>
      <c r="BA79" s="301"/>
    </row>
    <row r="80" spans="52:53">
      <c r="AZ80" s="301"/>
      <c r="BA80" s="301"/>
    </row>
    <row r="81" spans="52:53">
      <c r="AZ81" s="301"/>
      <c r="BA81" s="301"/>
    </row>
    <row r="82" spans="52:53">
      <c r="AZ82" s="301"/>
      <c r="BA82" s="301"/>
    </row>
    <row r="83" spans="52:53">
      <c r="AZ83" s="301"/>
      <c r="BA83" s="301"/>
    </row>
    <row r="84" spans="52:53">
      <c r="AZ84" s="301"/>
      <c r="BA84" s="301"/>
    </row>
    <row r="85" spans="52:53">
      <c r="AZ85" s="301"/>
      <c r="BA85" s="301"/>
    </row>
    <row r="86" spans="52:53">
      <c r="AZ86" s="301"/>
      <c r="BA86" s="301"/>
    </row>
    <row r="87" spans="52:53">
      <c r="AZ87" s="301"/>
      <c r="BA87" s="301"/>
    </row>
    <row r="88" spans="52:53">
      <c r="AZ88" s="301"/>
      <c r="BA88" s="301"/>
    </row>
    <row r="89" spans="52:53">
      <c r="AZ89" s="301"/>
      <c r="BA89" s="301"/>
    </row>
    <row r="90" spans="52:53">
      <c r="AZ90" s="301"/>
      <c r="BA90" s="301"/>
    </row>
    <row r="91" spans="52:53">
      <c r="AZ91" s="301"/>
      <c r="BA91" s="301"/>
    </row>
    <row r="92" spans="52:53">
      <c r="AZ92" s="301"/>
      <c r="BA92" s="301"/>
    </row>
    <row r="93" spans="52:53">
      <c r="AZ93" s="301"/>
      <c r="BA93" s="301"/>
    </row>
    <row r="94" spans="52:53">
      <c r="AZ94" s="301"/>
      <c r="BA94" s="301"/>
    </row>
    <row r="95" spans="52:53">
      <c r="AZ95" s="301"/>
      <c r="BA95" s="301"/>
    </row>
    <row r="96" spans="52:53">
      <c r="AZ96" s="301"/>
      <c r="BA96" s="301"/>
    </row>
    <row r="97" spans="52:53">
      <c r="AZ97" s="301"/>
      <c r="BA97" s="301"/>
    </row>
    <row r="98" spans="52:53">
      <c r="AZ98" s="301"/>
      <c r="BA98" s="301"/>
    </row>
    <row r="99" spans="52:53">
      <c r="AZ99" s="301"/>
      <c r="BA99" s="301"/>
    </row>
    <row r="100" spans="52:53">
      <c r="AZ100" s="301"/>
      <c r="BA100" s="301"/>
    </row>
    <row r="101" spans="52:53">
      <c r="AZ101" s="301"/>
      <c r="BA101" s="301"/>
    </row>
    <row r="102" spans="52:53">
      <c r="AZ102" s="301"/>
      <c r="BA102" s="301"/>
    </row>
    <row r="103" spans="52:53">
      <c r="AZ103" s="301"/>
      <c r="BA103" s="301"/>
    </row>
    <row r="104" spans="52:53">
      <c r="AZ104" s="301"/>
      <c r="BA104" s="301"/>
    </row>
    <row r="105" spans="52:53">
      <c r="AZ105" s="301"/>
      <c r="BA105" s="301"/>
    </row>
    <row r="106" spans="52:53">
      <c r="AZ106" s="301"/>
      <c r="BA106" s="301"/>
    </row>
    <row r="107" spans="52:53">
      <c r="AZ107" s="301"/>
      <c r="BA107" s="301"/>
    </row>
    <row r="108" spans="52:53">
      <c r="AZ108" s="301"/>
      <c r="BA108" s="301"/>
    </row>
    <row r="109" spans="52:53">
      <c r="AZ109" s="301"/>
      <c r="BA109" s="301"/>
    </row>
    <row r="110" spans="52:53">
      <c r="AZ110" s="301"/>
      <c r="BA110" s="301"/>
    </row>
    <row r="111" spans="52:53">
      <c r="AZ111" s="301"/>
      <c r="BA111" s="301"/>
    </row>
    <row r="112" spans="52:53">
      <c r="AZ112" s="301"/>
      <c r="BA112" s="301"/>
    </row>
    <row r="113" spans="52:53">
      <c r="AZ113" s="301"/>
      <c r="BA113" s="301"/>
    </row>
    <row r="114" spans="52:53">
      <c r="AZ114" s="301"/>
      <c r="BA114" s="301"/>
    </row>
    <row r="115" spans="52:53">
      <c r="AZ115" s="301"/>
      <c r="BA115" s="301"/>
    </row>
    <row r="116" spans="52:53">
      <c r="AZ116" s="301"/>
      <c r="BA116" s="301"/>
    </row>
    <row r="117" spans="52:53">
      <c r="AZ117" s="301"/>
      <c r="BA117" s="301"/>
    </row>
    <row r="118" spans="52:53">
      <c r="AZ118" s="301"/>
      <c r="BA118" s="301"/>
    </row>
    <row r="119" spans="52:53">
      <c r="AZ119" s="301"/>
      <c r="BA119" s="301"/>
    </row>
    <row r="120" spans="52:53">
      <c r="AZ120" s="301"/>
      <c r="BA120" s="301"/>
    </row>
    <row r="121" spans="52:53">
      <c r="AZ121" s="301"/>
      <c r="BA121" s="301"/>
    </row>
    <row r="122" spans="52:53">
      <c r="AZ122" s="301"/>
      <c r="BA122" s="301"/>
    </row>
    <row r="123" spans="52:53">
      <c r="AZ123" s="301"/>
      <c r="BA123" s="301"/>
    </row>
    <row r="124" spans="52:53">
      <c r="AZ124" s="301"/>
      <c r="BA124" s="301"/>
    </row>
    <row r="125" spans="52:53">
      <c r="AZ125" s="301"/>
      <c r="BA125" s="301"/>
    </row>
    <row r="126" spans="52:53">
      <c r="AZ126" s="301"/>
      <c r="BA126" s="301"/>
    </row>
    <row r="127" spans="52:53">
      <c r="AZ127" s="301"/>
      <c r="BA127" s="301"/>
    </row>
    <row r="128" spans="52:53">
      <c r="AZ128" s="301"/>
      <c r="BA128" s="301"/>
    </row>
    <row r="129" spans="52:53">
      <c r="AZ129" s="301"/>
      <c r="BA129" s="301"/>
    </row>
    <row r="130" spans="52:53">
      <c r="AZ130" s="301"/>
      <c r="BA130" s="301"/>
    </row>
    <row r="131" spans="52:53">
      <c r="AZ131" s="301"/>
      <c r="BA131" s="301"/>
    </row>
    <row r="132" spans="52:53">
      <c r="AZ132" s="301"/>
      <c r="BA132" s="301"/>
    </row>
    <row r="133" spans="52:53">
      <c r="AZ133" s="301"/>
      <c r="BA133" s="301"/>
    </row>
    <row r="134" spans="52:53">
      <c r="AZ134" s="301"/>
      <c r="BA134" s="301"/>
    </row>
    <row r="135" spans="52:53">
      <c r="AZ135" s="301"/>
      <c r="BA135" s="301"/>
    </row>
    <row r="136" spans="52:53">
      <c r="AZ136" s="301"/>
      <c r="BA136" s="301"/>
    </row>
    <row r="137" spans="52:53">
      <c r="AZ137" s="301"/>
      <c r="BA137" s="301"/>
    </row>
    <row r="138" spans="52:53">
      <c r="AZ138" s="301"/>
      <c r="BA138" s="301"/>
    </row>
    <row r="139" spans="52:53">
      <c r="AZ139" s="301"/>
      <c r="BA139" s="301"/>
    </row>
    <row r="140" spans="52:53">
      <c r="AZ140" s="301"/>
      <c r="BA140" s="301"/>
    </row>
    <row r="141" spans="52:53">
      <c r="AZ141" s="301"/>
      <c r="BA141" s="301"/>
    </row>
    <row r="142" spans="52:53">
      <c r="AZ142" s="301"/>
      <c r="BA142" s="301"/>
    </row>
    <row r="143" spans="52:53">
      <c r="AZ143" s="301"/>
      <c r="BA143" s="301"/>
    </row>
    <row r="144" spans="52:53">
      <c r="AZ144" s="301"/>
      <c r="BA144" s="301"/>
    </row>
    <row r="145" spans="52:53">
      <c r="AZ145" s="301"/>
      <c r="BA145" s="301"/>
    </row>
    <row r="146" spans="52:53">
      <c r="AZ146" s="301"/>
      <c r="BA146" s="301"/>
    </row>
    <row r="147" spans="52:53">
      <c r="AZ147" s="301"/>
      <c r="BA147" s="301"/>
    </row>
    <row r="148" spans="52:53">
      <c r="AZ148" s="301"/>
      <c r="BA148" s="301"/>
    </row>
    <row r="149" spans="52:53">
      <c r="AZ149" s="301"/>
      <c r="BA149" s="301"/>
    </row>
    <row r="150" spans="52:53">
      <c r="AZ150" s="301"/>
      <c r="BA150" s="301"/>
    </row>
    <row r="151" spans="52:53">
      <c r="AZ151" s="301"/>
      <c r="BA151" s="301"/>
    </row>
    <row r="152" spans="52:53">
      <c r="AZ152" s="301"/>
      <c r="BA152" s="301"/>
    </row>
    <row r="153" spans="52:53">
      <c r="AZ153" s="301"/>
      <c r="BA153" s="301"/>
    </row>
    <row r="154" spans="52:53">
      <c r="AZ154" s="301"/>
      <c r="BA154" s="301"/>
    </row>
    <row r="155" spans="52:53">
      <c r="AZ155" s="301"/>
      <c r="BA155" s="301"/>
    </row>
    <row r="156" spans="52:53">
      <c r="AZ156" s="301"/>
      <c r="BA156" s="301"/>
    </row>
    <row r="157" spans="52:53">
      <c r="AZ157" s="301"/>
      <c r="BA157" s="301"/>
    </row>
    <row r="158" spans="52:53">
      <c r="AZ158" s="301"/>
      <c r="BA158" s="301"/>
    </row>
    <row r="159" spans="52:53">
      <c r="AZ159" s="301"/>
      <c r="BA159" s="301"/>
    </row>
    <row r="160" spans="52:53">
      <c r="AZ160" s="301"/>
      <c r="BA160" s="301"/>
    </row>
    <row r="161" spans="52:53">
      <c r="AZ161" s="301"/>
      <c r="BA161" s="301"/>
    </row>
    <row r="162" spans="52:53">
      <c r="AZ162" s="301"/>
      <c r="BA162" s="301"/>
    </row>
    <row r="163" spans="52:53">
      <c r="AZ163" s="301"/>
      <c r="BA163" s="301"/>
    </row>
    <row r="164" spans="52:53">
      <c r="AZ164" s="301"/>
      <c r="BA164" s="301"/>
    </row>
    <row r="165" spans="52:53">
      <c r="AZ165" s="301"/>
      <c r="BA165" s="301"/>
    </row>
    <row r="166" spans="52:53">
      <c r="AZ166" s="301"/>
      <c r="BA166" s="301"/>
    </row>
    <row r="167" spans="52:53">
      <c r="AZ167" s="301"/>
      <c r="BA167" s="301"/>
    </row>
    <row r="168" spans="52:53">
      <c r="AZ168" s="301"/>
      <c r="BA168" s="301"/>
    </row>
    <row r="169" spans="52:53">
      <c r="AZ169" s="301"/>
      <c r="BA169" s="301"/>
    </row>
    <row r="170" spans="52:53">
      <c r="AZ170" s="301"/>
      <c r="BA170" s="301"/>
    </row>
    <row r="171" spans="52:53">
      <c r="AZ171" s="301"/>
      <c r="BA171" s="301"/>
    </row>
    <row r="172" spans="52:53">
      <c r="AZ172" s="301"/>
      <c r="BA172" s="301"/>
    </row>
    <row r="173" spans="52:53">
      <c r="AZ173" s="301"/>
      <c r="BA173" s="301"/>
    </row>
    <row r="174" spans="52:53">
      <c r="AZ174" s="301"/>
      <c r="BA174" s="301"/>
    </row>
    <row r="175" spans="52:53">
      <c r="AZ175" s="301"/>
      <c r="BA175" s="301"/>
    </row>
    <row r="176" spans="52:53">
      <c r="AZ176" s="301"/>
      <c r="BA176" s="301"/>
    </row>
    <row r="177" spans="52:53">
      <c r="AZ177" s="301"/>
      <c r="BA177" s="301"/>
    </row>
    <row r="178" spans="52:53">
      <c r="AZ178" s="301"/>
      <c r="BA178" s="301"/>
    </row>
    <row r="179" spans="52:53">
      <c r="AZ179" s="301"/>
      <c r="BA179" s="301"/>
    </row>
    <row r="180" spans="52:53">
      <c r="AZ180" s="301"/>
      <c r="BA180" s="301"/>
    </row>
    <row r="181" spans="52:53">
      <c r="AZ181" s="301"/>
      <c r="BA181" s="301"/>
    </row>
    <row r="182" spans="52:53">
      <c r="AZ182" s="301"/>
      <c r="BA182" s="301"/>
    </row>
    <row r="183" spans="52:53">
      <c r="AZ183" s="301"/>
      <c r="BA183" s="301"/>
    </row>
    <row r="184" spans="52:53">
      <c r="AZ184" s="301"/>
      <c r="BA184" s="301"/>
    </row>
    <row r="185" spans="52:53">
      <c r="AZ185" s="301"/>
      <c r="BA185" s="301"/>
    </row>
    <row r="186" spans="52:53">
      <c r="AZ186" s="301"/>
      <c r="BA186" s="301"/>
    </row>
    <row r="187" spans="52:53">
      <c r="AZ187" s="301"/>
      <c r="BA187" s="301"/>
    </row>
    <row r="188" spans="52:53">
      <c r="AZ188" s="301"/>
      <c r="BA188" s="301"/>
    </row>
    <row r="189" spans="52:53">
      <c r="AZ189" s="301"/>
      <c r="BA189" s="301"/>
    </row>
    <row r="190" spans="52:53">
      <c r="AZ190" s="301"/>
      <c r="BA190" s="301"/>
    </row>
    <row r="191" spans="52:53">
      <c r="AZ191" s="301"/>
      <c r="BA191" s="301"/>
    </row>
    <row r="192" spans="52:53">
      <c r="AZ192" s="301"/>
      <c r="BA192" s="301"/>
    </row>
    <row r="193" spans="52:53">
      <c r="AZ193" s="301"/>
      <c r="BA193" s="301"/>
    </row>
    <row r="194" spans="52:53">
      <c r="AZ194" s="301"/>
      <c r="BA194" s="301"/>
    </row>
    <row r="195" spans="52:53">
      <c r="AZ195" s="301"/>
      <c r="BA195" s="301"/>
    </row>
    <row r="196" spans="52:53">
      <c r="AZ196" s="301"/>
      <c r="BA196" s="301"/>
    </row>
    <row r="197" spans="52:53">
      <c r="AZ197" s="301"/>
      <c r="BA197" s="301"/>
    </row>
    <row r="198" spans="52:53">
      <c r="AZ198" s="301"/>
      <c r="BA198" s="301"/>
    </row>
    <row r="199" spans="52:53">
      <c r="AZ199" s="301"/>
      <c r="BA199" s="301"/>
    </row>
    <row r="200" spans="52:53">
      <c r="AZ200" s="301"/>
      <c r="BA200" s="301"/>
    </row>
    <row r="201" spans="52:53">
      <c r="AZ201" s="301"/>
      <c r="BA201" s="301"/>
    </row>
    <row r="202" spans="52:53">
      <c r="AZ202" s="301"/>
      <c r="BA202" s="301"/>
    </row>
    <row r="203" spans="52:53">
      <c r="AZ203" s="301"/>
      <c r="BA203" s="301"/>
    </row>
    <row r="204" spans="52:53">
      <c r="AZ204" s="301"/>
      <c r="BA204" s="301"/>
    </row>
    <row r="205" spans="52:53">
      <c r="AZ205" s="301"/>
      <c r="BA205" s="301"/>
    </row>
    <row r="206" spans="52:53">
      <c r="AZ206" s="301"/>
      <c r="BA206" s="301"/>
    </row>
    <row r="207" spans="52:53">
      <c r="AZ207" s="301"/>
      <c r="BA207" s="301"/>
    </row>
    <row r="208" spans="52:53">
      <c r="AZ208" s="301"/>
      <c r="BA208" s="301"/>
    </row>
    <row r="209" spans="52:53">
      <c r="AZ209" s="301"/>
      <c r="BA209" s="301"/>
    </row>
    <row r="210" spans="52:53">
      <c r="AZ210" s="301"/>
      <c r="BA210" s="301"/>
    </row>
    <row r="211" spans="52:53">
      <c r="AZ211" s="301"/>
      <c r="BA211" s="301"/>
    </row>
    <row r="212" spans="52:53">
      <c r="AZ212" s="301"/>
      <c r="BA212" s="301"/>
    </row>
    <row r="213" spans="52:53">
      <c r="AZ213" s="301"/>
      <c r="BA213" s="301"/>
    </row>
    <row r="214" spans="52:53">
      <c r="AZ214" s="301"/>
      <c r="BA214" s="301"/>
    </row>
    <row r="215" spans="52:53">
      <c r="AZ215" s="301"/>
      <c r="BA215" s="301"/>
    </row>
    <row r="216" spans="52:53">
      <c r="AZ216" s="301"/>
      <c r="BA216" s="301"/>
    </row>
    <row r="217" spans="52:53">
      <c r="AZ217" s="301"/>
      <c r="BA217" s="301"/>
    </row>
    <row r="218" spans="52:53">
      <c r="AZ218" s="301"/>
      <c r="BA218" s="301"/>
    </row>
    <row r="219" spans="52:53">
      <c r="AZ219" s="301"/>
      <c r="BA219" s="301"/>
    </row>
    <row r="220" spans="52:53">
      <c r="AZ220" s="301"/>
      <c r="BA220" s="301"/>
    </row>
    <row r="221" spans="52:53">
      <c r="AZ221" s="301"/>
      <c r="BA221" s="301"/>
    </row>
    <row r="222" spans="52:53">
      <c r="AZ222" s="301"/>
      <c r="BA222" s="301"/>
    </row>
    <row r="223" spans="52:53">
      <c r="AZ223" s="301"/>
      <c r="BA223" s="301"/>
    </row>
    <row r="224" spans="52:53">
      <c r="AZ224" s="301"/>
      <c r="BA224" s="301"/>
    </row>
    <row r="225" spans="52:53">
      <c r="AZ225" s="301"/>
      <c r="BA225" s="301"/>
    </row>
    <row r="226" spans="52:53">
      <c r="AZ226" s="301"/>
      <c r="BA226" s="301"/>
    </row>
    <row r="227" spans="52:53">
      <c r="AZ227" s="301"/>
      <c r="BA227" s="301"/>
    </row>
    <row r="228" spans="52:53">
      <c r="AZ228" s="301"/>
      <c r="BA228" s="301"/>
    </row>
    <row r="229" spans="52:53">
      <c r="AZ229" s="301"/>
      <c r="BA229" s="301"/>
    </row>
    <row r="230" spans="52:53">
      <c r="AZ230" s="301"/>
      <c r="BA230" s="301"/>
    </row>
    <row r="231" spans="52:53">
      <c r="AZ231" s="301"/>
      <c r="BA231" s="301"/>
    </row>
    <row r="232" spans="52:53">
      <c r="AZ232" s="301"/>
      <c r="BA232" s="301"/>
    </row>
    <row r="233" spans="52:53">
      <c r="AZ233" s="301"/>
      <c r="BA233" s="301"/>
    </row>
    <row r="234" spans="52:53">
      <c r="AZ234" s="301"/>
      <c r="BA234" s="301"/>
    </row>
    <row r="235" spans="52:53">
      <c r="AZ235" s="301"/>
      <c r="BA235" s="301"/>
    </row>
    <row r="236" spans="52:53">
      <c r="AZ236" s="301"/>
      <c r="BA236" s="301"/>
    </row>
    <row r="237" spans="52:53">
      <c r="AZ237" s="301"/>
      <c r="BA237" s="301"/>
    </row>
    <row r="238" spans="52:53">
      <c r="AZ238" s="301"/>
      <c r="BA238" s="301"/>
    </row>
    <row r="239" spans="52:53">
      <c r="AZ239" s="301"/>
      <c r="BA239" s="301"/>
    </row>
    <row r="240" spans="52:53">
      <c r="AZ240" s="301"/>
      <c r="BA240" s="301"/>
    </row>
    <row r="241" spans="52:53">
      <c r="AZ241" s="301"/>
      <c r="BA241" s="301"/>
    </row>
    <row r="242" spans="52:53">
      <c r="AZ242" s="301"/>
      <c r="BA242" s="301"/>
    </row>
    <row r="243" spans="52:53">
      <c r="AZ243" s="301"/>
      <c r="BA243" s="301"/>
    </row>
    <row r="244" spans="52:53">
      <c r="AZ244" s="301"/>
      <c r="BA244" s="301"/>
    </row>
    <row r="245" spans="52:53">
      <c r="AZ245" s="301"/>
      <c r="BA245" s="301"/>
    </row>
    <row r="246" spans="52:53">
      <c r="AZ246" s="301"/>
      <c r="BA246" s="301"/>
    </row>
    <row r="247" spans="52:53">
      <c r="AZ247" s="301"/>
      <c r="BA247" s="301"/>
    </row>
    <row r="248" spans="52:53">
      <c r="AZ248" s="301"/>
      <c r="BA248" s="301"/>
    </row>
    <row r="249" spans="52:53">
      <c r="AZ249" s="301"/>
      <c r="BA249" s="301"/>
    </row>
    <row r="250" spans="52:53">
      <c r="AZ250" s="301"/>
      <c r="BA250" s="301"/>
    </row>
    <row r="251" spans="52:53">
      <c r="AZ251" s="301"/>
      <c r="BA251" s="301"/>
    </row>
    <row r="252" spans="52:53">
      <c r="AZ252" s="301"/>
      <c r="BA252" s="301"/>
    </row>
    <row r="253" spans="52:53">
      <c r="AZ253" s="301"/>
      <c r="BA253" s="301"/>
    </row>
    <row r="254" spans="52:53">
      <c r="AZ254" s="301"/>
      <c r="BA254" s="301"/>
    </row>
    <row r="255" spans="52:53">
      <c r="AZ255" s="301"/>
      <c r="BA255" s="301"/>
    </row>
    <row r="256" spans="52:53">
      <c r="AZ256" s="301"/>
      <c r="BA256" s="301"/>
    </row>
    <row r="257" spans="52:53">
      <c r="AZ257" s="301"/>
      <c r="BA257" s="301"/>
    </row>
    <row r="258" spans="52:53">
      <c r="AZ258" s="301"/>
      <c r="BA258" s="301"/>
    </row>
    <row r="259" spans="52:53">
      <c r="AZ259" s="301"/>
      <c r="BA259" s="301"/>
    </row>
    <row r="260" spans="52:53">
      <c r="AZ260" s="301"/>
      <c r="BA260" s="301"/>
    </row>
    <row r="261" spans="52:53">
      <c r="AZ261" s="301"/>
      <c r="BA261" s="301"/>
    </row>
    <row r="262" spans="52:53">
      <c r="AZ262" s="301"/>
      <c r="BA262" s="301"/>
    </row>
    <row r="263" spans="52:53">
      <c r="AZ263" s="301"/>
      <c r="BA263" s="301"/>
    </row>
    <row r="264" spans="52:53">
      <c r="AZ264" s="301"/>
      <c r="BA264" s="301"/>
    </row>
    <row r="265" spans="52:53">
      <c r="AZ265" s="301"/>
      <c r="BA265" s="301"/>
    </row>
    <row r="266" spans="52:53">
      <c r="AZ266" s="301"/>
      <c r="BA266" s="301"/>
    </row>
    <row r="267" spans="52:53">
      <c r="AZ267" s="301"/>
      <c r="BA267" s="301"/>
    </row>
    <row r="268" spans="52:53">
      <c r="AZ268" s="301"/>
      <c r="BA268" s="301"/>
    </row>
    <row r="269" spans="52:53">
      <c r="AZ269" s="301"/>
      <c r="BA269" s="301"/>
    </row>
    <row r="270" spans="52:53">
      <c r="AZ270" s="301"/>
      <c r="BA270" s="301"/>
    </row>
    <row r="271" spans="52:53">
      <c r="AZ271" s="301"/>
      <c r="BA271" s="301"/>
    </row>
    <row r="272" spans="52:53">
      <c r="AZ272" s="301"/>
      <c r="BA272" s="301"/>
    </row>
    <row r="273" spans="52:53">
      <c r="AZ273" s="301"/>
      <c r="BA273" s="301"/>
    </row>
    <row r="274" spans="52:53">
      <c r="AZ274" s="301"/>
      <c r="BA274" s="301"/>
    </row>
    <row r="275" spans="52:53">
      <c r="AZ275" s="301"/>
      <c r="BA275" s="301"/>
    </row>
    <row r="276" spans="52:53">
      <c r="AZ276" s="301"/>
      <c r="BA276" s="301"/>
    </row>
    <row r="277" spans="52:53">
      <c r="AZ277" s="301"/>
      <c r="BA277" s="301"/>
    </row>
    <row r="278" spans="52:53">
      <c r="AZ278" s="301"/>
      <c r="BA278" s="301"/>
    </row>
    <row r="279" spans="52:53">
      <c r="AZ279" s="301"/>
      <c r="BA279" s="301"/>
    </row>
    <row r="280" spans="52:53">
      <c r="AZ280" s="301"/>
      <c r="BA280" s="301"/>
    </row>
    <row r="281" spans="52:53">
      <c r="AZ281" s="301"/>
      <c r="BA281" s="301"/>
    </row>
    <row r="282" spans="52:53">
      <c r="AZ282" s="301"/>
      <c r="BA282" s="301"/>
    </row>
    <row r="283" spans="52:53">
      <c r="AZ283" s="301"/>
      <c r="BA283" s="301"/>
    </row>
    <row r="284" spans="52:53">
      <c r="AZ284" s="301"/>
      <c r="BA284" s="301"/>
    </row>
    <row r="285" spans="52:53">
      <c r="AZ285" s="301"/>
      <c r="BA285" s="301"/>
    </row>
    <row r="286" spans="52:53">
      <c r="AZ286" s="301"/>
      <c r="BA286" s="301"/>
    </row>
    <row r="287" spans="52:53">
      <c r="AZ287" s="301"/>
      <c r="BA287" s="301"/>
    </row>
    <row r="288" spans="52:53">
      <c r="AZ288" s="301"/>
      <c r="BA288" s="301"/>
    </row>
    <row r="289" spans="52:53">
      <c r="AZ289" s="301"/>
      <c r="BA289" s="301"/>
    </row>
    <row r="290" spans="52:53">
      <c r="AZ290" s="301"/>
      <c r="BA290" s="301"/>
    </row>
    <row r="291" spans="52:53">
      <c r="AZ291" s="301"/>
      <c r="BA291" s="301"/>
    </row>
    <row r="292" spans="52:53">
      <c r="AZ292" s="301"/>
      <c r="BA292" s="301"/>
    </row>
    <row r="293" spans="52:53">
      <c r="AZ293" s="301"/>
      <c r="BA293" s="301"/>
    </row>
    <row r="294" spans="52:53">
      <c r="AZ294" s="301"/>
      <c r="BA294" s="301"/>
    </row>
    <row r="295" spans="52:53">
      <c r="AZ295" s="301"/>
      <c r="BA295" s="301"/>
    </row>
    <row r="296" spans="52:53">
      <c r="AZ296" s="301"/>
      <c r="BA296" s="301"/>
    </row>
    <row r="297" spans="52:53">
      <c r="AZ297" s="301"/>
      <c r="BA297" s="301"/>
    </row>
    <row r="298" spans="52:53">
      <c r="AZ298" s="301"/>
      <c r="BA298" s="301"/>
    </row>
    <row r="299" spans="52:53">
      <c r="AZ299" s="301"/>
      <c r="BA299" s="301"/>
    </row>
    <row r="300" spans="52:53">
      <c r="AZ300" s="301"/>
      <c r="BA300" s="301"/>
    </row>
    <row r="301" spans="52:53">
      <c r="AZ301" s="301"/>
      <c r="BA301" s="301"/>
    </row>
    <row r="302" spans="52:53">
      <c r="AZ302" s="301"/>
      <c r="BA302" s="301"/>
    </row>
    <row r="303" spans="52:53">
      <c r="AZ303" s="301"/>
      <c r="BA303" s="301"/>
    </row>
    <row r="304" spans="52:53">
      <c r="AZ304" s="301"/>
      <c r="BA304" s="301"/>
    </row>
    <row r="305" spans="52:53">
      <c r="AZ305" s="301"/>
      <c r="BA305" s="301"/>
    </row>
    <row r="306" spans="52:53">
      <c r="AZ306" s="301"/>
      <c r="BA306" s="301"/>
    </row>
    <row r="307" spans="52:53">
      <c r="AZ307" s="301"/>
      <c r="BA307" s="301"/>
    </row>
    <row r="308" spans="52:53">
      <c r="AZ308" s="301"/>
      <c r="BA308" s="301"/>
    </row>
    <row r="309" spans="52:53">
      <c r="AZ309" s="301"/>
      <c r="BA309" s="301"/>
    </row>
    <row r="310" spans="52:53">
      <c r="AZ310" s="301"/>
      <c r="BA310" s="301"/>
    </row>
    <row r="311" spans="52:53">
      <c r="AZ311" s="301"/>
      <c r="BA311" s="301"/>
    </row>
    <row r="312" spans="52:53">
      <c r="AZ312" s="301"/>
      <c r="BA312" s="301"/>
    </row>
    <row r="313" spans="52:53">
      <c r="AZ313" s="301"/>
      <c r="BA313" s="301"/>
    </row>
    <row r="314" spans="52:53">
      <c r="AZ314" s="301"/>
      <c r="BA314" s="301"/>
    </row>
    <row r="315" spans="52:53">
      <c r="AZ315" s="301"/>
      <c r="BA315" s="301"/>
    </row>
    <row r="316" spans="52:53">
      <c r="AZ316" s="301"/>
      <c r="BA316" s="301"/>
    </row>
    <row r="317" spans="52:53">
      <c r="AZ317" s="301"/>
      <c r="BA317" s="301"/>
    </row>
    <row r="318" spans="52:53">
      <c r="AZ318" s="301"/>
      <c r="BA318" s="301"/>
    </row>
    <row r="319" spans="52:53">
      <c r="AZ319" s="301"/>
      <c r="BA319" s="301"/>
    </row>
    <row r="320" spans="52:53">
      <c r="AZ320" s="301"/>
      <c r="BA320" s="301"/>
    </row>
    <row r="321" spans="52:53">
      <c r="AZ321" s="301"/>
      <c r="BA321" s="301"/>
    </row>
    <row r="322" spans="52:53">
      <c r="AZ322" s="301"/>
      <c r="BA322" s="301"/>
    </row>
    <row r="323" spans="52:53">
      <c r="AZ323" s="301"/>
      <c r="BA323" s="301"/>
    </row>
    <row r="324" spans="52:53">
      <c r="AZ324" s="301"/>
      <c r="BA324" s="301"/>
    </row>
    <row r="325" spans="52:53">
      <c r="AZ325" s="301"/>
      <c r="BA325" s="301"/>
    </row>
    <row r="326" spans="52:53">
      <c r="AZ326" s="301"/>
      <c r="BA326" s="301"/>
    </row>
    <row r="327" spans="52:53">
      <c r="AZ327" s="301"/>
      <c r="BA327" s="301"/>
    </row>
    <row r="328" spans="52:53">
      <c r="AZ328" s="301"/>
      <c r="BA328" s="301"/>
    </row>
    <row r="329" spans="52:53">
      <c r="AZ329" s="301"/>
      <c r="BA329" s="301"/>
    </row>
    <row r="330" spans="52:53">
      <c r="AZ330" s="301"/>
      <c r="BA330" s="301"/>
    </row>
    <row r="331" spans="52:53">
      <c r="AZ331" s="301"/>
      <c r="BA331" s="301"/>
    </row>
    <row r="332" spans="52:53">
      <c r="AZ332" s="301"/>
      <c r="BA332" s="301"/>
    </row>
    <row r="333" spans="52:53">
      <c r="AZ333" s="301"/>
      <c r="BA333" s="301"/>
    </row>
    <row r="334" spans="52:53">
      <c r="AZ334" s="301"/>
      <c r="BA334" s="301"/>
    </row>
    <row r="335" spans="52:53">
      <c r="AZ335" s="301"/>
      <c r="BA335" s="301"/>
    </row>
    <row r="336" spans="52:53">
      <c r="AZ336" s="301"/>
      <c r="BA336" s="301"/>
    </row>
    <row r="337" spans="52:53">
      <c r="AZ337" s="301"/>
      <c r="BA337" s="301"/>
    </row>
    <row r="338" spans="52:53">
      <c r="AZ338" s="301"/>
      <c r="BA338" s="301"/>
    </row>
    <row r="339" spans="52:53">
      <c r="AZ339" s="301"/>
      <c r="BA339" s="301"/>
    </row>
    <row r="340" spans="52:53">
      <c r="AZ340" s="301"/>
      <c r="BA340" s="301"/>
    </row>
    <row r="341" spans="52:53">
      <c r="AZ341" s="301"/>
      <c r="BA341" s="301"/>
    </row>
    <row r="342" spans="52:53">
      <c r="AZ342" s="301"/>
      <c r="BA342" s="301"/>
    </row>
    <row r="343" spans="52:53">
      <c r="AZ343" s="301"/>
      <c r="BA343" s="301"/>
    </row>
    <row r="344" spans="52:53">
      <c r="AZ344" s="301"/>
      <c r="BA344" s="301"/>
    </row>
    <row r="345" spans="52:53">
      <c r="AZ345" s="301"/>
      <c r="BA345" s="301"/>
    </row>
    <row r="346" spans="52:53">
      <c r="AZ346" s="301"/>
      <c r="BA346" s="301"/>
    </row>
    <row r="347" spans="52:53">
      <c r="AZ347" s="301"/>
      <c r="BA347" s="301"/>
    </row>
    <row r="348" spans="52:53">
      <c r="AZ348" s="301"/>
      <c r="BA348" s="301"/>
    </row>
    <row r="349" spans="52:53">
      <c r="AZ349" s="301"/>
      <c r="BA349" s="301"/>
    </row>
    <row r="350" spans="52:53">
      <c r="AZ350" s="301"/>
      <c r="BA350" s="301"/>
    </row>
    <row r="351" spans="52:53">
      <c r="AZ351" s="301"/>
      <c r="BA351" s="301"/>
    </row>
    <row r="352" spans="52:53">
      <c r="AZ352" s="301"/>
      <c r="BA352" s="301"/>
    </row>
    <row r="353" spans="52:53">
      <c r="AZ353" s="301"/>
      <c r="BA353" s="301"/>
    </row>
    <row r="354" spans="52:53">
      <c r="AZ354" s="301"/>
      <c r="BA354" s="301"/>
    </row>
    <row r="355" spans="52:53">
      <c r="AZ355" s="301"/>
      <c r="BA355" s="301"/>
    </row>
    <row r="356" spans="52:53">
      <c r="AZ356" s="301"/>
      <c r="BA356" s="301"/>
    </row>
    <row r="357" spans="52:53">
      <c r="AZ357" s="301"/>
      <c r="BA357" s="301"/>
    </row>
    <row r="358" spans="52:53">
      <c r="AZ358" s="301"/>
      <c r="BA358" s="301"/>
    </row>
    <row r="359" spans="52:53">
      <c r="AZ359" s="301"/>
      <c r="BA359" s="301"/>
    </row>
    <row r="360" spans="52:53">
      <c r="AZ360" s="301"/>
      <c r="BA360" s="301"/>
    </row>
    <row r="361" spans="52:53">
      <c r="AZ361" s="301"/>
      <c r="BA361" s="301"/>
    </row>
    <row r="362" spans="52:53">
      <c r="AZ362" s="301"/>
      <c r="BA362" s="301"/>
    </row>
    <row r="363" spans="52:53">
      <c r="AZ363" s="301"/>
      <c r="BA363" s="301"/>
    </row>
    <row r="364" spans="52:53">
      <c r="AZ364" s="301"/>
      <c r="BA364" s="301"/>
    </row>
    <row r="365" spans="52:53">
      <c r="AZ365" s="301"/>
      <c r="BA365" s="301"/>
    </row>
    <row r="366" spans="52:53">
      <c r="AZ366" s="301"/>
      <c r="BA366" s="301"/>
    </row>
    <row r="367" spans="52:53">
      <c r="AZ367" s="301"/>
      <c r="BA367" s="301"/>
    </row>
    <row r="368" spans="52:53">
      <c r="AZ368" s="301"/>
      <c r="BA368" s="301"/>
    </row>
    <row r="369" spans="52:53">
      <c r="AZ369" s="301"/>
      <c r="BA369" s="301"/>
    </row>
    <row r="370" spans="52:53">
      <c r="AZ370" s="301"/>
      <c r="BA370" s="301"/>
    </row>
    <row r="371" spans="52:53">
      <c r="AZ371" s="301"/>
      <c r="BA371" s="301"/>
    </row>
    <row r="372" spans="52:53">
      <c r="AZ372" s="301"/>
      <c r="BA372" s="301"/>
    </row>
    <row r="373" spans="52:53">
      <c r="AZ373" s="301"/>
      <c r="BA373" s="301"/>
    </row>
    <row r="374" spans="52:53">
      <c r="AZ374" s="301"/>
      <c r="BA374" s="301"/>
    </row>
    <row r="375" spans="52:53">
      <c r="AZ375" s="301"/>
      <c r="BA375" s="301"/>
    </row>
    <row r="376" spans="52:53">
      <c r="AZ376" s="301"/>
      <c r="BA376" s="301"/>
    </row>
    <row r="377" spans="52:53">
      <c r="AZ377" s="301"/>
      <c r="BA377" s="301"/>
    </row>
    <row r="378" spans="52:53">
      <c r="AZ378" s="301"/>
      <c r="BA378" s="301"/>
    </row>
    <row r="379" spans="52:53">
      <c r="AZ379" s="301"/>
      <c r="BA379" s="301"/>
    </row>
    <row r="380" spans="52:53">
      <c r="AZ380" s="301"/>
      <c r="BA380" s="301"/>
    </row>
    <row r="381" spans="52:53">
      <c r="AZ381" s="301"/>
      <c r="BA381" s="301"/>
    </row>
    <row r="382" spans="52:53">
      <c r="AZ382" s="301"/>
      <c r="BA382" s="301"/>
    </row>
    <row r="383" spans="52:53">
      <c r="AZ383" s="301"/>
      <c r="BA383" s="301"/>
    </row>
    <row r="384" spans="52:53">
      <c r="AZ384" s="301"/>
      <c r="BA384" s="301"/>
    </row>
    <row r="385" spans="52:53">
      <c r="AZ385" s="301"/>
      <c r="BA385" s="301"/>
    </row>
    <row r="386" spans="52:53">
      <c r="AZ386" s="301"/>
      <c r="BA386" s="301"/>
    </row>
    <row r="387" spans="52:53">
      <c r="AZ387" s="301"/>
      <c r="BA387" s="301"/>
    </row>
    <row r="388" spans="52:53">
      <c r="AZ388" s="301"/>
      <c r="BA388" s="301"/>
    </row>
    <row r="389" spans="52:53">
      <c r="AZ389" s="301"/>
      <c r="BA389" s="301"/>
    </row>
    <row r="390" spans="52:53">
      <c r="AZ390" s="301"/>
      <c r="BA390" s="301"/>
    </row>
    <row r="391" spans="52:53">
      <c r="AZ391" s="301"/>
      <c r="BA391" s="301"/>
    </row>
    <row r="392" spans="52:53">
      <c r="AZ392" s="301"/>
      <c r="BA392" s="301"/>
    </row>
    <row r="393" spans="52:53">
      <c r="AZ393" s="301"/>
      <c r="BA393" s="301"/>
    </row>
    <row r="394" spans="52:53">
      <c r="AZ394" s="301"/>
      <c r="BA394" s="301"/>
    </row>
    <row r="395" spans="52:53">
      <c r="AZ395" s="301"/>
      <c r="BA395" s="301"/>
    </row>
    <row r="396" spans="52:53">
      <c r="AZ396" s="301"/>
      <c r="BA396" s="301"/>
    </row>
    <row r="397" spans="52:53">
      <c r="AZ397" s="301"/>
      <c r="BA397" s="301"/>
    </row>
    <row r="398" spans="52:53">
      <c r="AZ398" s="301"/>
      <c r="BA398" s="301"/>
    </row>
    <row r="399" spans="52:53">
      <c r="AZ399" s="301"/>
      <c r="BA399" s="301"/>
    </row>
    <row r="400" spans="52:53">
      <c r="AZ400" s="301"/>
      <c r="BA400" s="301"/>
    </row>
    <row r="401" spans="52:53">
      <c r="AZ401" s="301"/>
      <c r="BA401" s="301"/>
    </row>
    <row r="402" spans="52:53">
      <c r="AZ402" s="301"/>
      <c r="BA402" s="301"/>
    </row>
    <row r="403" spans="52:53">
      <c r="AZ403" s="301"/>
      <c r="BA403" s="301"/>
    </row>
    <row r="404" spans="52:53">
      <c r="AZ404" s="301"/>
      <c r="BA404" s="301"/>
    </row>
    <row r="405" spans="52:53">
      <c r="AZ405" s="301"/>
      <c r="BA405" s="301"/>
    </row>
    <row r="406" spans="52:53">
      <c r="AZ406" s="301"/>
      <c r="BA406" s="301"/>
    </row>
    <row r="407" spans="52:53">
      <c r="AZ407" s="301"/>
      <c r="BA407" s="301"/>
    </row>
    <row r="408" spans="52:53">
      <c r="AZ408" s="301"/>
      <c r="BA408" s="301"/>
    </row>
    <row r="409" spans="52:53">
      <c r="AZ409" s="301"/>
      <c r="BA409" s="301"/>
    </row>
    <row r="410" spans="52:53">
      <c r="AZ410" s="301"/>
      <c r="BA410" s="301"/>
    </row>
    <row r="411" spans="52:53">
      <c r="AZ411" s="301"/>
      <c r="BA411" s="301"/>
    </row>
    <row r="412" spans="52:53">
      <c r="AZ412" s="301"/>
      <c r="BA412" s="301"/>
    </row>
    <row r="413" spans="52:53">
      <c r="AZ413" s="301"/>
      <c r="BA413" s="301"/>
    </row>
  </sheetData>
  <pageMargins left="0.75" right="0.75" top="1" bottom="1" header="0.5" footer="0.5"/>
  <pageSetup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110"/>
  <sheetViews>
    <sheetView zoomScaleNormal="100" workbookViewId="0">
      <pane ySplit="2" topLeftCell="A3" activePane="bottomLeft" state="frozen"/>
      <selection activeCell="A11" sqref="A11"/>
      <selection pane="bottomLeft" activeCell="A11" sqref="A11"/>
    </sheetView>
  </sheetViews>
  <sheetFormatPr defaultColWidth="19.28515625" defaultRowHeight="12.75"/>
  <cols>
    <col min="1" max="1" width="5.5703125" style="306" customWidth="1"/>
    <col min="2" max="2" width="50.42578125" style="306" customWidth="1"/>
    <col min="3" max="3" width="15.7109375" style="306" customWidth="1"/>
    <col min="4" max="5" width="12" style="306" customWidth="1"/>
    <col min="6" max="6" width="19.28515625" style="306"/>
    <col min="7" max="7" width="20.42578125" style="306" bestFit="1" customWidth="1"/>
    <col min="8" max="16384" width="19.28515625" style="306"/>
  </cols>
  <sheetData>
    <row r="1" spans="1:6" ht="17.100000000000001" customHeight="1" thickBot="1">
      <c r="A1" s="304"/>
      <c r="B1" s="304"/>
      <c r="C1" s="304"/>
      <c r="D1" s="304"/>
      <c r="E1" s="305"/>
    </row>
    <row r="2" spans="1:6" s="308" customFormat="1" ht="17.100000000000001" customHeight="1" thickBot="1">
      <c r="A2" s="307"/>
      <c r="B2" s="307"/>
      <c r="C2" s="307"/>
      <c r="D2" s="385" t="s">
        <v>370</v>
      </c>
      <c r="E2" s="386"/>
    </row>
    <row r="3" spans="1:6" s="308" customFormat="1" ht="17.100000000000001" customHeight="1">
      <c r="A3" s="309" t="s">
        <v>371</v>
      </c>
      <c r="B3" s="310"/>
      <c r="C3" s="310"/>
      <c r="D3" s="310"/>
      <c r="E3" s="311"/>
    </row>
    <row r="4" spans="1:6" s="313" customFormat="1" ht="17.100000000000001" customHeight="1">
      <c r="A4" s="309" t="s">
        <v>372</v>
      </c>
      <c r="B4" s="310"/>
      <c r="C4" s="312"/>
      <c r="D4" s="310"/>
      <c r="E4" s="310"/>
    </row>
    <row r="5" spans="1:6" s="308" customFormat="1" ht="17.100000000000001" customHeight="1">
      <c r="A5" s="314" t="s">
        <v>373</v>
      </c>
      <c r="B5" s="315"/>
      <c r="C5" s="316"/>
      <c r="D5" s="315"/>
      <c r="E5" s="317"/>
    </row>
    <row r="6" spans="1:6" s="308" customFormat="1" ht="17.100000000000001" customHeight="1">
      <c r="A6" s="314" t="s">
        <v>374</v>
      </c>
      <c r="B6" s="317"/>
      <c r="C6" s="316"/>
      <c r="D6" s="315"/>
      <c r="E6" s="318"/>
    </row>
    <row r="7" spans="1:6" ht="17.100000000000001" customHeight="1">
      <c r="A7" s="310" t="s">
        <v>375</v>
      </c>
      <c r="B7" s="310"/>
      <c r="C7" s="310"/>
      <c r="D7" s="310"/>
      <c r="E7" s="310"/>
    </row>
    <row r="8" spans="1:6" ht="17.100000000000001" customHeight="1">
      <c r="A8" s="309"/>
      <c r="B8" s="310"/>
      <c r="C8" s="310"/>
      <c r="D8" s="310"/>
      <c r="E8" s="310"/>
    </row>
    <row r="9" spans="1:6" ht="17.100000000000001" customHeight="1">
      <c r="A9" s="307"/>
      <c r="B9" s="307"/>
      <c r="C9" s="307"/>
      <c r="D9" s="307"/>
      <c r="E9" s="307"/>
    </row>
    <row r="10" spans="1:6" ht="17.100000000000001" customHeight="1">
      <c r="A10" s="307"/>
      <c r="B10" s="307"/>
      <c r="C10" s="307"/>
      <c r="D10" s="307"/>
      <c r="E10" s="307"/>
    </row>
    <row r="11" spans="1:6" ht="17.100000000000001" customHeight="1">
      <c r="A11" s="319" t="s">
        <v>376</v>
      </c>
      <c r="B11" s="307"/>
      <c r="C11" s="319" t="s">
        <v>377</v>
      </c>
      <c r="D11" s="319"/>
      <c r="E11" s="319" t="s">
        <v>378</v>
      </c>
    </row>
    <row r="12" spans="1:6" s="323" customFormat="1" ht="17.100000000000001" customHeight="1">
      <c r="A12" s="320" t="s">
        <v>379</v>
      </c>
      <c r="B12" s="321" t="s">
        <v>380</v>
      </c>
      <c r="C12" s="320" t="s">
        <v>381</v>
      </c>
      <c r="D12" s="320" t="s">
        <v>382</v>
      </c>
      <c r="E12" s="320" t="s">
        <v>383</v>
      </c>
      <c r="F12" s="322"/>
    </row>
    <row r="13" spans="1:6" s="323" customFormat="1" ht="17.100000000000001" customHeight="1">
      <c r="A13" s="324"/>
      <c r="B13" s="324"/>
      <c r="C13" s="324"/>
      <c r="D13" s="324"/>
      <c r="E13" s="324"/>
      <c r="F13" s="322"/>
    </row>
    <row r="14" spans="1:6" s="323" customFormat="1" ht="17.100000000000001" customHeight="1">
      <c r="A14" s="325">
        <v>1</v>
      </c>
      <c r="B14" s="326"/>
      <c r="C14" s="327"/>
      <c r="D14" s="327"/>
      <c r="E14" s="327"/>
      <c r="F14" s="322"/>
    </row>
    <row r="15" spans="1:6" s="323" customFormat="1" ht="17.100000000000001" customHeight="1">
      <c r="A15" s="325">
        <v>2</v>
      </c>
      <c r="B15" s="326" t="s">
        <v>384</v>
      </c>
      <c r="C15" s="327">
        <v>0.51500000000000001</v>
      </c>
      <c r="D15" s="328">
        <f>E15/C15</f>
        <v>5.5922330097087379E-2</v>
      </c>
      <c r="E15" s="328">
        <v>2.8799999999999999E-2</v>
      </c>
      <c r="F15" s="322"/>
    </row>
    <row r="16" spans="1:6" s="323" customFormat="1" ht="17.100000000000001" customHeight="1">
      <c r="A16" s="325">
        <v>3</v>
      </c>
      <c r="B16" s="326" t="s">
        <v>385</v>
      </c>
      <c r="C16" s="327">
        <v>0.48499999999999999</v>
      </c>
      <c r="D16" s="327">
        <v>9.5000000000000001E-2</v>
      </c>
      <c r="E16" s="327">
        <f>ROUND(+C16*D16,4)</f>
        <v>4.6100000000000002E-2</v>
      </c>
      <c r="F16" s="322"/>
    </row>
    <row r="17" spans="1:7" s="323" customFormat="1" ht="17.100000000000001" customHeight="1">
      <c r="A17" s="325">
        <v>4</v>
      </c>
      <c r="B17" s="326" t="s">
        <v>386</v>
      </c>
      <c r="C17" s="329">
        <f>SUM(C14:C16)</f>
        <v>1</v>
      </c>
      <c r="D17" s="330"/>
      <c r="E17" s="331">
        <f>SUM(E15:E16)</f>
        <v>7.4899999999999994E-2</v>
      </c>
      <c r="F17" s="322"/>
    </row>
    <row r="18" spans="1:7" s="323" customFormat="1" ht="17.100000000000001" customHeight="1">
      <c r="A18" s="325">
        <v>5</v>
      </c>
      <c r="B18" s="332"/>
      <c r="C18" s="326"/>
      <c r="D18" s="326"/>
      <c r="E18" s="333"/>
      <c r="F18" s="322"/>
    </row>
    <row r="19" spans="1:7" s="323" customFormat="1" ht="17.100000000000001" customHeight="1">
      <c r="A19" s="325">
        <v>6</v>
      </c>
      <c r="B19" s="326"/>
      <c r="C19" s="334"/>
      <c r="D19" s="334"/>
      <c r="E19" s="327"/>
      <c r="F19" s="322"/>
    </row>
    <row r="20" spans="1:7" s="323" customFormat="1" ht="17.100000000000001" customHeight="1">
      <c r="A20" s="325">
        <v>7</v>
      </c>
      <c r="B20" s="326" t="s">
        <v>387</v>
      </c>
      <c r="C20" s="334">
        <f>C15</f>
        <v>0.51500000000000001</v>
      </c>
      <c r="D20" s="328">
        <f>+ROUND(D15*0.79,4)</f>
        <v>4.4200000000000003E-2</v>
      </c>
      <c r="E20" s="328">
        <f>ROUND(+C20*D20,4)</f>
        <v>2.2800000000000001E-2</v>
      </c>
      <c r="F20" s="322"/>
      <c r="G20" s="335"/>
    </row>
    <row r="21" spans="1:7" s="323" customFormat="1" ht="17.100000000000001" customHeight="1">
      <c r="A21" s="325">
        <v>8</v>
      </c>
      <c r="B21" s="326" t="s">
        <v>385</v>
      </c>
      <c r="C21" s="334">
        <f>C16</f>
        <v>0.48499999999999999</v>
      </c>
      <c r="D21" s="327">
        <f>+D16</f>
        <v>9.5000000000000001E-2</v>
      </c>
      <c r="E21" s="327">
        <f>ROUND(C21*D21,4)</f>
        <v>4.6100000000000002E-2</v>
      </c>
      <c r="F21" s="322"/>
    </row>
    <row r="22" spans="1:7" s="323" customFormat="1" ht="17.100000000000001" customHeight="1">
      <c r="A22" s="325">
        <v>9</v>
      </c>
      <c r="B22" s="326" t="s">
        <v>388</v>
      </c>
      <c r="C22" s="329">
        <f>SUM(C19:C21)</f>
        <v>1</v>
      </c>
      <c r="D22" s="330"/>
      <c r="E22" s="331">
        <f>SUM(E19:E21)</f>
        <v>6.8900000000000003E-2</v>
      </c>
      <c r="F22" s="322"/>
    </row>
    <row r="23" spans="1:7" s="323" customFormat="1" ht="17.100000000000001" customHeight="1">
      <c r="A23" s="325"/>
      <c r="B23" s="336"/>
      <c r="C23" s="336"/>
      <c r="D23" s="336"/>
      <c r="E23" s="336"/>
      <c r="F23" s="322"/>
    </row>
    <row r="24" spans="1:7" s="323" customFormat="1" ht="17.100000000000001" customHeight="1">
      <c r="A24" s="326" t="s">
        <v>389</v>
      </c>
      <c r="C24" s="336"/>
      <c r="D24" s="336"/>
      <c r="E24" s="336"/>
    </row>
    <row r="25" spans="1:7" s="323" customFormat="1" ht="17.100000000000001" customHeight="1">
      <c r="A25" s="326" t="s">
        <v>390</v>
      </c>
      <c r="B25" s="326"/>
    </row>
    <row r="26" spans="1:7" s="323" customFormat="1"/>
    <row r="27" spans="1:7" s="323" customFormat="1"/>
    <row r="28" spans="1:7" s="323" customFormat="1">
      <c r="A28" s="337"/>
      <c r="B28" s="337"/>
    </row>
    <row r="29" spans="1:7" s="323" customFormat="1">
      <c r="A29" s="337"/>
      <c r="B29" s="337"/>
    </row>
    <row r="30" spans="1:7" s="323" customFormat="1">
      <c r="A30" s="337"/>
      <c r="B30" s="337"/>
    </row>
    <row r="31" spans="1:7" s="323" customFormat="1">
      <c r="A31" s="337"/>
      <c r="B31" s="337"/>
    </row>
    <row r="32" spans="1:7" s="339" customFormat="1">
      <c r="A32" s="338"/>
      <c r="B32" s="338"/>
    </row>
    <row r="33" spans="1:2" s="339" customFormat="1">
      <c r="A33" s="338"/>
      <c r="B33" s="338"/>
    </row>
    <row r="34" spans="1:2" s="339" customFormat="1">
      <c r="A34" s="338"/>
      <c r="B34" s="338"/>
    </row>
    <row r="35" spans="1:2" s="339" customFormat="1">
      <c r="A35" s="338"/>
      <c r="B35" s="338"/>
    </row>
    <row r="36" spans="1:2" s="339" customFormat="1">
      <c r="A36" s="338"/>
      <c r="B36" s="338"/>
    </row>
    <row r="37" spans="1:2" s="339" customFormat="1">
      <c r="A37" s="338"/>
      <c r="B37" s="338"/>
    </row>
    <row r="38" spans="1:2" s="339" customFormat="1">
      <c r="A38" s="338"/>
      <c r="B38" s="338"/>
    </row>
    <row r="39" spans="1:2" s="339" customFormat="1">
      <c r="A39" s="338"/>
      <c r="B39" s="338"/>
    </row>
    <row r="40" spans="1:2" s="339" customFormat="1">
      <c r="A40" s="338"/>
      <c r="B40" s="338"/>
    </row>
    <row r="41" spans="1:2" s="339" customFormat="1">
      <c r="A41" s="338"/>
      <c r="B41" s="338"/>
    </row>
    <row r="42" spans="1:2" s="339" customFormat="1">
      <c r="A42" s="338"/>
      <c r="B42" s="338"/>
    </row>
    <row r="43" spans="1:2" s="339" customFormat="1">
      <c r="A43" s="338"/>
      <c r="B43" s="338"/>
    </row>
    <row r="44" spans="1:2" s="339" customFormat="1">
      <c r="A44" s="338"/>
      <c r="B44" s="338"/>
    </row>
    <row r="45" spans="1:2" s="339" customFormat="1">
      <c r="A45" s="338"/>
      <c r="B45" s="338"/>
    </row>
    <row r="46" spans="1:2" s="339" customFormat="1">
      <c r="A46" s="338"/>
      <c r="B46" s="338"/>
    </row>
    <row r="47" spans="1:2" s="339" customFormat="1">
      <c r="A47" s="338"/>
      <c r="B47" s="338"/>
    </row>
    <row r="48" spans="1:2" s="339" customFormat="1">
      <c r="A48" s="338"/>
      <c r="B48" s="338"/>
    </row>
    <row r="49" spans="1:2" s="339" customFormat="1">
      <c r="A49" s="338"/>
      <c r="B49" s="338"/>
    </row>
    <row r="50" spans="1:2" s="339" customFormat="1">
      <c r="A50" s="338"/>
      <c r="B50" s="338"/>
    </row>
    <row r="51" spans="1:2" s="339" customFormat="1" ht="13.5" customHeight="1">
      <c r="A51" s="338"/>
      <c r="B51" s="338"/>
    </row>
    <row r="52" spans="1:2" s="339" customFormat="1">
      <c r="A52" s="338"/>
      <c r="B52" s="338"/>
    </row>
    <row r="53" spans="1:2" s="339" customFormat="1">
      <c r="A53" s="338"/>
      <c r="B53" s="338"/>
    </row>
    <row r="54" spans="1:2" s="339" customFormat="1">
      <c r="A54" s="338"/>
      <c r="B54" s="338"/>
    </row>
    <row r="55" spans="1:2" s="339" customFormat="1">
      <c r="A55" s="338"/>
      <c r="B55" s="338"/>
    </row>
    <row r="56" spans="1:2" s="339" customFormat="1">
      <c r="A56" s="338"/>
      <c r="B56" s="338"/>
    </row>
    <row r="57" spans="1:2" s="339" customFormat="1">
      <c r="A57" s="338"/>
      <c r="B57" s="338"/>
    </row>
    <row r="58" spans="1:2" s="339" customFormat="1">
      <c r="A58" s="338"/>
      <c r="B58" s="338"/>
    </row>
    <row r="59" spans="1:2" s="339" customFormat="1">
      <c r="A59" s="338"/>
      <c r="B59" s="340"/>
    </row>
    <row r="60" spans="1:2" s="339" customFormat="1"/>
    <row r="61" spans="1:2" s="339" customFormat="1"/>
    <row r="62" spans="1:2" s="339" customFormat="1"/>
    <row r="63" spans="1:2" s="339" customFormat="1"/>
    <row r="64" spans="1:2" s="339" customFormat="1"/>
    <row r="65" s="339" customFormat="1"/>
    <row r="66" s="339" customFormat="1"/>
    <row r="67" s="339" customFormat="1"/>
    <row r="68" s="339" customFormat="1"/>
    <row r="69" s="339" customFormat="1"/>
    <row r="70" s="339" customFormat="1"/>
    <row r="71" s="339" customFormat="1"/>
    <row r="72" s="339" customFormat="1"/>
    <row r="73" s="339" customFormat="1"/>
    <row r="74" s="339" customFormat="1"/>
    <row r="75" s="339" customFormat="1"/>
    <row r="76" s="339" customFormat="1"/>
    <row r="77" s="339" customFormat="1"/>
    <row r="78" s="339" customFormat="1"/>
    <row r="79" s="339" customFormat="1"/>
    <row r="80" s="339" customFormat="1"/>
    <row r="81" s="339" customFormat="1"/>
    <row r="82" s="339" customFormat="1"/>
    <row r="83" s="339" customFormat="1"/>
    <row r="84" s="339" customFormat="1"/>
    <row r="85" s="339" customFormat="1"/>
    <row r="86" s="339" customFormat="1"/>
    <row r="87" s="339" customFormat="1"/>
    <row r="88" s="339" customFormat="1"/>
    <row r="89" s="339" customFormat="1"/>
    <row r="90" s="339" customFormat="1"/>
    <row r="91" s="339" customFormat="1"/>
    <row r="92" s="339" customFormat="1"/>
    <row r="93" s="339" customFormat="1"/>
    <row r="94" s="339" customFormat="1"/>
    <row r="95" s="339" customFormat="1"/>
    <row r="96" s="339" customFormat="1"/>
    <row r="97" s="339" customFormat="1"/>
    <row r="98" s="339" customFormat="1"/>
    <row r="99" s="339" customFormat="1"/>
    <row r="100" s="339" customFormat="1"/>
    <row r="101" s="339" customFormat="1"/>
    <row r="102" s="339" customFormat="1"/>
    <row r="103" s="339" customFormat="1"/>
    <row r="104" s="339" customFormat="1"/>
    <row r="105" s="339" customFormat="1"/>
    <row r="106" s="339" customFormat="1"/>
    <row r="107" s="339" customFormat="1"/>
    <row r="108" s="339" customFormat="1"/>
    <row r="109" s="339" customFormat="1"/>
    <row r="110" s="339" customFormat="1"/>
  </sheetData>
  <mergeCells count="1">
    <mergeCell ref="D2:E2"/>
  </mergeCells>
  <conditionalFormatting sqref="A1:IN1">
    <cfRule type="cellIs" dxfId="0" priority="1" stopIfTrue="1" operator="notEqual">
      <formula>0</formula>
    </cfRule>
  </conditionalFormatting>
  <printOptions horizontalCentered="1"/>
  <pageMargins left="0.95" right="0.7" top="0.75" bottom="0.75" header="0.3" footer="0.55000000000000004"/>
  <pageSetup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9078E712C43447AD78D8CA96FF460B" ma:contentTypeVersion="56" ma:contentTypeDescription="" ma:contentTypeScope="" ma:versionID="8b1d256656ad907400385f6ef2b4793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Petition</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2019-02-26T08:00:00+00:00</OpenedDate>
    <SignificantOrder xmlns="dc463f71-b30c-4ab2-9473-d307f9d35888">false</SignificantOrder>
    <Date1 xmlns="dc463f71-b30c-4ab2-9473-d307f9d35888">2019-04-05T07:00:00+00:00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190129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B3F9BDD-928A-4C24-8DCC-9027D3624A08}"/>
</file>

<file path=customXml/itemProps2.xml><?xml version="1.0" encoding="utf-8"?>
<ds:datastoreItem xmlns:ds="http://schemas.openxmlformats.org/officeDocument/2006/customXml" ds:itemID="{1ABBB818-D05F-4DCE-A728-1EDA7EE3B52A}"/>
</file>

<file path=customXml/itemProps3.xml><?xml version="1.0" encoding="utf-8"?>
<ds:datastoreItem xmlns:ds="http://schemas.openxmlformats.org/officeDocument/2006/customXml" ds:itemID="{B924110A-5CBC-4E24-8400-BBC874A1D71D}"/>
</file>

<file path=customXml/itemProps4.xml><?xml version="1.0" encoding="utf-8"?>
<ds:datastoreItem xmlns:ds="http://schemas.openxmlformats.org/officeDocument/2006/customXml" ds:itemID="{5BE6E44E-3CD8-4118-8997-9CE1AE8765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REDACTED VERSION</vt:lpstr>
      <vt:lpstr>Description</vt:lpstr>
      <vt:lpstr>Final Summary</vt:lpstr>
      <vt:lpstr>RB &amp; Dep</vt:lpstr>
      <vt:lpstr>Summary Budget</vt:lpstr>
      <vt:lpstr>Capex Summary</vt:lpstr>
      <vt:lpstr>1. E&amp;O </vt:lpstr>
      <vt:lpstr>2. Residential (R)</vt:lpstr>
      <vt:lpstr>3. Public (R)</vt:lpstr>
      <vt:lpstr>4. Workplace (R)</vt:lpstr>
      <vt:lpstr>5. Multi-Family (R)</vt:lpstr>
      <vt:lpstr>6. Low Income</vt:lpstr>
      <vt:lpstr>EV Dep Sch Combined</vt:lpstr>
      <vt:lpstr>EV Dep Sch Y1</vt:lpstr>
      <vt:lpstr>EV Dep Sch Y2</vt:lpstr>
      <vt:lpstr>EV Dep Sch Y3</vt:lpstr>
      <vt:lpstr>EV Dep Sch Y4</vt:lpstr>
      <vt:lpstr>EV Dep Sch Y5</vt:lpstr>
      <vt:lpstr>EV Dep Sch Y6</vt:lpstr>
      <vt:lpstr>EV Dep Sch Y7</vt:lpstr>
      <vt:lpstr>EV Capex Summary</vt:lpstr>
      <vt:lpstr>MACRS W 50% BONUS</vt:lpstr>
      <vt:lpstr>ERF ROR</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Farrow</dc:creator>
  <cp:lastModifiedBy>Lori Traore</cp:lastModifiedBy>
  <cp:lastPrinted>2019-04-04T17:44:49Z</cp:lastPrinted>
  <dcterms:created xsi:type="dcterms:W3CDTF">2017-10-08T21:15:22Z</dcterms:created>
  <dcterms:modified xsi:type="dcterms:W3CDTF">2019-04-05T17:47:02Z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0x0101006E56B4D1795A2E4DB2F0B01679ED314A009F9078E712C43447AD78D8CA96FF460B</vt:lpwstr>
  </property>
  <property fmtid="{D5CDD505-2E9C-101B-9397-08002B2CF9AE}" pid="3" name="_docset_NoMedatataSyncRequired">
    <vt:lpwstr>False</vt:lpwstr>
  </property>
  <property fmtid="{D5CDD505-2E9C-101B-9397-08002B2CF9AE}" pid="4" name="IsEFSEC">
    <vt:bool>false</vt:bool>
  </property>
</Properties>
</file>