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76" yWindow="-12" windowWidth="10032" windowHeight="9888"/>
  </bookViews>
  <sheets>
    <sheet name="E-EAS-1" sheetId="2" r:id="rId1"/>
    <sheet name="E-EAS-2" sheetId="1" r:id="rId2"/>
    <sheet name="G-EAS-1" sheetId="4" r:id="rId3"/>
    <sheet name="Acerno_Cache_XXXXX" sheetId="6" state="veryHidden" r:id="rId4"/>
    <sheet name="G-EAS-2" sheetId="5" r:id="rId5"/>
    <sheet name="Account Balances" sheetId="3" r:id="rId6"/>
  </sheets>
  <externalReferences>
    <externalReference r:id="rId7"/>
    <externalReference r:id="rId8"/>
  </externalReferences>
  <definedNames>
    <definedName name="_xlnm.Print_Area" localSheetId="1">'E-EAS-2'!$A$1:$I$31</definedName>
    <definedName name="_xlnm.Print_Area" localSheetId="4">'G-EAS-2'!$A$1:$G$27</definedName>
  </definedNames>
  <calcPr calcId="152511"/>
</workbook>
</file>

<file path=xl/calcChain.xml><?xml version="1.0" encoding="utf-8"?>
<calcChain xmlns="http://schemas.openxmlformats.org/spreadsheetml/2006/main">
  <c r="D37" i="2" l="1"/>
  <c r="D32" i="2"/>
  <c r="D29" i="2"/>
  <c r="D10" i="2"/>
  <c r="D39" i="4" l="1"/>
  <c r="D34" i="4"/>
  <c r="D31" i="4"/>
  <c r="D10" i="4"/>
  <c r="M12" i="4" l="1"/>
  <c r="L14" i="2" l="1"/>
  <c r="M19" i="4"/>
  <c r="M17" i="4"/>
  <c r="I12" i="4"/>
  <c r="L12" i="4" s="1"/>
  <c r="I10" i="4"/>
  <c r="L11" i="4"/>
  <c r="K12" i="4" l="1"/>
  <c r="K14" i="2" l="1"/>
  <c r="F14" i="2"/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3" i="4"/>
  <c r="L35" i="4"/>
  <c r="L36" i="4"/>
  <c r="L37" i="4"/>
  <c r="L38" i="4"/>
  <c r="L40" i="4"/>
  <c r="L41" i="4"/>
  <c r="L42" i="4"/>
  <c r="L45" i="4"/>
  <c r="I26" i="4"/>
  <c r="I20" i="4"/>
  <c r="F10" i="2"/>
  <c r="F13" i="2" s="1"/>
  <c r="C29" i="1"/>
  <c r="H52" i="1"/>
  <c r="E13" i="5"/>
  <c r="C13" i="5"/>
  <c r="H49" i="5"/>
  <c r="F15" i="2" l="1"/>
  <c r="F37" i="2"/>
  <c r="F40" i="2" s="1"/>
  <c r="F29" i="2"/>
  <c r="F30" i="2" s="1"/>
  <c r="F32" i="2"/>
  <c r="F24" i="2"/>
  <c r="D18" i="1"/>
  <c r="C18" i="1"/>
  <c r="F41" i="2" l="1"/>
  <c r="F43" i="2" s="1"/>
  <c r="I13" i="4" l="1"/>
  <c r="I39" i="4"/>
  <c r="I34" i="4"/>
  <c r="I31" i="4"/>
  <c r="K43" i="4"/>
  <c r="K32" i="4"/>
  <c r="K26" i="4"/>
  <c r="K20" i="4"/>
  <c r="K13" i="4"/>
  <c r="K46" i="4" s="1"/>
  <c r="I43" i="4" l="1"/>
  <c r="I32" i="4"/>
  <c r="K44" i="4"/>
  <c r="H91" i="1"/>
  <c r="H103" i="1"/>
  <c r="H88" i="1"/>
  <c r="H76" i="1"/>
  <c r="H64" i="1"/>
  <c r="I44" i="4" l="1"/>
  <c r="I46" i="4" s="1"/>
  <c r="G42" i="4"/>
  <c r="G41" i="4"/>
  <c r="G40" i="4"/>
  <c r="G36" i="4"/>
  <c r="G35" i="4"/>
  <c r="G30" i="4"/>
  <c r="G29" i="4"/>
  <c r="G25" i="4"/>
  <c r="G24" i="4"/>
  <c r="G23" i="4"/>
  <c r="G18" i="4"/>
  <c r="G11" i="4"/>
  <c r="G26" i="4" l="1"/>
  <c r="I10" i="2"/>
  <c r="I37" i="2" s="1"/>
  <c r="I40" i="2" s="1"/>
  <c r="H61" i="5"/>
  <c r="J22" i="2"/>
  <c r="I22" i="2"/>
  <c r="I24" i="2" s="1"/>
  <c r="H19" i="2"/>
  <c r="E22" i="2"/>
  <c r="G33" i="2"/>
  <c r="J35" i="4"/>
  <c r="H17" i="4"/>
  <c r="I32" i="2" l="1"/>
  <c r="I13" i="2"/>
  <c r="I15" i="2" s="1"/>
  <c r="I29" i="2"/>
  <c r="I30" i="2" s="1"/>
  <c r="I41" i="2" l="1"/>
  <c r="I43" i="2" s="1"/>
  <c r="M26" i="4" l="1"/>
  <c r="E19" i="4" l="1"/>
  <c r="E17" i="4"/>
  <c r="M35" i="4"/>
  <c r="E25" i="5"/>
  <c r="E24" i="5"/>
  <c r="E19" i="5"/>
  <c r="E12" i="4" s="1"/>
  <c r="M41" i="4"/>
  <c r="F26" i="4"/>
  <c r="F32" i="4"/>
  <c r="F43" i="4"/>
  <c r="F19" i="4" l="1"/>
  <c r="F12" i="4"/>
  <c r="J10" i="4"/>
  <c r="J31" i="4" s="1"/>
  <c r="J32" i="4" s="1"/>
  <c r="F17" i="4" l="1"/>
  <c r="G12" i="4"/>
  <c r="F13" i="4"/>
  <c r="G19" i="4"/>
  <c r="J34" i="4"/>
  <c r="H10" i="4"/>
  <c r="J39" i="4"/>
  <c r="J43" i="4" s="1"/>
  <c r="J26" i="4"/>
  <c r="H20" i="4"/>
  <c r="J20" i="4"/>
  <c r="J13" i="4"/>
  <c r="K11" i="2"/>
  <c r="K12" i="2"/>
  <c r="K39" i="2"/>
  <c r="K38" i="2"/>
  <c r="K34" i="2"/>
  <c r="K28" i="2"/>
  <c r="K27" i="2"/>
  <c r="K20" i="2"/>
  <c r="K21" i="2"/>
  <c r="K23" i="2"/>
  <c r="K19" i="2"/>
  <c r="L19" i="2" s="1"/>
  <c r="G24" i="2"/>
  <c r="H24" i="2"/>
  <c r="J24" i="2"/>
  <c r="J10" i="2" s="1"/>
  <c r="J13" i="2" s="1"/>
  <c r="J15" i="2" s="1"/>
  <c r="K33" i="2"/>
  <c r="L33" i="2" s="1"/>
  <c r="L10" i="4" l="1"/>
  <c r="M10" i="4" s="1"/>
  <c r="M13" i="4" s="1"/>
  <c r="F20" i="4"/>
  <c r="F44" i="4" s="1"/>
  <c r="F46" i="4"/>
  <c r="G17" i="4"/>
  <c r="G20" i="4" s="1"/>
  <c r="M20" i="4"/>
  <c r="J29" i="2"/>
  <c r="J30" i="2" s="1"/>
  <c r="J37" i="2"/>
  <c r="J40" i="2" s="1"/>
  <c r="J32" i="2"/>
  <c r="J44" i="4"/>
  <c r="J46" i="4" s="1"/>
  <c r="K22" i="2"/>
  <c r="L22" i="2" s="1"/>
  <c r="E20" i="4"/>
  <c r="E10" i="4" s="1"/>
  <c r="G10" i="4" s="1"/>
  <c r="G13" i="4" s="1"/>
  <c r="E24" i="2"/>
  <c r="J41" i="2" l="1"/>
  <c r="J43" i="2" s="1"/>
  <c r="K24" i="2"/>
  <c r="L24" i="2"/>
  <c r="E31" i="4"/>
  <c r="G31" i="4" s="1"/>
  <c r="G32" i="4" s="1"/>
  <c r="E39" i="4"/>
  <c r="E34" i="4"/>
  <c r="G34" i="4" s="1"/>
  <c r="H39" i="4"/>
  <c r="H34" i="4"/>
  <c r="H31" i="4"/>
  <c r="L31" i="4" s="1"/>
  <c r="M31" i="4" s="1"/>
  <c r="E13" i="4"/>
  <c r="E26" i="4"/>
  <c r="H13" i="4"/>
  <c r="L13" i="4" s="1"/>
  <c r="H26" i="4"/>
  <c r="L39" i="4" l="1"/>
  <c r="M39" i="4" s="1"/>
  <c r="M43" i="4" s="1"/>
  <c r="L34" i="4"/>
  <c r="M34" i="4" s="1"/>
  <c r="E43" i="4"/>
  <c r="G39" i="4"/>
  <c r="G43" i="4" s="1"/>
  <c r="G44" i="4" s="1"/>
  <c r="G46" i="4" s="1"/>
  <c r="H32" i="4"/>
  <c r="L32" i="4" s="1"/>
  <c r="H43" i="4"/>
  <c r="L43" i="4" s="1"/>
  <c r="E32" i="4"/>
  <c r="E44" i="4" l="1"/>
  <c r="E46" i="4" s="1"/>
  <c r="M32" i="4"/>
  <c r="M44" i="4" s="1"/>
  <c r="M46" i="4" s="1"/>
  <c r="H44" i="4"/>
  <c r="L44" i="4" s="1"/>
  <c r="L46" i="4" s="1"/>
  <c r="H46" i="4" l="1"/>
  <c r="E10" i="2"/>
  <c r="G10" i="2"/>
  <c r="H10" i="2"/>
  <c r="K10" i="2" l="1"/>
  <c r="L10" i="2" s="1"/>
  <c r="L13" i="2" s="1"/>
  <c r="L15" i="2" s="1"/>
  <c r="G37" i="2"/>
  <c r="G40" i="2" s="1"/>
  <c r="G32" i="2"/>
  <c r="G13" i="2"/>
  <c r="G15" i="2" s="1"/>
  <c r="G29" i="2"/>
  <c r="G30" i="2" s="1"/>
  <c r="H13" i="2"/>
  <c r="H15" i="2" s="1"/>
  <c r="H29" i="2"/>
  <c r="H30" i="2" s="1"/>
  <c r="H32" i="2"/>
  <c r="H37" i="2"/>
  <c r="H40" i="2" s="1"/>
  <c r="E32" i="2"/>
  <c r="E13" i="2"/>
  <c r="E15" i="2" s="1"/>
  <c r="E29" i="2"/>
  <c r="E37" i="2"/>
  <c r="K32" i="2" l="1"/>
  <c r="L32" i="2" s="1"/>
  <c r="H41" i="2"/>
  <c r="H43" i="2" s="1"/>
  <c r="E30" i="2"/>
  <c r="K29" i="2"/>
  <c r="E40" i="2"/>
  <c r="K37" i="2"/>
  <c r="K13" i="2"/>
  <c r="K15" i="2" s="1"/>
  <c r="G41" i="2"/>
  <c r="G43" i="2" s="1"/>
  <c r="E41" i="2" l="1"/>
  <c r="E43" i="2" s="1"/>
  <c r="L29" i="2"/>
  <c r="L30" i="2" s="1"/>
  <c r="K30" i="2"/>
  <c r="L37" i="2"/>
  <c r="L40" i="2" s="1"/>
  <c r="K40" i="2"/>
  <c r="K41" i="2" l="1"/>
  <c r="K43" i="2" s="1"/>
  <c r="L41" i="2"/>
  <c r="L43" i="2" s="1"/>
</calcChain>
</file>

<file path=xl/sharedStrings.xml><?xml version="1.0" encoding="utf-8"?>
<sst xmlns="http://schemas.openxmlformats.org/spreadsheetml/2006/main" count="486" uniqueCount="199">
  <si>
    <t>Source Id:&lt;All&gt;</t>
  </si>
  <si>
    <t>Jurisdiction:WA</t>
  </si>
  <si>
    <t>Accounting Period:&lt;All&gt;</t>
  </si>
  <si>
    <t>Transaction Amount</t>
  </si>
  <si>
    <t>Electric Amt SUM</t>
  </si>
  <si>
    <t>Gas North Amt SUM</t>
  </si>
  <si>
    <t>Gas South Amt SUM</t>
  </si>
  <si>
    <t>Ferc Acct</t>
  </si>
  <si>
    <t>Ferc Acct Desc</t>
  </si>
  <si>
    <t>407395</t>
  </si>
  <si>
    <t>OPTIONAL RENEWABLE POWER REV O</t>
  </si>
  <si>
    <t>NULL</t>
  </si>
  <si>
    <t>407450</t>
  </si>
  <si>
    <t>AMORT BPA RX</t>
  </si>
  <si>
    <t>407499</t>
  </si>
  <si>
    <t>AMORT SCH 59 BPA RES EXCH CRED</t>
  </si>
  <si>
    <t>557161</t>
  </si>
  <si>
    <t>AMORT UNBILLED ADD-ONS</t>
  </si>
  <si>
    <t>557290</t>
  </si>
  <si>
    <t>WA ERM AMORTIZATION</t>
  </si>
  <si>
    <t>908600</t>
  </si>
  <si>
    <t>CUST SVC &amp; INFO EXP</t>
  </si>
  <si>
    <t>908690</t>
  </si>
  <si>
    <t>AMORT UNBILLED DSM TARIFF RIDE</t>
  </si>
  <si>
    <t>Total</t>
  </si>
  <si>
    <t>DESCRIPTION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</si>
  <si>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</si>
  <si>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</si>
  <si>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</si>
  <si>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</si>
  <si>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</si>
  <si>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</si>
  <si>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</si>
  <si>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</si>
  <si>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</si>
  <si>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</si>
  <si>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</si>
  <si>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</si>
  <si>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</si>
  <si>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</si>
  <si>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</si>
  <si>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</si>
  <si>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</si>
  <si>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</si>
  <si>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</si>
  <si>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</si>
  <si>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</si>
  <si>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</si>
  <si>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</si>
  <si>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</si>
  <si>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</si>
  <si>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Schedule 59 Residential Exchange Credit</t>
  </si>
  <si>
    <t>Schedule 93 ERM Surcharge/ Rebate</t>
  </si>
  <si>
    <t>Line No.</t>
  </si>
  <si>
    <t>Adder Schedule Amounts Embedded in Results of Operations</t>
  </si>
  <si>
    <t>Avista Utilities</t>
  </si>
  <si>
    <t>Eliminate Adder Schedules</t>
  </si>
  <si>
    <t>Washington Electric</t>
  </si>
  <si>
    <t>Total Adder Schedule Amounts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</si>
  <si>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</si>
  <si>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</si>
  <si>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</si>
  <si>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</si>
  <si>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</si>
  <si>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</si>
  <si>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</si>
  <si>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</si>
  <si>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</si>
  <si>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</si>
  <si>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</si>
  <si>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</si>
  <si>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</si>
  <si>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</si>
  <si>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</si>
  <si>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</si>
  <si>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</si>
  <si>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</si>
  <si>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</si>
  <si>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</si>
  <si>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</si>
  <si>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</si>
  <si>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</si>
  <si>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</si>
  <si>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</si>
  <si>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Schedule 150 Purchased Gas Costs</t>
  </si>
  <si>
    <t>Schedule 155 Prior PGA Amortization</t>
  </si>
  <si>
    <t>Sales For Resale</t>
  </si>
  <si>
    <t>483xxx</t>
  </si>
  <si>
    <t>808xxx</t>
  </si>
  <si>
    <t>Net Natural Gas Storage Transactions</t>
  </si>
  <si>
    <t>Gas Used For Products Extraction</t>
  </si>
  <si>
    <t>Deferred Exchange</t>
  </si>
  <si>
    <t>Consolidate Gas Costs</t>
  </si>
  <si>
    <t>Service:ED</t>
  </si>
  <si>
    <t>Service:GD</t>
  </si>
  <si>
    <t>805110</t>
  </si>
  <si>
    <t>AMORTIZE RECOVERABLE GAS COSTS</t>
  </si>
  <si>
    <t>Net Gas Costs Recovered in Rates</t>
  </si>
  <si>
    <t>Current Gas Costs included in PGA</t>
  </si>
  <si>
    <t>Total Revenue</t>
  </si>
  <si>
    <t>Total Expense</t>
  </si>
  <si>
    <t>G-OPS-12A page 1</t>
  </si>
  <si>
    <t>G-OPS-12A page 1 less amortization of prior gas cost in 805110</t>
  </si>
  <si>
    <t>Washington Natural Gas</t>
  </si>
  <si>
    <t>Conversion Factor</t>
  </si>
  <si>
    <t>Schedule 95 Optional Renewable</t>
  </si>
  <si>
    <t>804/805</t>
  </si>
  <si>
    <t>Eliminate Adder Schedule Adjustment</t>
  </si>
  <si>
    <t>000's</t>
  </si>
  <si>
    <t>Eliminate Adder Schedules and Consolidate Gas Costs Adjustment</t>
  </si>
  <si>
    <t>Transaction Desc Long</t>
  </si>
  <si>
    <t>Accounting Period</t>
  </si>
  <si>
    <t>Source Id:GL</t>
  </si>
  <si>
    <t>Journal Selection:&lt;All&gt;</t>
  </si>
  <si>
    <t>Dr Cr Code</t>
  </si>
  <si>
    <t>D</t>
  </si>
  <si>
    <t>C</t>
  </si>
  <si>
    <t>253990</t>
  </si>
  <si>
    <t>AMORT SCH 59 BPA RES EXCH CR</t>
  </si>
  <si>
    <t>AMORTSCH 93 ERM SURCHARGE</t>
  </si>
  <si>
    <t>AMORT SCH 91 EL DSM TARIFF RIDER</t>
  </si>
  <si>
    <t>State Cde:WA</t>
  </si>
  <si>
    <t>Revenue</t>
  </si>
  <si>
    <t>407494</t>
  </si>
  <si>
    <t>AMORT SCH 98 REC REV</t>
  </si>
  <si>
    <t>557324</t>
  </si>
  <si>
    <t>DEF POWER SUPPLY EXP-REC AMORT</t>
  </si>
  <si>
    <t xml:space="preserve">G-495-12A </t>
  </si>
  <si>
    <t>Schedule 98 REC Revenue Surcharge/Rebate</t>
  </si>
  <si>
    <t>unbilled amortization ERM</t>
  </si>
  <si>
    <t>unbilled amortization ResX</t>
  </si>
  <si>
    <t>unbilled amortization REC Rev</t>
  </si>
  <si>
    <t>unbilled amortization Public Purpose Riders</t>
  </si>
  <si>
    <t xml:space="preserve">Schedule 95 Revenue Offset (moves revenue to Buck a Block balancing account) </t>
  </si>
  <si>
    <t>Schedule 59 billed amortization</t>
  </si>
  <si>
    <t>Schedule 89/91/92 billed amortization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</si>
  <si>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</si>
  <si>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</si>
  <si>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</si>
  <si>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</si>
  <si>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</si>
  <si>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</si>
  <si>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</si>
  <si>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</si>
  <si>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</si>
  <si>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AMORT SCH 98 REC REVENUE</t>
  </si>
  <si>
    <t>Check unbilled add-on journal to be sure captured all unbilled add-on sub accounts</t>
  </si>
  <si>
    <t>Balance sheet entries</t>
  </si>
  <si>
    <t>AMORT SCH 191 GAS DSM TARIFF RIDER</t>
  </si>
  <si>
    <t>Gas Cost deferrals and amortizations are based on calendar usage, do not require unbilled add-on entries</t>
  </si>
  <si>
    <t>Revenue Class:&lt;All&gt;</t>
  </si>
  <si>
    <t>Period</t>
  </si>
  <si>
    <t>Rate Schedule Num</t>
  </si>
  <si>
    <t>0095</t>
  </si>
  <si>
    <t>Service:Electric</t>
  </si>
  <si>
    <t>12 Month Total</t>
  </si>
  <si>
    <t>Total Schedule 95</t>
  </si>
  <si>
    <t>Do not print</t>
  </si>
  <si>
    <t>Gas Costs in Results of Operations</t>
  </si>
  <si>
    <t>Schedule 93 and Schedule 98 Unbilled Only (Billed Eliminated in Adjustment 2.13)</t>
  </si>
  <si>
    <t>Sch 93 billed amort Eliminated in Adjustment 2.13 (Eliminate WA Power Cost Deferral)</t>
  </si>
  <si>
    <t>Sch 98 billed amort Eliminated in Adjustment 2.13 (Eliminate WA Power Cost Deferral)</t>
  </si>
  <si>
    <t>Schedule 89/91/92 Public Purpose Tariff Rider</t>
  </si>
  <si>
    <t>Transaction Analysis  Selection: Accounting Period : '2015%' , Journal Selection : '%ubld%'</t>
  </si>
  <si>
    <t>201510</t>
  </si>
  <si>
    <t>201511</t>
  </si>
  <si>
    <t>201512</t>
  </si>
  <si>
    <t>AMORT SCH 89 LOW INC DISC</t>
  </si>
  <si>
    <t>Total for 908690</t>
  </si>
  <si>
    <t>Schedule 189/191/192 Public Purpose Tariff Riders</t>
  </si>
  <si>
    <t>Eliminate Contra Decoupling Deferral</t>
  </si>
  <si>
    <t>Transaction Analysis  Selection: Accounting Period : '2016%' , Gl Ferc Account : '407395, 407450, 407494, 407499, 557161, 557290, 557324, 908600, 908690, 456329, 456339, 253990, 805110, 495311, 495329, 495339' , Statind Parameter 1 : 'DL'</t>
  </si>
  <si>
    <t>CONTRA DECOUPLING DEFFERAL</t>
  </si>
  <si>
    <t>AMORTIZE RES DECOUPLING</t>
  </si>
  <si>
    <t>AMORTIZE NON-RES DECOUPLING</t>
  </si>
  <si>
    <t>Billed Revenue Report by Location Twelve Months Ended for Report Date : '12/31/2016'</t>
  </si>
  <si>
    <t>Amortization Residential Decoupling</t>
  </si>
  <si>
    <t>Amortization Non-Residential Decoupling</t>
  </si>
  <si>
    <t>Schedule 75 Decoupling (Rebate) Surcharge</t>
  </si>
  <si>
    <t>Schedule 175
Decoupling Rebate/Surcharge</t>
  </si>
  <si>
    <t>Twelve Months Ended December 31, 2016</t>
  </si>
  <si>
    <t>Source Id</t>
  </si>
  <si>
    <t>Statind</t>
  </si>
  <si>
    <t>Jurisdiction</t>
  </si>
  <si>
    <t>Service</t>
  </si>
  <si>
    <t>GL</t>
  </si>
  <si>
    <t>DL</t>
  </si>
  <si>
    <t>ID</t>
  </si>
  <si>
    <t>ED</t>
  </si>
  <si>
    <t>GD</t>
  </si>
  <si>
    <t>WA</t>
  </si>
  <si>
    <t>PA</t>
  </si>
  <si>
    <t>456329</t>
  </si>
  <si>
    <t>456339</t>
  </si>
  <si>
    <t>495311</t>
  </si>
  <si>
    <t>OR</t>
  </si>
  <si>
    <t>495329</t>
  </si>
  <si>
    <t>495339</t>
  </si>
  <si>
    <t>Revised Conversion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</si>
</sst>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#,###,###.00"/>
    <numFmt numFmtId="165" formatCode="#,###,###,###.00"/>
    <numFmt numFmtId="166" formatCode="_(* #,##0.000000_);_(* \(#,##0.0000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#,###,###,##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Geneva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"/>
      <color indexed="8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123">
    <xf numFmtId="0" fontId="0" fillId="0" borderId="0" xfId="0"/>
    <xf numFmtId="0" fontId="2" fillId="0" borderId="0" xfId="3" applyFill="1"/>
    <xf numFmtId="0" fontId="0" fillId="0" borderId="0" xfId="0" applyFill="1"/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center" vertical="top"/>
    </xf>
    <xf numFmtId="0" fontId="9" fillId="0" borderId="0" xfId="5" applyNumberFormat="1" applyFont="1" applyBorder="1" applyAlignment="1">
      <alignment horizontal="center"/>
    </xf>
    <xf numFmtId="0" fontId="9" fillId="0" borderId="0" xfId="5" applyFont="1" applyBorder="1"/>
    <xf numFmtId="37" fontId="9" fillId="0" borderId="0" xfId="5" applyNumberFormat="1" applyFont="1" applyBorder="1" applyAlignment="1">
      <alignment horizontal="center"/>
    </xf>
    <xf numFmtId="5" fontId="9" fillId="0" borderId="0" xfId="5" applyNumberFormat="1" applyFont="1" applyBorder="1"/>
    <xf numFmtId="37" fontId="9" fillId="0" borderId="0" xfId="5" applyNumberFormat="1" applyFont="1" applyBorder="1"/>
    <xf numFmtId="37" fontId="9" fillId="0" borderId="0" xfId="5" applyNumberFormat="1" applyFont="1" applyFill="1" applyBorder="1"/>
    <xf numFmtId="37" fontId="9" fillId="0" borderId="0" xfId="5" applyNumberFormat="1" applyFont="1" applyFill="1" applyBorder="1" applyAlignment="1">
      <alignment horizontal="center"/>
    </xf>
    <xf numFmtId="166" fontId="9" fillId="0" borderId="0" xfId="1" applyNumberFormat="1" applyFont="1" applyBorder="1"/>
    <xf numFmtId="167" fontId="9" fillId="0" borderId="0" xfId="2" applyNumberFormat="1" applyFont="1" applyFill="1" applyBorder="1"/>
    <xf numFmtId="0" fontId="10" fillId="0" borderId="0" xfId="5" applyNumberFormat="1" applyFont="1" applyBorder="1" applyAlignment="1">
      <alignment horizontal="left"/>
    </xf>
    <xf numFmtId="0" fontId="11" fillId="0" borderId="0" xfId="0" applyFont="1"/>
    <xf numFmtId="0" fontId="12" fillId="0" borderId="0" xfId="4" applyFont="1"/>
    <xf numFmtId="0" fontId="12" fillId="0" borderId="0" xfId="4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4" applyFont="1" applyAlignment="1">
      <alignment horizontal="center"/>
    </xf>
    <xf numFmtId="167" fontId="10" fillId="0" borderId="0" xfId="2" applyNumberFormat="1" applyFont="1" applyFill="1" applyBorder="1" applyAlignment="1">
      <alignment horizontal="center" wrapText="1"/>
    </xf>
    <xf numFmtId="167" fontId="9" fillId="0" borderId="4" xfId="2" applyNumberFormat="1" applyFont="1" applyFill="1" applyBorder="1"/>
    <xf numFmtId="167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168" fontId="0" fillId="0" borderId="0" xfId="1" applyNumberFormat="1" applyFont="1"/>
    <xf numFmtId="0" fontId="0" fillId="0" borderId="0" xfId="0" applyAlignment="1">
      <alignment horizontal="right"/>
    </xf>
    <xf numFmtId="0" fontId="3" fillId="0" borderId="0" xfId="3" applyFont="1" applyFill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right" vertical="top"/>
    </xf>
    <xf numFmtId="164" fontId="3" fillId="0" borderId="0" xfId="3" applyNumberFormat="1" applyFont="1" applyFill="1" applyBorder="1" applyAlignment="1">
      <alignment horizontal="right" vertical="top"/>
    </xf>
    <xf numFmtId="168" fontId="0" fillId="0" borderId="4" xfId="0" applyNumberFormat="1" applyBorder="1"/>
    <xf numFmtId="168" fontId="0" fillId="0" borderId="4" xfId="1" applyNumberFormat="1" applyFont="1" applyBorder="1"/>
    <xf numFmtId="168" fontId="0" fillId="0" borderId="5" xfId="0" applyNumberFormat="1" applyBorder="1"/>
    <xf numFmtId="0" fontId="11" fillId="0" borderId="0" xfId="0" applyFont="1" applyAlignment="1">
      <alignment horizontal="center"/>
    </xf>
    <xf numFmtId="167" fontId="14" fillId="0" borderId="0" xfId="0" applyNumberFormat="1" applyFont="1"/>
    <xf numFmtId="167" fontId="9" fillId="0" borderId="0" xfId="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8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169" fontId="3" fillId="0" borderId="1" xfId="3" applyNumberFormat="1" applyFont="1" applyFill="1" applyBorder="1" applyAlignment="1">
      <alignment horizontal="right" vertical="top"/>
    </xf>
    <xf numFmtId="165" fontId="0" fillId="0" borderId="0" xfId="0" applyNumberFormat="1"/>
    <xf numFmtId="0" fontId="3" fillId="0" borderId="2" xfId="3" applyFont="1" applyFill="1" applyBorder="1" applyAlignment="1">
      <alignment horizontal="center" vertical="center"/>
    </xf>
    <xf numFmtId="168" fontId="9" fillId="0" borderId="0" xfId="2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right" vertical="top"/>
    </xf>
    <xf numFmtId="0" fontId="3" fillId="0" borderId="15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5" fontId="3" fillId="0" borderId="17" xfId="0" applyNumberFormat="1" applyFont="1" applyFill="1" applyBorder="1" applyAlignment="1">
      <alignment horizontal="right" vertical="top"/>
    </xf>
    <xf numFmtId="0" fontId="3" fillId="0" borderId="17" xfId="3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shrinkToFit="1"/>
    </xf>
    <xf numFmtId="0" fontId="6" fillId="0" borderId="17" xfId="3" applyFont="1" applyFill="1" applyBorder="1" applyAlignment="1">
      <alignment horizontal="left" vertical="top"/>
    </xf>
    <xf numFmtId="0" fontId="10" fillId="0" borderId="0" xfId="3" applyFont="1" applyFill="1" applyAlignment="1">
      <alignment wrapText="1"/>
    </xf>
    <xf numFmtId="0" fontId="11" fillId="0" borderId="0" xfId="0" applyFont="1" applyFill="1"/>
    <xf numFmtId="0" fontId="10" fillId="0" borderId="0" xfId="3" applyFont="1" applyFill="1"/>
    <xf numFmtId="0" fontId="15" fillId="0" borderId="2" xfId="0" applyFont="1" applyFill="1" applyBorder="1" applyAlignment="1">
      <alignment horizontal="right" vertical="top"/>
    </xf>
    <xf numFmtId="0" fontId="15" fillId="0" borderId="3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right" vertical="top"/>
    </xf>
    <xf numFmtId="0" fontId="16" fillId="0" borderId="3" xfId="0" applyFont="1" applyFill="1" applyBorder="1" applyAlignment="1">
      <alignment horizontal="left" vertical="top"/>
    </xf>
    <xf numFmtId="164" fontId="3" fillId="0" borderId="0" xfId="3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3" applyFont="1"/>
    <xf numFmtId="0" fontId="15" fillId="0" borderId="6" xfId="3" applyFont="1" applyFill="1" applyBorder="1" applyAlignment="1">
      <alignment horizontal="right" vertical="top"/>
    </xf>
    <xf numFmtId="0" fontId="15" fillId="0" borderId="8" xfId="3" applyFont="1" applyFill="1" applyBorder="1" applyAlignment="1">
      <alignment horizontal="right" vertical="top"/>
    </xf>
    <xf numFmtId="0" fontId="15" fillId="0" borderId="1" xfId="3" applyFont="1" applyFill="1" applyBorder="1" applyAlignment="1">
      <alignment horizontal="right" vertical="top"/>
    </xf>
    <xf numFmtId="0" fontId="3" fillId="0" borderId="7" xfId="3" applyFont="1" applyFill="1" applyBorder="1" applyAlignment="1">
      <alignment horizontal="left" vertical="top"/>
    </xf>
    <xf numFmtId="169" fontId="11" fillId="0" borderId="0" xfId="0" applyNumberFormat="1" applyFont="1"/>
    <xf numFmtId="164" fontId="3" fillId="0" borderId="9" xfId="0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vertical="top"/>
    </xf>
    <xf numFmtId="164" fontId="3" fillId="0" borderId="17" xfId="0" applyNumberFormat="1" applyFont="1" applyFill="1" applyBorder="1" applyAlignment="1">
      <alignment horizontal="right" vertical="top"/>
    </xf>
    <xf numFmtId="167" fontId="13" fillId="0" borderId="18" xfId="0" applyNumberFormat="1" applyFont="1" applyBorder="1"/>
    <xf numFmtId="0" fontId="4" fillId="0" borderId="1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165" fontId="3" fillId="3" borderId="1" xfId="0" applyNumberFormat="1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left" vertical="top"/>
    </xf>
    <xf numFmtId="165" fontId="3" fillId="4" borderId="1" xfId="0" applyNumberFormat="1" applyFont="1" applyFill="1" applyBorder="1" applyAlignment="1">
      <alignment horizontal="right" vertical="top"/>
    </xf>
    <xf numFmtId="164" fontId="3" fillId="0" borderId="16" xfId="3" applyNumberFormat="1" applyFont="1" applyFill="1" applyBorder="1" applyAlignment="1">
      <alignment horizontal="left" vertical="top" wrapText="1"/>
    </xf>
    <xf numFmtId="164" fontId="3" fillId="0" borderId="0" xfId="3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8" xfId="4"/>
    <cellStyle name="Normal_WAElec6_9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coupling%20Mechanisms\Tariff%20Filings\2016%20Def%20WA%20Sch%2075-175\2016%20WA%20Earnings%20Test\FINAL%20Decoupling%20Earnings%20Test%2012.2016%20CBR%20WA%20Ga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coupling%20Mechanisms\Tariff%20Filings\2016%20Def%20WA%20Sch%2075-175\2016%20WA%20Earnings%20Test\FINAL%20Decoupling%20Earnings%20Test%2012.2016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 INPUT"/>
      <sheetName val="RR SUMMARY"/>
      <sheetName val="CF"/>
      <sheetName val="ADJ SUMMARY"/>
      <sheetName val="LEAD SHEETS-DO NOT ENTER"/>
      <sheetName val="DEBT CALC"/>
      <sheetName val="ROO INPUT"/>
    </sheetNames>
    <sheetDataSet>
      <sheetData sheetId="0"/>
      <sheetData sheetId="1"/>
      <sheetData sheetId="2"/>
      <sheetData sheetId="3">
        <row r="15">
          <cell r="E15">
            <v>6.1828996311341531E-3</v>
          </cell>
        </row>
        <row r="17">
          <cell r="E17">
            <v>2E-3</v>
          </cell>
        </row>
        <row r="19">
          <cell r="E19">
            <v>3.8334071740649248E-2</v>
          </cell>
        </row>
        <row r="23">
          <cell r="E23">
            <v>0.95348302862821654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</sheetNames>
    <sheetDataSet>
      <sheetData sheetId="0" refreshError="1"/>
      <sheetData sheetId="1" refreshError="1"/>
      <sheetData sheetId="2" refreshError="1"/>
      <sheetData sheetId="3">
        <row r="12">
          <cell r="E12">
            <v>6.1828076488528987E-3</v>
          </cell>
        </row>
        <row r="14">
          <cell r="E14">
            <v>2E-3</v>
          </cell>
        </row>
        <row r="16">
          <cell r="E16">
            <v>3.8494515128529326E-2</v>
          </cell>
        </row>
        <row r="20">
          <cell r="E20">
            <v>0.95332267722261776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4" zoomScaleNormal="100" workbookViewId="0">
      <selection activeCell="D29" sqref="D29"/>
    </sheetView>
  </sheetViews>
  <sheetFormatPr defaultColWidth="8.88671875" defaultRowHeight="13.8"/>
  <cols>
    <col min="1" max="1" width="6.109375" style="16" customWidth="1"/>
    <col min="2" max="2" width="5.33203125" style="16" customWidth="1"/>
    <col min="3" max="3" width="23.88671875" style="16" customWidth="1"/>
    <col min="4" max="4" width="11.33203125" style="16" customWidth="1"/>
    <col min="5" max="6" width="17.88671875" style="14" customWidth="1"/>
    <col min="7" max="7" width="16" style="14" customWidth="1"/>
    <col min="8" max="9" width="14" style="14" customWidth="1"/>
    <col min="10" max="10" width="14.33203125" style="14" customWidth="1"/>
    <col min="11" max="11" width="14.109375" style="16" customWidth="1"/>
    <col min="12" max="12" width="14.88671875" style="16" customWidth="1"/>
    <col min="13" max="16384" width="8.88671875" style="16"/>
  </cols>
  <sheetData>
    <row r="1" spans="1:12">
      <c r="A1" s="16" t="s">
        <v>55</v>
      </c>
    </row>
    <row r="2" spans="1:12">
      <c r="A2" s="16" t="s">
        <v>56</v>
      </c>
    </row>
    <row r="3" spans="1:12">
      <c r="A3" s="16" t="s">
        <v>180</v>
      </c>
    </row>
    <row r="5" spans="1:12">
      <c r="A5" s="16" t="s">
        <v>54</v>
      </c>
    </row>
    <row r="6" spans="1:12">
      <c r="A6" s="15" t="s">
        <v>57</v>
      </c>
      <c r="B6" s="7"/>
      <c r="C6" s="7"/>
      <c r="D6" s="17"/>
      <c r="H6" s="36" t="s">
        <v>159</v>
      </c>
    </row>
    <row r="7" spans="1:12" ht="43.95" customHeight="1">
      <c r="A7" s="6" t="s">
        <v>53</v>
      </c>
      <c r="B7" s="7"/>
      <c r="C7" s="7" t="s">
        <v>25</v>
      </c>
      <c r="D7" s="18" t="s">
        <v>104</v>
      </c>
      <c r="E7" s="21" t="s">
        <v>51</v>
      </c>
      <c r="F7" s="21" t="s">
        <v>178</v>
      </c>
      <c r="G7" s="21" t="s">
        <v>162</v>
      </c>
      <c r="H7" s="21" t="s">
        <v>52</v>
      </c>
      <c r="I7" s="21" t="s">
        <v>105</v>
      </c>
      <c r="J7" s="21" t="s">
        <v>128</v>
      </c>
      <c r="K7" s="19" t="s">
        <v>58</v>
      </c>
      <c r="L7" s="19" t="s">
        <v>107</v>
      </c>
    </row>
    <row r="8" spans="1:12">
      <c r="A8" s="20"/>
      <c r="B8" s="17"/>
      <c r="C8" s="17"/>
      <c r="D8" s="17"/>
      <c r="H8" s="36"/>
      <c r="L8" s="34" t="s">
        <v>108</v>
      </c>
    </row>
    <row r="9" spans="1:12">
      <c r="A9" s="6"/>
      <c r="B9" s="7" t="s">
        <v>26</v>
      </c>
      <c r="C9" s="7"/>
      <c r="D9" s="7"/>
    </row>
    <row r="10" spans="1:12">
      <c r="A10" s="8">
        <v>1</v>
      </c>
      <c r="B10" s="9" t="s">
        <v>27</v>
      </c>
      <c r="C10" s="9"/>
      <c r="D10" s="13">
        <f>'[2]CF '!$E$20</f>
        <v>0.95332267722261776</v>
      </c>
      <c r="E10" s="14">
        <f>E22/$D$10</f>
        <v>-765322.19093496469</v>
      </c>
      <c r="F10" s="14">
        <f>-F14/$D$10</f>
        <v>717855.57644947595</v>
      </c>
      <c r="G10" s="14">
        <f>G33/$D$10</f>
        <v>17491181.525839392</v>
      </c>
      <c r="H10" s="14">
        <f>H19/$D$10</f>
        <v>402031.76653323288</v>
      </c>
      <c r="I10" s="14">
        <f>'E-EAS-2'!C29</f>
        <v>185392</v>
      </c>
      <c r="J10" s="14">
        <f>J24/$D$10</f>
        <v>165364.78546726826</v>
      </c>
      <c r="K10" s="23">
        <f>SUM(E10:J10)</f>
        <v>18196503.463354405</v>
      </c>
      <c r="L10" s="35">
        <f>-ROUND(K10/1000,0)+1</f>
        <v>-18196</v>
      </c>
    </row>
    <row r="11" spans="1:12">
      <c r="A11" s="8">
        <v>2</v>
      </c>
      <c r="B11" s="10" t="s">
        <v>28</v>
      </c>
      <c r="C11" s="10"/>
      <c r="D11" s="10"/>
      <c r="K11" s="23">
        <f>SUM(E11:J11)</f>
        <v>0</v>
      </c>
    </row>
    <row r="12" spans="1:12">
      <c r="A12" s="8">
        <v>3</v>
      </c>
      <c r="B12" s="10" t="s">
        <v>29</v>
      </c>
      <c r="C12" s="10"/>
      <c r="D12" s="10"/>
      <c r="K12" s="23">
        <f>SUM(E12:J12)</f>
        <v>0</v>
      </c>
    </row>
    <row r="13" spans="1:12">
      <c r="A13" s="8">
        <v>4</v>
      </c>
      <c r="B13" s="10" t="s">
        <v>30</v>
      </c>
      <c r="C13" s="10"/>
      <c r="D13" s="10"/>
      <c r="E13" s="22">
        <f>SUM(E10:E12)</f>
        <v>-765322.19093496469</v>
      </c>
      <c r="F13" s="22">
        <f>SUM(F10:F12)</f>
        <v>717855.57644947595</v>
      </c>
      <c r="G13" s="22">
        <f t="shared" ref="G13:K13" si="0">SUM(G10:G12)</f>
        <v>17491181.525839392</v>
      </c>
      <c r="H13" s="22">
        <f t="shared" si="0"/>
        <v>402031.76653323288</v>
      </c>
      <c r="I13" s="22">
        <f t="shared" ref="I13" si="1">SUM(I10:I12)</f>
        <v>185392</v>
      </c>
      <c r="J13" s="22">
        <f t="shared" si="0"/>
        <v>165364.78546726826</v>
      </c>
      <c r="K13" s="22">
        <f t="shared" si="0"/>
        <v>18196503.463354405</v>
      </c>
      <c r="L13" s="22">
        <f>SUM(L10:L12)</f>
        <v>-18196</v>
      </c>
    </row>
    <row r="14" spans="1:12">
      <c r="A14" s="8">
        <v>5</v>
      </c>
      <c r="B14" s="10" t="s">
        <v>31</v>
      </c>
      <c r="C14" s="10"/>
      <c r="D14" s="10"/>
      <c r="F14" s="14">
        <f>-'E-EAS-2'!C16-'E-EAS-2'!C17</f>
        <v>-684348</v>
      </c>
      <c r="K14" s="23">
        <f>SUM(E14:J14)</f>
        <v>-684348</v>
      </c>
      <c r="L14" s="35">
        <f>-ROUND(K14/1000,0)</f>
        <v>684</v>
      </c>
    </row>
    <row r="15" spans="1:12">
      <c r="A15" s="8">
        <v>6</v>
      </c>
      <c r="B15" s="10" t="s">
        <v>32</v>
      </c>
      <c r="C15" s="10"/>
      <c r="D15" s="10"/>
      <c r="E15" s="22">
        <f>SUM(E13:E14)</f>
        <v>-765322.19093496469</v>
      </c>
      <c r="F15" s="22">
        <f>SUM(F13:F14)</f>
        <v>33507.57644947595</v>
      </c>
      <c r="G15" s="22">
        <f t="shared" ref="G15:K15" si="2">SUM(G13:G14)</f>
        <v>17491181.525839392</v>
      </c>
      <c r="H15" s="22">
        <f t="shared" si="2"/>
        <v>402031.76653323288</v>
      </c>
      <c r="I15" s="22">
        <f t="shared" ref="I15" si="3">SUM(I13:I14)</f>
        <v>185392</v>
      </c>
      <c r="J15" s="22">
        <f t="shared" si="2"/>
        <v>165364.78546726826</v>
      </c>
      <c r="K15" s="22">
        <f t="shared" si="2"/>
        <v>17512155.463354405</v>
      </c>
      <c r="L15" s="22">
        <f>SUM(L13:L14)</f>
        <v>-17512</v>
      </c>
    </row>
    <row r="16" spans="1:12">
      <c r="A16" s="8"/>
      <c r="B16" s="10"/>
      <c r="C16" s="10"/>
      <c r="D16" s="10"/>
    </row>
    <row r="17" spans="1:12">
      <c r="A17" s="8"/>
      <c r="B17" s="10" t="s">
        <v>33</v>
      </c>
      <c r="C17" s="10"/>
      <c r="D17" s="10"/>
    </row>
    <row r="18" spans="1:12">
      <c r="A18" s="8"/>
      <c r="B18" s="10" t="s">
        <v>34</v>
      </c>
      <c r="C18" s="10"/>
      <c r="D18" s="10"/>
    </row>
    <row r="19" spans="1:12">
      <c r="A19" s="8">
        <v>7</v>
      </c>
      <c r="B19" s="10"/>
      <c r="C19" s="10" t="s">
        <v>35</v>
      </c>
      <c r="D19" s="10"/>
      <c r="H19" s="14">
        <f>'E-EAS-2'!C11</f>
        <v>383266</v>
      </c>
      <c r="K19" s="23">
        <f>SUM(E19:J19)</f>
        <v>383266</v>
      </c>
      <c r="L19" s="35">
        <f>-ROUND(K19/1000,0)</f>
        <v>-383</v>
      </c>
    </row>
    <row r="20" spans="1:12">
      <c r="A20" s="8">
        <v>8</v>
      </c>
      <c r="B20" s="10"/>
      <c r="C20" s="10" t="s">
        <v>36</v>
      </c>
      <c r="D20" s="10"/>
      <c r="K20" s="23">
        <f>SUM(E20:J20)</f>
        <v>0</v>
      </c>
    </row>
    <row r="21" spans="1:12">
      <c r="A21" s="8">
        <v>9</v>
      </c>
      <c r="B21" s="10"/>
      <c r="C21" s="10" t="s">
        <v>37</v>
      </c>
      <c r="D21" s="10"/>
      <c r="K21" s="23">
        <f>SUM(E21:J21)</f>
        <v>0</v>
      </c>
    </row>
    <row r="22" spans="1:12">
      <c r="A22" s="8">
        <v>10</v>
      </c>
      <c r="B22" s="10"/>
      <c r="C22" s="11" t="s">
        <v>38</v>
      </c>
      <c r="D22" s="11"/>
      <c r="E22" s="14">
        <f>'E-EAS-2'!C10+'E-EAS-2'!C8</f>
        <v>-729599</v>
      </c>
      <c r="I22" s="14">
        <f>'E-EAS-2'!C7</f>
        <v>176886</v>
      </c>
      <c r="J22" s="14">
        <f>'E-EAS-2'!C9</f>
        <v>157646</v>
      </c>
      <c r="K22" s="23">
        <f>SUM(E22:J22)</f>
        <v>-395067</v>
      </c>
      <c r="L22" s="35">
        <f>-ROUND(K22/1000,0)</f>
        <v>395</v>
      </c>
    </row>
    <row r="23" spans="1:12">
      <c r="A23" s="8">
        <v>11</v>
      </c>
      <c r="B23" s="10"/>
      <c r="C23" s="10" t="s">
        <v>39</v>
      </c>
      <c r="D23" s="10"/>
      <c r="K23" s="23">
        <f>SUM(E23:J23)</f>
        <v>0</v>
      </c>
    </row>
    <row r="24" spans="1:12">
      <c r="A24" s="8">
        <v>12</v>
      </c>
      <c r="B24" s="10" t="s">
        <v>40</v>
      </c>
      <c r="C24" s="10"/>
      <c r="D24" s="10"/>
      <c r="E24" s="22">
        <f>SUM(E19:E23)</f>
        <v>-729599</v>
      </c>
      <c r="F24" s="22">
        <f>SUM(F19:F23)</f>
        <v>0</v>
      </c>
      <c r="G24" s="22">
        <f t="shared" ref="G24:L24" si="4">SUM(G19:G23)</f>
        <v>0</v>
      </c>
      <c r="H24" s="22">
        <f t="shared" si="4"/>
        <v>383266</v>
      </c>
      <c r="I24" s="22">
        <f t="shared" ref="I24" si="5">SUM(I19:I23)</f>
        <v>176886</v>
      </c>
      <c r="J24" s="22">
        <f t="shared" si="4"/>
        <v>157646</v>
      </c>
      <c r="K24" s="22">
        <f t="shared" si="4"/>
        <v>-11801</v>
      </c>
      <c r="L24" s="22">
        <f t="shared" si="4"/>
        <v>12</v>
      </c>
    </row>
    <row r="25" spans="1:12">
      <c r="A25" s="8"/>
      <c r="B25" s="10"/>
      <c r="C25" s="10"/>
      <c r="D25" s="10"/>
    </row>
    <row r="26" spans="1:12">
      <c r="A26" s="8"/>
      <c r="B26" s="10" t="s">
        <v>41</v>
      </c>
      <c r="C26" s="10"/>
      <c r="D26" s="10"/>
    </row>
    <row r="27" spans="1:12">
      <c r="A27" s="8">
        <v>13</v>
      </c>
      <c r="B27" s="10"/>
      <c r="C27" s="10" t="s">
        <v>35</v>
      </c>
      <c r="D27" s="10"/>
      <c r="K27" s="23">
        <f>SUM(E27:J27)</f>
        <v>0</v>
      </c>
    </row>
    <row r="28" spans="1:12">
      <c r="A28" s="8">
        <v>14</v>
      </c>
      <c r="B28" s="10"/>
      <c r="C28" s="10" t="s">
        <v>42</v>
      </c>
      <c r="D28" s="10"/>
      <c r="K28" s="23">
        <f>SUM(E28:J28)</f>
        <v>0</v>
      </c>
    </row>
    <row r="29" spans="1:12">
      <c r="A29" s="8">
        <v>15</v>
      </c>
      <c r="B29" s="10"/>
      <c r="C29" s="10" t="s">
        <v>39</v>
      </c>
      <c r="D29" s="13">
        <f>'[2]CF '!$E$16</f>
        <v>3.8494515128529326E-2</v>
      </c>
      <c r="E29" s="14">
        <f>E$10*$D29</f>
        <v>-29460.706657145209</v>
      </c>
      <c r="F29" s="14">
        <f>F$10*$D29</f>
        <v>27633.502347733491</v>
      </c>
      <c r="G29" s="14">
        <f t="shared" ref="G29:J29" si="6">G$10*$D29</f>
        <v>673314.55186227709</v>
      </c>
      <c r="H29" s="14">
        <f t="shared" si="6"/>
        <v>15476.017918962903</v>
      </c>
      <c r="I29" s="14">
        <f t="shared" si="6"/>
        <v>7136.5751487083089</v>
      </c>
      <c r="J29" s="14">
        <f t="shared" si="6"/>
        <v>6365.6372358957642</v>
      </c>
      <c r="K29" s="23">
        <f>SUM(E29:J29)</f>
        <v>700465.5778564323</v>
      </c>
      <c r="L29" s="35">
        <f>-ROUND(K29/1000,0)</f>
        <v>-700</v>
      </c>
    </row>
    <row r="30" spans="1:12">
      <c r="A30" s="8">
        <v>16</v>
      </c>
      <c r="B30" s="10" t="s">
        <v>43</v>
      </c>
      <c r="C30" s="10"/>
      <c r="D30" s="13"/>
      <c r="E30" s="22">
        <f>SUM(E27:E29)</f>
        <v>-29460.706657145209</v>
      </c>
      <c r="F30" s="22">
        <f>SUM(F27:F29)</f>
        <v>27633.502347733491</v>
      </c>
      <c r="G30" s="22">
        <f t="shared" ref="G30:L30" si="7">SUM(G27:G29)</f>
        <v>673314.55186227709</v>
      </c>
      <c r="H30" s="22">
        <f t="shared" si="7"/>
        <v>15476.017918962903</v>
      </c>
      <c r="I30" s="22">
        <f t="shared" ref="I30" si="8">SUM(I27:I29)</f>
        <v>7136.5751487083089</v>
      </c>
      <c r="J30" s="22">
        <f t="shared" si="7"/>
        <v>6365.6372358957642</v>
      </c>
      <c r="K30" s="22">
        <f t="shared" si="7"/>
        <v>700465.5778564323</v>
      </c>
      <c r="L30" s="22">
        <f t="shared" si="7"/>
        <v>-700</v>
      </c>
    </row>
    <row r="31" spans="1:12">
      <c r="A31" s="10"/>
      <c r="B31" s="10"/>
      <c r="C31" s="10"/>
      <c r="D31" s="13"/>
    </row>
    <row r="32" spans="1:12">
      <c r="A32" s="8">
        <v>17</v>
      </c>
      <c r="B32" s="10" t="s">
        <v>44</v>
      </c>
      <c r="C32" s="10"/>
      <c r="D32" s="13">
        <f>'[2]CF '!$E$12</f>
        <v>6.1828076488528987E-3</v>
      </c>
      <c r="E32" s="14">
        <f>E$10*$D32</f>
        <v>-4731.839895949558</v>
      </c>
      <c r="F32" s="14">
        <f>F$10*$D32</f>
        <v>4438.3629488435263</v>
      </c>
      <c r="G32" s="14">
        <f t="shared" ref="G32:J32" si="9">G$10*$D32</f>
        <v>108144.6109254343</v>
      </c>
      <c r="H32" s="14">
        <f t="shared" si="9"/>
        <v>2485.685081203515</v>
      </c>
      <c r="I32" s="14">
        <f t="shared" si="9"/>
        <v>1146.2430756361366</v>
      </c>
      <c r="J32" s="14">
        <f t="shared" si="9"/>
        <v>1022.4186604379448</v>
      </c>
      <c r="K32" s="23">
        <f>SUM(E32:J32)</f>
        <v>112505.48079560588</v>
      </c>
      <c r="L32" s="35">
        <f t="shared" ref="L32:L33" si="10">-ROUND(K32/1000,0)</f>
        <v>-113</v>
      </c>
    </row>
    <row r="33" spans="1:12">
      <c r="A33" s="8">
        <v>18</v>
      </c>
      <c r="B33" s="10" t="s">
        <v>45</v>
      </c>
      <c r="C33" s="10"/>
      <c r="D33" s="13"/>
      <c r="G33" s="14">
        <f>'E-EAS-2'!C14+'E-EAS-2'!C15</f>
        <v>16674740</v>
      </c>
      <c r="K33" s="23">
        <f>SUM(E33:J33)</f>
        <v>16674740</v>
      </c>
      <c r="L33" s="35">
        <f t="shared" si="10"/>
        <v>-16675</v>
      </c>
    </row>
    <row r="34" spans="1:12">
      <c r="A34" s="8">
        <v>19</v>
      </c>
      <c r="B34" s="10" t="s">
        <v>46</v>
      </c>
      <c r="C34" s="10"/>
      <c r="D34" s="13"/>
      <c r="K34" s="23">
        <f>SUM(E34:J34)</f>
        <v>0</v>
      </c>
    </row>
    <row r="35" spans="1:12">
      <c r="A35" s="8"/>
      <c r="B35" s="10"/>
      <c r="C35" s="10"/>
      <c r="D35" s="13"/>
    </row>
    <row r="36" spans="1:12">
      <c r="A36" s="10"/>
      <c r="B36" s="10" t="s">
        <v>47</v>
      </c>
      <c r="C36" s="10"/>
      <c r="D36" s="13"/>
    </row>
    <row r="37" spans="1:12">
      <c r="A37" s="8">
        <v>20</v>
      </c>
      <c r="B37" s="10"/>
      <c r="C37" s="10" t="s">
        <v>35</v>
      </c>
      <c r="D37" s="13">
        <f>'[2]CF '!$E$14</f>
        <v>2E-3</v>
      </c>
      <c r="E37" s="14">
        <f>E$10*$D37</f>
        <v>-1530.6443818699295</v>
      </c>
      <c r="F37" s="14">
        <f>F$10*$D37</f>
        <v>1435.7111528989519</v>
      </c>
      <c r="G37" s="14">
        <f t="shared" ref="G37:J37" si="11">G$10*$D37</f>
        <v>34982.363051678782</v>
      </c>
      <c r="H37" s="14">
        <f t="shared" si="11"/>
        <v>804.06353306646577</v>
      </c>
      <c r="I37" s="14">
        <f t="shared" si="11"/>
        <v>370.78399999999999</v>
      </c>
      <c r="J37" s="14">
        <f t="shared" si="11"/>
        <v>330.72957093453653</v>
      </c>
      <c r="K37" s="23">
        <f>SUM(E37:J37)</f>
        <v>36393.006926708804</v>
      </c>
      <c r="L37" s="35">
        <f>-ROUND(K37/1000,0)</f>
        <v>-36</v>
      </c>
    </row>
    <row r="38" spans="1:12">
      <c r="A38" s="8">
        <v>21</v>
      </c>
      <c r="B38" s="10"/>
      <c r="C38" s="10" t="s">
        <v>42</v>
      </c>
      <c r="D38" s="13"/>
      <c r="K38" s="23">
        <f>SUM(E38:J38)</f>
        <v>0</v>
      </c>
    </row>
    <row r="39" spans="1:12">
      <c r="A39" s="12">
        <v>22</v>
      </c>
      <c r="B39" s="10"/>
      <c r="C39" s="10" t="s">
        <v>39</v>
      </c>
      <c r="D39" s="13"/>
      <c r="K39" s="23">
        <f>SUM(E39:J39)</f>
        <v>0</v>
      </c>
    </row>
    <row r="40" spans="1:12">
      <c r="A40" s="8">
        <v>23</v>
      </c>
      <c r="B40" s="10" t="s">
        <v>48</v>
      </c>
      <c r="C40" s="10"/>
      <c r="D40" s="10"/>
      <c r="E40" s="22">
        <f>SUM(E37:E39)</f>
        <v>-1530.6443818699295</v>
      </c>
      <c r="F40" s="22">
        <f>SUM(F37:F39)</f>
        <v>1435.7111528989519</v>
      </c>
      <c r="G40" s="22">
        <f t="shared" ref="G40:K40" si="12">SUM(G37:G39)</f>
        <v>34982.363051678782</v>
      </c>
      <c r="H40" s="22">
        <f t="shared" si="12"/>
        <v>804.06353306646577</v>
      </c>
      <c r="I40" s="22">
        <f t="shared" ref="I40" si="13">SUM(I37:I39)</f>
        <v>370.78399999999999</v>
      </c>
      <c r="J40" s="22">
        <f t="shared" si="12"/>
        <v>330.72957093453653</v>
      </c>
      <c r="K40" s="22">
        <f t="shared" si="12"/>
        <v>36393.006926708804</v>
      </c>
      <c r="L40" s="22">
        <f t="shared" ref="L40" si="14">SUM(L37:L39)</f>
        <v>-36</v>
      </c>
    </row>
    <row r="41" spans="1:12">
      <c r="A41" s="8">
        <v>24</v>
      </c>
      <c r="B41" s="10" t="s">
        <v>49</v>
      </c>
      <c r="C41" s="10"/>
      <c r="D41" s="10"/>
      <c r="E41" s="14">
        <f>E24+E30+E32+E33+E34+E40</f>
        <v>-765322.19093496469</v>
      </c>
      <c r="F41" s="14">
        <f>F24+F30+F32+F33+F34+F40</f>
        <v>33507.576449475971</v>
      </c>
      <c r="G41" s="14">
        <f t="shared" ref="G41:K41" si="15">G24+G30+G32+G33+G34+G40</f>
        <v>17491181.525839392</v>
      </c>
      <c r="H41" s="14">
        <f t="shared" si="15"/>
        <v>402031.76653323293</v>
      </c>
      <c r="I41" s="14">
        <f t="shared" ref="I41" si="16">I24+I30+I32+I33+I34+I40</f>
        <v>185539.60222434445</v>
      </c>
      <c r="J41" s="14">
        <f t="shared" si="15"/>
        <v>165364.78546726826</v>
      </c>
      <c r="K41" s="14">
        <f t="shared" si="15"/>
        <v>17512303.065578748</v>
      </c>
      <c r="L41" s="14">
        <f t="shared" ref="L41" si="17">L24+L30+L32+L33+L34+L40</f>
        <v>-17512</v>
      </c>
    </row>
    <row r="42" spans="1:12">
      <c r="A42" s="10"/>
      <c r="B42" s="10"/>
      <c r="C42" s="10"/>
      <c r="D42" s="10"/>
      <c r="K42" s="14"/>
      <c r="L42" s="14"/>
    </row>
    <row r="43" spans="1:12">
      <c r="A43" s="8">
        <v>25</v>
      </c>
      <c r="B43" s="10" t="s">
        <v>50</v>
      </c>
      <c r="C43" s="10"/>
      <c r="D43" s="10"/>
      <c r="E43" s="14">
        <f>E15-E41</f>
        <v>0</v>
      </c>
      <c r="F43" s="14">
        <f>F15-F41</f>
        <v>0</v>
      </c>
      <c r="G43" s="14">
        <f t="shared" ref="G43:J43" si="18">G15-G41</f>
        <v>0</v>
      </c>
      <c r="H43" s="14">
        <f t="shared" si="18"/>
        <v>0</v>
      </c>
      <c r="I43" s="14">
        <f t="shared" ref="I43" si="19">I15-I41</f>
        <v>-147.60222434444586</v>
      </c>
      <c r="J43" s="14">
        <f t="shared" si="18"/>
        <v>0</v>
      </c>
      <c r="K43" s="14">
        <f t="shared" ref="K43" si="20">K15-K41</f>
        <v>-147.60222434252501</v>
      </c>
      <c r="L43" s="14">
        <f>L15-L41</f>
        <v>0</v>
      </c>
    </row>
  </sheetData>
  <pageMargins left="0.7" right="0.7" top="0.46" bottom="0.86" header="0.3" footer="0.3"/>
  <pageSetup scale="72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activeCell="C17" sqref="C17"/>
    </sheetView>
  </sheetViews>
  <sheetFormatPr defaultRowHeight="14.4"/>
  <cols>
    <col min="1" max="1" width="21.44140625" customWidth="1"/>
    <col min="2" max="2" width="39.33203125" customWidth="1"/>
    <col min="3" max="3" width="15.109375" customWidth="1"/>
    <col min="4" max="4" width="14.6640625" customWidth="1"/>
    <col min="5" max="6" width="16.6640625" customWidth="1"/>
    <col min="7" max="7" width="14.33203125" customWidth="1"/>
    <col min="8" max="8" width="12.5546875" customWidth="1"/>
  </cols>
  <sheetData>
    <row r="1" spans="1:9" ht="30.6" customHeight="1">
      <c r="A1" s="119" t="s">
        <v>171</v>
      </c>
      <c r="B1" s="119"/>
      <c r="C1" s="119"/>
      <c r="D1" s="119"/>
      <c r="E1" s="119"/>
      <c r="F1" s="119"/>
      <c r="G1" s="87"/>
      <c r="H1" s="16"/>
      <c r="I1" s="16"/>
    </row>
    <row r="2" spans="1:9">
      <c r="A2" s="88"/>
      <c r="B2" s="88"/>
      <c r="C2" s="88"/>
      <c r="D2" s="88"/>
      <c r="E2" s="88"/>
      <c r="F2" s="88"/>
      <c r="G2" s="88"/>
      <c r="H2" s="16"/>
      <c r="I2" s="16"/>
    </row>
    <row r="3" spans="1:9" ht="26.4">
      <c r="A3" s="46" t="s">
        <v>0</v>
      </c>
      <c r="B3" s="47" t="s">
        <v>1</v>
      </c>
      <c r="C3" s="47" t="s">
        <v>93</v>
      </c>
      <c r="D3" s="46" t="s">
        <v>2</v>
      </c>
      <c r="E3" s="88"/>
      <c r="F3" s="88"/>
      <c r="G3" s="89"/>
      <c r="H3" s="16"/>
      <c r="I3" s="16"/>
    </row>
    <row r="4" spans="1:9">
      <c r="A4" s="88"/>
      <c r="B4" s="88"/>
      <c r="C4" s="88"/>
      <c r="D4" s="88"/>
      <c r="E4" s="88"/>
      <c r="F4" s="88"/>
      <c r="G4" s="16"/>
      <c r="H4" s="16"/>
      <c r="I4" s="16"/>
    </row>
    <row r="5" spans="1:9">
      <c r="A5" s="90"/>
      <c r="B5" s="91"/>
      <c r="C5" s="50" t="s">
        <v>3</v>
      </c>
      <c r="D5" s="92" t="s">
        <v>4</v>
      </c>
      <c r="E5" s="92" t="s">
        <v>5</v>
      </c>
      <c r="F5" s="92" t="s">
        <v>6</v>
      </c>
      <c r="G5" s="16"/>
      <c r="H5" s="16"/>
      <c r="I5" s="16"/>
    </row>
    <row r="6" spans="1:9">
      <c r="A6" s="46" t="s">
        <v>7</v>
      </c>
      <c r="B6" s="93" t="s">
        <v>8</v>
      </c>
      <c r="C6" s="94"/>
      <c r="D6" s="94"/>
      <c r="E6" s="94"/>
      <c r="F6" s="94"/>
      <c r="G6" s="16"/>
      <c r="H6" s="16"/>
      <c r="I6" s="16"/>
    </row>
    <row r="7" spans="1:9" ht="27.6" customHeight="1">
      <c r="A7" s="46" t="s">
        <v>9</v>
      </c>
      <c r="B7" s="93" t="s">
        <v>10</v>
      </c>
      <c r="C7" s="54">
        <v>176886</v>
      </c>
      <c r="D7" s="54">
        <v>176886</v>
      </c>
      <c r="E7" s="58" t="s">
        <v>11</v>
      </c>
      <c r="F7" s="58" t="s">
        <v>11</v>
      </c>
      <c r="G7" s="117" t="s">
        <v>133</v>
      </c>
      <c r="H7" s="118"/>
      <c r="I7" s="118"/>
    </row>
    <row r="8" spans="1:9" ht="28.2" customHeight="1">
      <c r="A8" s="46" t="s">
        <v>12</v>
      </c>
      <c r="B8" s="93" t="s">
        <v>13</v>
      </c>
      <c r="C8" s="54">
        <v>-684730</v>
      </c>
      <c r="D8" s="54">
        <v>-684730</v>
      </c>
      <c r="E8" s="58" t="s">
        <v>11</v>
      </c>
      <c r="F8" s="58" t="s">
        <v>11</v>
      </c>
      <c r="G8" s="117" t="s">
        <v>134</v>
      </c>
      <c r="H8" s="118"/>
      <c r="I8" s="118"/>
    </row>
    <row r="9" spans="1:9" ht="28.2" customHeight="1">
      <c r="A9" s="46" t="s">
        <v>123</v>
      </c>
      <c r="B9" s="93" t="s">
        <v>124</v>
      </c>
      <c r="C9" s="54">
        <v>157646</v>
      </c>
      <c r="D9" s="54">
        <v>157646</v>
      </c>
      <c r="E9" s="58" t="s">
        <v>11</v>
      </c>
      <c r="F9" s="58" t="s">
        <v>11</v>
      </c>
      <c r="G9" s="117" t="s">
        <v>131</v>
      </c>
      <c r="H9" s="118"/>
      <c r="I9" s="118"/>
    </row>
    <row r="10" spans="1:9" ht="29.4" customHeight="1">
      <c r="A10" s="46" t="s">
        <v>14</v>
      </c>
      <c r="B10" s="93" t="s">
        <v>15</v>
      </c>
      <c r="C10" s="54">
        <v>-44869</v>
      </c>
      <c r="D10" s="54">
        <v>-44869</v>
      </c>
      <c r="E10" s="58" t="s">
        <v>11</v>
      </c>
      <c r="F10" s="58" t="s">
        <v>11</v>
      </c>
      <c r="G10" s="117" t="s">
        <v>130</v>
      </c>
      <c r="H10" s="118"/>
      <c r="I10" s="118"/>
    </row>
    <row r="11" spans="1:9" ht="28.2" customHeight="1">
      <c r="A11" s="46" t="s">
        <v>16</v>
      </c>
      <c r="B11" s="93" t="s">
        <v>17</v>
      </c>
      <c r="C11" s="54">
        <v>383266</v>
      </c>
      <c r="D11" s="54">
        <v>383266</v>
      </c>
      <c r="E11" s="58" t="s">
        <v>11</v>
      </c>
      <c r="F11" s="58" t="s">
        <v>11</v>
      </c>
      <c r="G11" s="117" t="s">
        <v>129</v>
      </c>
      <c r="H11" s="118"/>
      <c r="I11" s="118"/>
    </row>
    <row r="12" spans="1:9" ht="29.4" customHeight="1">
      <c r="A12" s="46" t="s">
        <v>18</v>
      </c>
      <c r="B12" s="93" t="s">
        <v>19</v>
      </c>
      <c r="C12" s="54">
        <v>-640834</v>
      </c>
      <c r="D12" s="54">
        <v>-640834</v>
      </c>
      <c r="E12" s="58" t="s">
        <v>11</v>
      </c>
      <c r="F12" s="58" t="s">
        <v>11</v>
      </c>
      <c r="G12" s="117" t="s">
        <v>160</v>
      </c>
      <c r="H12" s="118"/>
      <c r="I12" s="118"/>
    </row>
    <row r="13" spans="1:9" ht="26.4" customHeight="1">
      <c r="A13" s="46" t="s">
        <v>125</v>
      </c>
      <c r="B13" s="93" t="s">
        <v>126</v>
      </c>
      <c r="C13" s="54">
        <v>-3844131</v>
      </c>
      <c r="D13" s="54">
        <v>-3844131</v>
      </c>
      <c r="E13" s="58" t="s">
        <v>11</v>
      </c>
      <c r="F13" s="58" t="s">
        <v>11</v>
      </c>
      <c r="G13" s="117" t="s">
        <v>161</v>
      </c>
      <c r="H13" s="118"/>
      <c r="I13" s="118"/>
    </row>
    <row r="14" spans="1:9" ht="27.6" customHeight="1">
      <c r="A14" s="46" t="s">
        <v>20</v>
      </c>
      <c r="B14" s="93" t="s">
        <v>21</v>
      </c>
      <c r="C14" s="54">
        <v>16384176</v>
      </c>
      <c r="D14" s="54">
        <v>16384176</v>
      </c>
      <c r="E14" s="58" t="s">
        <v>11</v>
      </c>
      <c r="F14" s="58" t="s">
        <v>11</v>
      </c>
      <c r="G14" s="117" t="s">
        <v>135</v>
      </c>
      <c r="H14" s="118"/>
      <c r="I14" s="118"/>
    </row>
    <row r="15" spans="1:9" ht="28.95" customHeight="1">
      <c r="A15" s="66" t="s">
        <v>22</v>
      </c>
      <c r="B15" s="95" t="s">
        <v>23</v>
      </c>
      <c r="C15" s="76">
        <v>290564</v>
      </c>
      <c r="D15" s="76">
        <v>290564</v>
      </c>
      <c r="E15" s="96" t="s">
        <v>11</v>
      </c>
      <c r="F15" s="96" t="s">
        <v>11</v>
      </c>
      <c r="G15" s="117" t="s">
        <v>132</v>
      </c>
      <c r="H15" s="118"/>
      <c r="I15" s="118"/>
    </row>
    <row r="16" spans="1:9" ht="28.95" customHeight="1">
      <c r="A16" s="82">
        <v>456329</v>
      </c>
      <c r="B16" s="97" t="s">
        <v>173</v>
      </c>
      <c r="C16" s="81">
        <v>1180989</v>
      </c>
      <c r="D16" s="81">
        <v>1180989</v>
      </c>
      <c r="E16" s="107" t="s">
        <v>11</v>
      </c>
      <c r="F16" s="109" t="s">
        <v>11</v>
      </c>
      <c r="G16" s="108" t="s">
        <v>176</v>
      </c>
      <c r="H16" s="98"/>
      <c r="I16" s="98"/>
    </row>
    <row r="17" spans="1:9" ht="28.95" customHeight="1">
      <c r="A17" s="82">
        <v>456339</v>
      </c>
      <c r="B17" s="97" t="s">
        <v>174</v>
      </c>
      <c r="C17" s="81">
        <v>-496641</v>
      </c>
      <c r="D17" s="81">
        <v>-496641</v>
      </c>
      <c r="E17" s="107" t="s">
        <v>11</v>
      </c>
      <c r="F17" s="109" t="s">
        <v>11</v>
      </c>
      <c r="G17" s="108" t="s">
        <v>177</v>
      </c>
      <c r="H17" s="98"/>
      <c r="I17" s="98"/>
    </row>
    <row r="18" spans="1:9" ht="14.4" customHeight="1">
      <c r="A18" s="77" t="s">
        <v>24</v>
      </c>
      <c r="B18" s="78"/>
      <c r="C18" s="79">
        <f>SUM(C7:C17)</f>
        <v>12862322</v>
      </c>
      <c r="D18" s="79">
        <f>SUM(D7:D17)</f>
        <v>12862322</v>
      </c>
      <c r="E18" s="80"/>
      <c r="F18" s="80"/>
      <c r="G18" s="16"/>
      <c r="H18" s="16"/>
      <c r="I18" s="16"/>
    </row>
    <row r="19" spans="1:9">
      <c r="A19" s="16"/>
      <c r="B19" s="16"/>
      <c r="C19" s="16"/>
      <c r="D19" s="16"/>
      <c r="E19" s="16"/>
      <c r="F19" s="16"/>
      <c r="G19" s="16"/>
      <c r="H19" s="16"/>
      <c r="I19" s="16"/>
    </row>
    <row r="20" spans="1:9">
      <c r="A20" s="16"/>
      <c r="B20" s="16"/>
      <c r="C20" s="16"/>
      <c r="D20" s="99"/>
      <c r="E20" s="100"/>
      <c r="F20" s="100"/>
      <c r="G20" s="16"/>
      <c r="H20" s="16"/>
      <c r="I20" s="16"/>
    </row>
    <row r="21" spans="1:9">
      <c r="A21" s="16" t="s">
        <v>175</v>
      </c>
      <c r="B21" s="101"/>
      <c r="C21" s="16"/>
      <c r="D21" s="16"/>
      <c r="E21" s="16"/>
      <c r="F21" s="16"/>
      <c r="G21" s="16"/>
      <c r="H21" s="16"/>
      <c r="I21" s="16"/>
    </row>
    <row r="22" spans="1:9">
      <c r="A22" s="16"/>
      <c r="B22" s="16"/>
      <c r="C22" s="16"/>
      <c r="D22" s="16"/>
      <c r="E22" s="16"/>
      <c r="F22" s="16"/>
      <c r="G22" s="16"/>
      <c r="H22" s="16"/>
      <c r="I22" s="16"/>
    </row>
    <row r="23" spans="1:9">
      <c r="A23" s="4" t="s">
        <v>150</v>
      </c>
      <c r="B23" s="3" t="s">
        <v>121</v>
      </c>
      <c r="C23" s="4" t="s">
        <v>154</v>
      </c>
      <c r="D23" s="16"/>
      <c r="E23" s="16"/>
      <c r="F23" s="16"/>
      <c r="G23" s="16"/>
      <c r="H23" s="16"/>
      <c r="I23" s="16"/>
    </row>
    <row r="24" spans="1:9">
      <c r="A24" s="88"/>
      <c r="B24" s="88"/>
      <c r="C24" s="88"/>
      <c r="D24" s="16"/>
      <c r="E24" s="16"/>
      <c r="F24" s="16"/>
      <c r="G24" s="16"/>
      <c r="H24" s="16"/>
      <c r="I24" s="16"/>
    </row>
    <row r="25" spans="1:9">
      <c r="A25" s="102"/>
      <c r="B25" s="41"/>
      <c r="C25" s="44" t="s">
        <v>122</v>
      </c>
      <c r="D25" s="16"/>
      <c r="E25" s="16"/>
      <c r="F25" s="16"/>
      <c r="G25" s="16"/>
      <c r="H25" s="16"/>
      <c r="I25" s="16"/>
    </row>
    <row r="26" spans="1:9">
      <c r="A26" s="103"/>
      <c r="B26" s="4" t="s">
        <v>151</v>
      </c>
      <c r="C26" s="5" t="s">
        <v>155</v>
      </c>
      <c r="D26" s="16"/>
      <c r="E26" s="16"/>
      <c r="F26" s="16"/>
      <c r="G26" s="16"/>
      <c r="H26" s="16"/>
      <c r="I26" s="16"/>
    </row>
    <row r="27" spans="1:9">
      <c r="A27" s="4" t="s">
        <v>152</v>
      </c>
      <c r="B27" s="104"/>
      <c r="C27" s="104"/>
      <c r="D27" s="16"/>
      <c r="E27" s="16"/>
      <c r="F27" s="16"/>
      <c r="G27" s="16"/>
      <c r="H27" s="16"/>
      <c r="I27" s="16"/>
    </row>
    <row r="28" spans="1:9">
      <c r="A28" s="4" t="s">
        <v>153</v>
      </c>
      <c r="B28" s="104"/>
      <c r="C28" s="42">
        <v>185392</v>
      </c>
      <c r="D28" s="16"/>
      <c r="E28" s="16"/>
      <c r="F28" s="16"/>
      <c r="G28" s="16"/>
      <c r="H28" s="16"/>
      <c r="I28" s="16"/>
    </row>
    <row r="29" spans="1:9">
      <c r="A29" s="105" t="s">
        <v>156</v>
      </c>
      <c r="B29" s="16"/>
      <c r="C29" s="106">
        <f>SUM(C28)</f>
        <v>185392</v>
      </c>
      <c r="D29" s="16"/>
      <c r="E29" s="16"/>
      <c r="F29" s="16"/>
      <c r="G29" s="16"/>
      <c r="H29" s="16"/>
      <c r="I29" s="16"/>
    </row>
    <row r="30" spans="1:9">
      <c r="A30" s="16"/>
      <c r="B30" s="16"/>
      <c r="C30" s="16"/>
      <c r="D30" s="16"/>
      <c r="E30" s="16"/>
      <c r="F30" s="16"/>
      <c r="G30" s="16"/>
      <c r="H30" s="16"/>
      <c r="I30" s="16"/>
    </row>
    <row r="31" spans="1:9">
      <c r="A31" s="16"/>
      <c r="B31" s="16"/>
      <c r="C31" s="16"/>
      <c r="D31" s="16"/>
      <c r="E31" s="88"/>
      <c r="F31" s="16"/>
      <c r="G31" s="16"/>
      <c r="H31" s="16"/>
      <c r="I31" s="16"/>
    </row>
    <row r="32" spans="1:9">
      <c r="D32" s="1"/>
      <c r="E32" s="2"/>
    </row>
    <row r="33" spans="1:7">
      <c r="A33" t="s">
        <v>146</v>
      </c>
      <c r="D33" t="s">
        <v>157</v>
      </c>
    </row>
    <row r="34" spans="1:7" ht="30" customHeight="1">
      <c r="A34" s="2" t="s">
        <v>163</v>
      </c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46" t="s">
        <v>112</v>
      </c>
      <c r="B36" s="47" t="s">
        <v>113</v>
      </c>
      <c r="C36" s="47" t="s">
        <v>93</v>
      </c>
      <c r="D36" s="47" t="s">
        <v>1</v>
      </c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59"/>
      <c r="B38" s="60"/>
      <c r="C38" s="61"/>
      <c r="D38" s="50"/>
      <c r="E38" s="56" t="s">
        <v>3</v>
      </c>
      <c r="F38" s="62"/>
      <c r="G38" s="57"/>
    </row>
    <row r="39" spans="1:7">
      <c r="A39" s="63"/>
      <c r="B39" s="64"/>
      <c r="C39" s="65"/>
      <c r="D39" s="47" t="s">
        <v>114</v>
      </c>
      <c r="E39" s="47" t="s">
        <v>115</v>
      </c>
      <c r="F39" s="47" t="s">
        <v>116</v>
      </c>
      <c r="G39" s="50" t="s">
        <v>24</v>
      </c>
    </row>
    <row r="40" spans="1:7" ht="26.4">
      <c r="A40" s="46" t="s">
        <v>7</v>
      </c>
      <c r="B40" s="52" t="s">
        <v>110</v>
      </c>
      <c r="C40" s="46" t="s">
        <v>111</v>
      </c>
      <c r="D40" s="53"/>
      <c r="E40" s="53"/>
      <c r="F40" s="53"/>
      <c r="G40" s="53"/>
    </row>
    <row r="41" spans="1:7">
      <c r="A41" s="66" t="s">
        <v>117</v>
      </c>
      <c r="B41" s="67" t="s">
        <v>17</v>
      </c>
      <c r="C41" s="46" t="s">
        <v>136</v>
      </c>
      <c r="D41" s="53"/>
      <c r="E41" s="83">
        <v>225791</v>
      </c>
      <c r="F41" s="83">
        <v>-197253</v>
      </c>
      <c r="G41" s="83">
        <v>28538</v>
      </c>
    </row>
    <row r="42" spans="1:7">
      <c r="A42" s="68"/>
      <c r="B42" s="69"/>
      <c r="C42" s="46" t="s">
        <v>137</v>
      </c>
      <c r="D42" s="53"/>
      <c r="E42" s="83">
        <v>135692</v>
      </c>
      <c r="F42" s="83">
        <v>-225791</v>
      </c>
      <c r="G42" s="83">
        <v>-90099</v>
      </c>
    </row>
    <row r="43" spans="1:7">
      <c r="A43" s="68"/>
      <c r="B43" s="69"/>
      <c r="C43" s="46" t="s">
        <v>138</v>
      </c>
      <c r="D43" s="53"/>
      <c r="E43" s="83">
        <v>124561</v>
      </c>
      <c r="F43" s="83">
        <v>-135692</v>
      </c>
      <c r="G43" s="83">
        <v>-11131</v>
      </c>
    </row>
    <row r="44" spans="1:7">
      <c r="A44" s="68"/>
      <c r="B44" s="69"/>
      <c r="C44" s="46" t="s">
        <v>139</v>
      </c>
      <c r="D44" s="53"/>
      <c r="E44" s="83">
        <v>110760</v>
      </c>
      <c r="F44" s="83">
        <v>-124561</v>
      </c>
      <c r="G44" s="83">
        <v>-13801</v>
      </c>
    </row>
    <row r="45" spans="1:7">
      <c r="A45" s="68"/>
      <c r="B45" s="69"/>
      <c r="C45" s="46" t="s">
        <v>140</v>
      </c>
      <c r="D45" s="53"/>
      <c r="E45" s="83">
        <v>85240</v>
      </c>
      <c r="F45" s="83">
        <v>-110760</v>
      </c>
      <c r="G45" s="83">
        <v>-25520</v>
      </c>
    </row>
    <row r="46" spans="1:7">
      <c r="A46" s="68"/>
      <c r="B46" s="69"/>
      <c r="C46" s="46" t="s">
        <v>141</v>
      </c>
      <c r="D46" s="53"/>
      <c r="E46" s="83">
        <v>84706</v>
      </c>
      <c r="F46" s="83">
        <v>-85240</v>
      </c>
      <c r="G46" s="83">
        <v>-534</v>
      </c>
    </row>
    <row r="47" spans="1:7">
      <c r="A47" s="68"/>
      <c r="B47" s="69"/>
      <c r="C47" s="46" t="s">
        <v>142</v>
      </c>
      <c r="D47" s="53"/>
      <c r="E47" s="83">
        <v>108684</v>
      </c>
      <c r="F47" s="83">
        <v>-84706</v>
      </c>
      <c r="G47" s="83">
        <v>23978</v>
      </c>
    </row>
    <row r="48" spans="1:7">
      <c r="A48" s="68"/>
      <c r="B48" s="69"/>
      <c r="C48" s="46" t="s">
        <v>143</v>
      </c>
      <c r="D48" s="53"/>
      <c r="E48" s="83">
        <v>235048</v>
      </c>
      <c r="F48" s="83">
        <v>-108684</v>
      </c>
      <c r="G48" s="83">
        <v>126364</v>
      </c>
    </row>
    <row r="49" spans="1:9">
      <c r="A49" s="68"/>
      <c r="B49" s="69"/>
      <c r="C49" s="46" t="s">
        <v>144</v>
      </c>
      <c r="D49" s="53"/>
      <c r="E49" s="83">
        <v>178333</v>
      </c>
      <c r="F49" s="83">
        <v>-235048</v>
      </c>
      <c r="G49" s="83">
        <v>-56715</v>
      </c>
    </row>
    <row r="50" spans="1:9">
      <c r="A50" s="68"/>
      <c r="B50" s="69"/>
      <c r="C50" s="46" t="s">
        <v>164</v>
      </c>
      <c r="D50" s="53"/>
      <c r="E50" s="83">
        <v>173242</v>
      </c>
      <c r="F50" s="83">
        <v>-178333</v>
      </c>
      <c r="G50" s="83">
        <v>-5091</v>
      </c>
    </row>
    <row r="51" spans="1:9">
      <c r="A51" s="68"/>
      <c r="B51" s="69"/>
      <c r="C51" s="46" t="s">
        <v>165</v>
      </c>
      <c r="D51" s="53"/>
      <c r="E51" s="83" t="s">
        <v>11</v>
      </c>
      <c r="F51" s="83">
        <v>-273223</v>
      </c>
      <c r="G51" s="83">
        <v>-273223</v>
      </c>
    </row>
    <row r="52" spans="1:9">
      <c r="A52" s="70"/>
      <c r="B52" s="71"/>
      <c r="C52" s="46" t="s">
        <v>166</v>
      </c>
      <c r="D52" s="53"/>
      <c r="E52" s="83">
        <v>99981</v>
      </c>
      <c r="F52" s="83">
        <v>-92154</v>
      </c>
      <c r="G52" s="83">
        <v>7827</v>
      </c>
      <c r="H52" s="43">
        <f>SUM(G41:G52)</f>
        <v>-289407</v>
      </c>
      <c r="I52" t="s">
        <v>147</v>
      </c>
    </row>
    <row r="53" spans="1:9">
      <c r="A53" s="66" t="s">
        <v>123</v>
      </c>
      <c r="B53" s="67" t="s">
        <v>145</v>
      </c>
      <c r="C53" s="46" t="s">
        <v>136</v>
      </c>
      <c r="D53" s="53"/>
      <c r="E53" s="83" t="s">
        <v>11</v>
      </c>
      <c r="F53" s="83">
        <v>-387133</v>
      </c>
      <c r="G53" s="83">
        <v>-387133</v>
      </c>
    </row>
    <row r="54" spans="1:9">
      <c r="A54" s="68"/>
      <c r="B54" s="69"/>
      <c r="C54" s="46" t="s">
        <v>137</v>
      </c>
      <c r="D54" s="53"/>
      <c r="E54" s="83">
        <v>387133</v>
      </c>
      <c r="F54" s="83">
        <v>-240862</v>
      </c>
      <c r="G54" s="83">
        <v>146271</v>
      </c>
    </row>
    <row r="55" spans="1:9">
      <c r="A55" s="68"/>
      <c r="B55" s="69"/>
      <c r="C55" s="46" t="s">
        <v>138</v>
      </c>
      <c r="D55" s="53"/>
      <c r="E55" s="83">
        <v>240862</v>
      </c>
      <c r="F55" s="83">
        <v>-203264</v>
      </c>
      <c r="G55" s="83">
        <v>37598</v>
      </c>
    </row>
    <row r="56" spans="1:9">
      <c r="A56" s="68"/>
      <c r="B56" s="69"/>
      <c r="C56" s="46" t="s">
        <v>139</v>
      </c>
      <c r="D56" s="53"/>
      <c r="E56" s="83">
        <v>203264</v>
      </c>
      <c r="F56" s="83">
        <v>-207645</v>
      </c>
      <c r="G56" s="83">
        <v>-4381</v>
      </c>
    </row>
    <row r="57" spans="1:9">
      <c r="A57" s="68"/>
      <c r="B57" s="69"/>
      <c r="C57" s="46" t="s">
        <v>140</v>
      </c>
      <c r="D57" s="53"/>
      <c r="E57" s="83">
        <v>207645</v>
      </c>
      <c r="F57" s="83">
        <v>-197925</v>
      </c>
      <c r="G57" s="83">
        <v>9720</v>
      </c>
    </row>
    <row r="58" spans="1:9">
      <c r="A58" s="68"/>
      <c r="B58" s="69"/>
      <c r="C58" s="46" t="s">
        <v>141</v>
      </c>
      <c r="D58" s="53"/>
      <c r="E58" s="83">
        <v>197925</v>
      </c>
      <c r="F58" s="83">
        <v>-236167</v>
      </c>
      <c r="G58" s="83">
        <v>-38242</v>
      </c>
    </row>
    <row r="59" spans="1:9">
      <c r="A59" s="68"/>
      <c r="B59" s="69"/>
      <c r="C59" s="46" t="s">
        <v>142</v>
      </c>
      <c r="D59" s="53"/>
      <c r="E59" s="83">
        <v>236167</v>
      </c>
      <c r="F59" s="83">
        <v>-276810</v>
      </c>
      <c r="G59" s="83">
        <v>-40643</v>
      </c>
    </row>
    <row r="60" spans="1:9">
      <c r="A60" s="68"/>
      <c r="B60" s="69"/>
      <c r="C60" s="46" t="s">
        <v>143</v>
      </c>
      <c r="D60" s="53"/>
      <c r="E60" s="83">
        <v>276810</v>
      </c>
      <c r="F60" s="83">
        <v>-242031</v>
      </c>
      <c r="G60" s="83">
        <v>34779</v>
      </c>
    </row>
    <row r="61" spans="1:9">
      <c r="A61" s="68"/>
      <c r="B61" s="69"/>
      <c r="C61" s="46" t="s">
        <v>144</v>
      </c>
      <c r="D61" s="53"/>
      <c r="E61" s="83">
        <v>242031</v>
      </c>
      <c r="F61" s="83">
        <v>-190062</v>
      </c>
      <c r="G61" s="83">
        <v>51969</v>
      </c>
      <c r="H61" s="43"/>
    </row>
    <row r="62" spans="1:9">
      <c r="A62" s="68"/>
      <c r="B62" s="69"/>
      <c r="C62" s="46" t="s">
        <v>164</v>
      </c>
      <c r="D62" s="53"/>
      <c r="E62" s="83">
        <v>190062</v>
      </c>
      <c r="F62" s="83">
        <v>-202221</v>
      </c>
      <c r="G62" s="83">
        <v>-12159</v>
      </c>
    </row>
    <row r="63" spans="1:9">
      <c r="A63" s="68"/>
      <c r="B63" s="69"/>
      <c r="C63" s="46" t="s">
        <v>165</v>
      </c>
      <c r="D63" s="53"/>
      <c r="E63" s="83">
        <v>202221</v>
      </c>
      <c r="F63" s="83">
        <v>-255262</v>
      </c>
      <c r="G63" s="83">
        <v>-53041</v>
      </c>
    </row>
    <row r="64" spans="1:9">
      <c r="A64" s="70"/>
      <c r="B64" s="71"/>
      <c r="C64" s="46" t="s">
        <v>166</v>
      </c>
      <c r="D64" s="53"/>
      <c r="E64" s="83">
        <v>255262</v>
      </c>
      <c r="F64" s="83">
        <v>-258258</v>
      </c>
      <c r="G64" s="83">
        <v>-2996</v>
      </c>
      <c r="H64" s="43">
        <f>SUM(G53:G64)</f>
        <v>-258258</v>
      </c>
    </row>
    <row r="65" spans="1:8">
      <c r="A65" s="66" t="s">
        <v>14</v>
      </c>
      <c r="B65" s="67" t="s">
        <v>118</v>
      </c>
      <c r="C65" s="46" t="s">
        <v>136</v>
      </c>
      <c r="D65" s="53"/>
      <c r="E65" s="83">
        <v>547467</v>
      </c>
      <c r="F65" s="83">
        <v>-538498</v>
      </c>
      <c r="G65" s="83">
        <v>8969</v>
      </c>
    </row>
    <row r="66" spans="1:8" hidden="1">
      <c r="A66" s="68"/>
      <c r="B66" s="69"/>
      <c r="C66" s="46" t="s">
        <v>137</v>
      </c>
      <c r="D66" s="53"/>
      <c r="E66" s="83">
        <v>538498</v>
      </c>
      <c r="F66" s="83">
        <v>-350099</v>
      </c>
      <c r="G66" s="83">
        <v>188399</v>
      </c>
    </row>
    <row r="67" spans="1:8" hidden="1">
      <c r="A67" s="68"/>
      <c r="B67" s="69"/>
      <c r="C67" s="46" t="s">
        <v>138</v>
      </c>
      <c r="D67" s="53"/>
      <c r="E67" s="83">
        <v>350099</v>
      </c>
      <c r="F67" s="83">
        <v>-336969</v>
      </c>
      <c r="G67" s="83">
        <v>13130</v>
      </c>
    </row>
    <row r="68" spans="1:8" hidden="1">
      <c r="A68" s="68"/>
      <c r="B68" s="69"/>
      <c r="C68" s="46" t="s">
        <v>139</v>
      </c>
      <c r="D68" s="53"/>
      <c r="E68" s="83">
        <v>336969</v>
      </c>
      <c r="F68" s="83">
        <v>-327085</v>
      </c>
      <c r="G68" s="83">
        <v>9884</v>
      </c>
    </row>
    <row r="69" spans="1:8" hidden="1">
      <c r="A69" s="68"/>
      <c r="B69" s="69"/>
      <c r="C69" s="46" t="s">
        <v>140</v>
      </c>
      <c r="D69" s="53"/>
      <c r="E69" s="83">
        <v>327085</v>
      </c>
      <c r="F69" s="83">
        <v>-291820</v>
      </c>
      <c r="G69" s="83">
        <v>35265</v>
      </c>
    </row>
    <row r="70" spans="1:8" hidden="1">
      <c r="A70" s="68"/>
      <c r="B70" s="69"/>
      <c r="C70" s="46" t="s">
        <v>141</v>
      </c>
      <c r="D70" s="53"/>
      <c r="E70" s="83">
        <v>291820</v>
      </c>
      <c r="F70" s="83">
        <v>-325702</v>
      </c>
      <c r="G70" s="83">
        <v>-33882</v>
      </c>
    </row>
    <row r="71" spans="1:8" hidden="1">
      <c r="A71" s="68"/>
      <c r="B71" s="69"/>
      <c r="C71" s="46" t="s">
        <v>142</v>
      </c>
      <c r="D71" s="53"/>
      <c r="E71" s="83">
        <v>325702</v>
      </c>
      <c r="F71" s="83">
        <v>-354704</v>
      </c>
      <c r="G71" s="83">
        <v>-29002</v>
      </c>
    </row>
    <row r="72" spans="1:8" hidden="1">
      <c r="A72" s="68"/>
      <c r="B72" s="69"/>
      <c r="C72" s="46" t="s">
        <v>143</v>
      </c>
      <c r="D72" s="53"/>
      <c r="E72" s="83">
        <v>354704</v>
      </c>
      <c r="F72" s="83">
        <v>-353819</v>
      </c>
      <c r="G72" s="83">
        <v>885</v>
      </c>
    </row>
    <row r="73" spans="1:8" hidden="1">
      <c r="A73" s="68"/>
      <c r="B73" s="69"/>
      <c r="C73" s="46" t="s">
        <v>144</v>
      </c>
      <c r="D73" s="53"/>
      <c r="E73" s="83">
        <v>353819</v>
      </c>
      <c r="F73" s="83">
        <v>-271758</v>
      </c>
      <c r="G73" s="83">
        <v>82061</v>
      </c>
    </row>
    <row r="74" spans="1:8" hidden="1">
      <c r="A74" s="68"/>
      <c r="B74" s="69"/>
      <c r="C74" s="46" t="s">
        <v>164</v>
      </c>
      <c r="D74" s="53"/>
      <c r="E74" s="83">
        <v>271758</v>
      </c>
      <c r="F74" s="83">
        <v>-281250</v>
      </c>
      <c r="G74" s="83">
        <v>-9492</v>
      </c>
    </row>
    <row r="75" spans="1:8" hidden="1">
      <c r="A75" s="68"/>
      <c r="B75" s="69"/>
      <c r="C75" s="46" t="s">
        <v>165</v>
      </c>
      <c r="D75" s="53"/>
      <c r="E75" s="83">
        <v>281250</v>
      </c>
      <c r="F75" s="83">
        <v>-35357</v>
      </c>
      <c r="G75" s="83">
        <v>245893</v>
      </c>
    </row>
    <row r="76" spans="1:8">
      <c r="A76" s="70"/>
      <c r="B76" s="71"/>
      <c r="C76" s="46" t="s">
        <v>166</v>
      </c>
      <c r="D76" s="53"/>
      <c r="E76" s="83">
        <v>35357</v>
      </c>
      <c r="F76" s="83">
        <v>-39235</v>
      </c>
      <c r="G76" s="83">
        <v>-3878</v>
      </c>
      <c r="H76" s="43">
        <f>SUM(G65:G76)</f>
        <v>508232</v>
      </c>
    </row>
    <row r="77" spans="1:8">
      <c r="A77" s="66" t="s">
        <v>16</v>
      </c>
      <c r="B77" s="67" t="s">
        <v>119</v>
      </c>
      <c r="C77" s="46" t="s">
        <v>136</v>
      </c>
      <c r="D77" s="53"/>
      <c r="E77" s="83">
        <v>613000</v>
      </c>
      <c r="F77" s="83">
        <v>-524640</v>
      </c>
      <c r="G77" s="83">
        <v>88360</v>
      </c>
    </row>
    <row r="78" spans="1:8" hidden="1">
      <c r="A78" s="68"/>
      <c r="B78" s="69"/>
      <c r="C78" s="46" t="s">
        <v>137</v>
      </c>
      <c r="D78" s="53"/>
      <c r="E78" s="83">
        <v>524640</v>
      </c>
      <c r="F78" s="83">
        <v>-337640</v>
      </c>
      <c r="G78" s="83">
        <v>187000</v>
      </c>
    </row>
    <row r="79" spans="1:8" hidden="1">
      <c r="A79" s="68"/>
      <c r="B79" s="69"/>
      <c r="C79" s="46" t="s">
        <v>138</v>
      </c>
      <c r="D79" s="53"/>
      <c r="E79" s="83">
        <v>337640</v>
      </c>
      <c r="F79" s="83">
        <v>-302832</v>
      </c>
      <c r="G79" s="83">
        <v>34808</v>
      </c>
    </row>
    <row r="80" spans="1:8" hidden="1">
      <c r="A80" s="68"/>
      <c r="B80" s="69"/>
      <c r="C80" s="46" t="s">
        <v>139</v>
      </c>
      <c r="D80" s="53"/>
      <c r="E80" s="83">
        <v>302832</v>
      </c>
      <c r="F80" s="83">
        <v>-308769</v>
      </c>
      <c r="G80" s="83">
        <v>-5937</v>
      </c>
    </row>
    <row r="81" spans="1:8" hidden="1">
      <c r="A81" s="68"/>
      <c r="B81" s="69"/>
      <c r="C81" s="46" t="s">
        <v>140</v>
      </c>
      <c r="D81" s="53"/>
      <c r="E81" s="83">
        <v>308769</v>
      </c>
      <c r="F81" s="83">
        <v>-294285</v>
      </c>
      <c r="G81" s="83">
        <v>14484</v>
      </c>
    </row>
    <row r="82" spans="1:8" hidden="1">
      <c r="A82" s="68"/>
      <c r="B82" s="69"/>
      <c r="C82" s="46" t="s">
        <v>141</v>
      </c>
      <c r="D82" s="53"/>
      <c r="E82" s="83">
        <v>294285</v>
      </c>
      <c r="F82" s="83">
        <v>-347843</v>
      </c>
      <c r="G82" s="83">
        <v>-53558</v>
      </c>
    </row>
    <row r="83" spans="1:8" hidden="1">
      <c r="A83" s="68"/>
      <c r="B83" s="69"/>
      <c r="C83" s="46" t="s">
        <v>142</v>
      </c>
      <c r="D83" s="53"/>
      <c r="E83" s="83">
        <v>347843</v>
      </c>
      <c r="F83" s="83">
        <v>-387288</v>
      </c>
      <c r="G83" s="83">
        <v>-39445</v>
      </c>
    </row>
    <row r="84" spans="1:8" hidden="1">
      <c r="A84" s="68"/>
      <c r="B84" s="69"/>
      <c r="C84" s="46" t="s">
        <v>143</v>
      </c>
      <c r="D84" s="53"/>
      <c r="E84" s="83">
        <v>387288</v>
      </c>
      <c r="F84" s="83">
        <v>-358153</v>
      </c>
      <c r="G84" s="83">
        <v>29135</v>
      </c>
    </row>
    <row r="85" spans="1:8" hidden="1">
      <c r="A85" s="68"/>
      <c r="B85" s="69"/>
      <c r="C85" s="46" t="s">
        <v>144</v>
      </c>
      <c r="D85" s="53"/>
      <c r="E85" s="83">
        <v>358153</v>
      </c>
      <c r="F85" s="83">
        <v>-281320</v>
      </c>
      <c r="G85" s="83">
        <v>76833</v>
      </c>
    </row>
    <row r="86" spans="1:8" hidden="1">
      <c r="A86" s="68"/>
      <c r="B86" s="69"/>
      <c r="C86" s="46" t="s">
        <v>164</v>
      </c>
      <c r="D86" s="53"/>
      <c r="E86" s="83">
        <v>281320</v>
      </c>
      <c r="F86" s="83">
        <v>-300241</v>
      </c>
      <c r="G86" s="83">
        <v>-18921</v>
      </c>
    </row>
    <row r="87" spans="1:8" hidden="1">
      <c r="A87" s="68"/>
      <c r="B87" s="69"/>
      <c r="C87" s="46" t="s">
        <v>165</v>
      </c>
      <c r="D87" s="53"/>
      <c r="E87" s="83">
        <v>300241</v>
      </c>
      <c r="F87" s="83">
        <v>-380287</v>
      </c>
      <c r="G87" s="83">
        <v>-80046</v>
      </c>
    </row>
    <row r="88" spans="1:8">
      <c r="A88" s="70"/>
      <c r="B88" s="71"/>
      <c r="C88" s="46" t="s">
        <v>166</v>
      </c>
      <c r="D88" s="53"/>
      <c r="E88" s="83">
        <v>380287</v>
      </c>
      <c r="F88" s="83">
        <v>-383266</v>
      </c>
      <c r="G88" s="83">
        <v>-2979</v>
      </c>
      <c r="H88" s="43">
        <f>SUM(G77:G88)</f>
        <v>229734</v>
      </c>
    </row>
    <row r="89" spans="1:8">
      <c r="A89" s="66">
        <v>908690</v>
      </c>
      <c r="B89" s="67" t="s">
        <v>167</v>
      </c>
      <c r="C89" s="46" t="s">
        <v>164</v>
      </c>
      <c r="D89" s="53"/>
      <c r="E89" s="83" t="s">
        <v>11</v>
      </c>
      <c r="F89" s="83">
        <v>-907</v>
      </c>
      <c r="G89" s="83">
        <v>-907</v>
      </c>
    </row>
    <row r="90" spans="1:8">
      <c r="A90" s="68"/>
      <c r="B90" s="69"/>
      <c r="C90" s="46" t="s">
        <v>165</v>
      </c>
      <c r="D90" s="53"/>
      <c r="E90" s="83">
        <v>907</v>
      </c>
      <c r="F90" s="83">
        <v>-3432</v>
      </c>
      <c r="G90" s="83">
        <v>-2525</v>
      </c>
    </row>
    <row r="91" spans="1:8">
      <c r="A91" s="68"/>
      <c r="B91" s="71"/>
      <c r="C91" s="46" t="s">
        <v>166</v>
      </c>
      <c r="D91" s="53"/>
      <c r="E91" s="83">
        <v>3432</v>
      </c>
      <c r="F91" s="83">
        <v>-5897</v>
      </c>
      <c r="G91" s="83">
        <v>-2465</v>
      </c>
      <c r="H91" s="43">
        <f>SUM(G89:G91)</f>
        <v>-5897</v>
      </c>
    </row>
    <row r="92" spans="1:8">
      <c r="A92" s="68"/>
      <c r="B92" s="67" t="s">
        <v>120</v>
      </c>
      <c r="C92" s="46" t="s">
        <v>136</v>
      </c>
      <c r="D92" s="53"/>
      <c r="E92" s="83">
        <v>1224480</v>
      </c>
      <c r="F92" s="83">
        <v>-1265936</v>
      </c>
      <c r="G92" s="83">
        <v>-41456</v>
      </c>
    </row>
    <row r="93" spans="1:8" hidden="1">
      <c r="A93" s="68"/>
      <c r="B93" s="69"/>
      <c r="C93" s="46" t="s">
        <v>137</v>
      </c>
      <c r="D93" s="53"/>
      <c r="E93" s="83">
        <v>792909</v>
      </c>
      <c r="F93" s="83">
        <v>-1224480</v>
      </c>
      <c r="G93" s="83">
        <v>-431571</v>
      </c>
    </row>
    <row r="94" spans="1:8" hidden="1">
      <c r="A94" s="68"/>
      <c r="B94" s="69"/>
      <c r="C94" s="46" t="s">
        <v>138</v>
      </c>
      <c r="D94" s="53"/>
      <c r="E94" s="83">
        <v>718504</v>
      </c>
      <c r="F94" s="83">
        <v>-792909</v>
      </c>
      <c r="G94" s="83">
        <v>-74405</v>
      </c>
    </row>
    <row r="95" spans="1:8" hidden="1">
      <c r="A95" s="68"/>
      <c r="B95" s="69"/>
      <c r="C95" s="46" t="s">
        <v>139</v>
      </c>
      <c r="D95" s="53"/>
      <c r="E95" s="83">
        <v>732739</v>
      </c>
      <c r="F95" s="83">
        <v>-718504</v>
      </c>
      <c r="G95" s="83">
        <v>14235</v>
      </c>
    </row>
    <row r="96" spans="1:8" hidden="1">
      <c r="A96" s="68"/>
      <c r="B96" s="69"/>
      <c r="C96" s="46" t="s">
        <v>140</v>
      </c>
      <c r="D96" s="53"/>
      <c r="E96" s="83">
        <v>698790</v>
      </c>
      <c r="F96" s="83">
        <v>-732739</v>
      </c>
      <c r="G96" s="83">
        <v>-33949</v>
      </c>
    </row>
    <row r="97" spans="1:8" hidden="1">
      <c r="A97" s="68"/>
      <c r="B97" s="69"/>
      <c r="C97" s="46" t="s">
        <v>141</v>
      </c>
      <c r="D97" s="53"/>
      <c r="E97" s="83">
        <v>825006</v>
      </c>
      <c r="F97" s="83">
        <v>-698790</v>
      </c>
      <c r="G97" s="83">
        <v>126216</v>
      </c>
    </row>
    <row r="98" spans="1:8" hidden="1">
      <c r="A98" s="68"/>
      <c r="B98" s="69"/>
      <c r="C98" s="46" t="s">
        <v>142</v>
      </c>
      <c r="D98" s="53"/>
      <c r="E98" s="83">
        <v>910118</v>
      </c>
      <c r="F98" s="83">
        <v>-825006</v>
      </c>
      <c r="G98" s="83">
        <v>85112</v>
      </c>
    </row>
    <row r="99" spans="1:8" hidden="1">
      <c r="A99" s="68"/>
      <c r="B99" s="69"/>
      <c r="C99" s="46" t="s">
        <v>143</v>
      </c>
      <c r="D99" s="53"/>
      <c r="E99" s="83">
        <v>718955</v>
      </c>
      <c r="F99" s="83">
        <v>-910118</v>
      </c>
      <c r="G99" s="83">
        <v>-191163</v>
      </c>
    </row>
    <row r="100" spans="1:8" hidden="1">
      <c r="A100" s="68"/>
      <c r="B100" s="69"/>
      <c r="C100" s="46" t="s">
        <v>144</v>
      </c>
      <c r="D100" s="53"/>
      <c r="E100" s="83">
        <v>564807</v>
      </c>
      <c r="F100" s="83">
        <v>-718955</v>
      </c>
      <c r="G100" s="83">
        <v>-154148</v>
      </c>
      <c r="H100" s="43"/>
    </row>
    <row r="101" spans="1:8" hidden="1">
      <c r="A101" s="68"/>
      <c r="B101" s="69"/>
      <c r="C101" s="46" t="s">
        <v>164</v>
      </c>
      <c r="D101" s="53"/>
      <c r="E101" s="83">
        <v>611377</v>
      </c>
      <c r="F101" s="83">
        <v>-564807</v>
      </c>
      <c r="G101" s="83">
        <v>46570</v>
      </c>
    </row>
    <row r="102" spans="1:8" hidden="1">
      <c r="A102" s="68"/>
      <c r="B102" s="69"/>
      <c r="C102" s="46" t="s">
        <v>165</v>
      </c>
      <c r="D102" s="53"/>
      <c r="E102" s="83">
        <v>774319</v>
      </c>
      <c r="F102" s="83">
        <v>-611377</v>
      </c>
      <c r="G102" s="83">
        <v>162942</v>
      </c>
    </row>
    <row r="103" spans="1:8">
      <c r="A103" s="68"/>
      <c r="B103" s="71"/>
      <c r="C103" s="46" t="s">
        <v>166</v>
      </c>
      <c r="D103" s="53"/>
      <c r="E103" s="83">
        <v>778810</v>
      </c>
      <c r="F103" s="83">
        <v>-774319</v>
      </c>
      <c r="G103" s="83">
        <v>4491</v>
      </c>
      <c r="H103" s="43">
        <f>SUM(G92:G103)</f>
        <v>-487126</v>
      </c>
    </row>
    <row r="104" spans="1:8">
      <c r="A104" s="70"/>
      <c r="B104" s="72" t="s">
        <v>168</v>
      </c>
      <c r="C104" s="73"/>
      <c r="D104" s="53"/>
      <c r="E104" s="84">
        <v>9355153</v>
      </c>
      <c r="F104" s="84">
        <v>-9848176</v>
      </c>
      <c r="G104" s="84">
        <v>-493023</v>
      </c>
    </row>
    <row r="105" spans="1:8">
      <c r="A105" s="56" t="s">
        <v>24</v>
      </c>
      <c r="B105" s="62"/>
      <c r="C105" s="57"/>
      <c r="D105" s="53"/>
      <c r="E105" s="83">
        <v>22310121</v>
      </c>
      <c r="F105" s="83">
        <v>-22310121</v>
      </c>
      <c r="G105" s="83">
        <v>0</v>
      </c>
    </row>
  </sheetData>
  <mergeCells count="10">
    <mergeCell ref="G12:I12"/>
    <mergeCell ref="G13:I13"/>
    <mergeCell ref="G14:I14"/>
    <mergeCell ref="G15:I15"/>
    <mergeCell ref="A1:F1"/>
    <mergeCell ref="G7:I7"/>
    <mergeCell ref="G8:I8"/>
    <mergeCell ref="G9:I9"/>
    <mergeCell ref="G10:I10"/>
    <mergeCell ref="G11:I11"/>
  </mergeCells>
  <printOptions headings="1"/>
  <pageMargins left="0.7" right="0.7" top="0.85" bottom="0.77" header="0.3" footer="0.3"/>
  <pageSetup scale="7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17" zoomScaleNormal="100" workbookViewId="0">
      <selection activeCell="M48" sqref="M48"/>
    </sheetView>
  </sheetViews>
  <sheetFormatPr defaultColWidth="8.88671875" defaultRowHeight="13.8"/>
  <cols>
    <col min="1" max="1" width="6.109375" style="16" customWidth="1"/>
    <col min="2" max="2" width="5.33203125" style="16" customWidth="1"/>
    <col min="3" max="3" width="23.88671875" style="16" customWidth="1"/>
    <col min="4" max="4" width="11.33203125" style="16" customWidth="1"/>
    <col min="5" max="5" width="15" style="14" customWidth="1"/>
    <col min="6" max="6" width="11.33203125" style="14" customWidth="1"/>
    <col min="7" max="9" width="14.5546875" style="14" customWidth="1"/>
    <col min="10" max="10" width="13.109375" style="14" customWidth="1"/>
    <col min="11" max="12" width="14.109375" style="16" customWidth="1"/>
    <col min="13" max="13" width="17.5546875" style="16" customWidth="1"/>
    <col min="14" max="16384" width="8.88671875" style="16"/>
  </cols>
  <sheetData>
    <row r="1" spans="1:13">
      <c r="A1" s="16" t="s">
        <v>55</v>
      </c>
    </row>
    <row r="2" spans="1:13">
      <c r="A2" s="16" t="s">
        <v>56</v>
      </c>
    </row>
    <row r="3" spans="1:13">
      <c r="A3" s="16" t="s">
        <v>180</v>
      </c>
    </row>
    <row r="5" spans="1:13">
      <c r="A5" s="16" t="s">
        <v>54</v>
      </c>
    </row>
    <row r="6" spans="1:13">
      <c r="A6" s="15" t="s">
        <v>103</v>
      </c>
      <c r="B6" s="7"/>
      <c r="C6" s="7"/>
      <c r="D6" s="17"/>
    </row>
    <row r="7" spans="1:13" ht="63.6" customHeight="1">
      <c r="A7" s="6" t="s">
        <v>53</v>
      </c>
      <c r="B7" s="7"/>
      <c r="C7" s="7" t="s">
        <v>25</v>
      </c>
      <c r="D7" s="18" t="s">
        <v>198</v>
      </c>
      <c r="E7" s="21" t="s">
        <v>84</v>
      </c>
      <c r="F7" s="21" t="s">
        <v>92</v>
      </c>
      <c r="G7" s="21" t="s">
        <v>158</v>
      </c>
      <c r="H7" s="21" t="s">
        <v>85</v>
      </c>
      <c r="I7" s="21" t="s">
        <v>179</v>
      </c>
      <c r="J7" s="21" t="s">
        <v>169</v>
      </c>
      <c r="K7" s="19" t="s">
        <v>170</v>
      </c>
      <c r="L7" s="19" t="s">
        <v>58</v>
      </c>
      <c r="M7" s="19" t="s">
        <v>109</v>
      </c>
    </row>
    <row r="8" spans="1:13">
      <c r="A8" s="20"/>
      <c r="B8" s="17"/>
      <c r="C8" s="17"/>
      <c r="D8" s="17"/>
      <c r="M8" s="34" t="s">
        <v>108</v>
      </c>
    </row>
    <row r="9" spans="1:13">
      <c r="A9" s="6"/>
      <c r="B9" s="7" t="s">
        <v>59</v>
      </c>
      <c r="C9" s="7"/>
      <c r="D9" s="7"/>
    </row>
    <row r="10" spans="1:13">
      <c r="A10" s="8">
        <v>1</v>
      </c>
      <c r="B10" s="9" t="s">
        <v>60</v>
      </c>
      <c r="C10" s="9"/>
      <c r="D10" s="13">
        <f>[1]CF!$E$23</f>
        <v>0.95348302862821654</v>
      </c>
      <c r="E10" s="14">
        <f>(E20-E12)/$D$10</f>
        <v>53993514.781345829</v>
      </c>
      <c r="G10" s="14">
        <f>E10+F10</f>
        <v>53993514.781345829</v>
      </c>
      <c r="H10" s="14">
        <f>H17/$D$10</f>
        <v>-7031256.7698717844</v>
      </c>
      <c r="I10" s="14">
        <f>-I12/$D$10</f>
        <v>1317095.2836011874</v>
      </c>
      <c r="J10" s="14">
        <f>J35/$D$10</f>
        <v>6955441.0523083555</v>
      </c>
      <c r="K10" s="23"/>
      <c r="L10" s="23">
        <f>SUM(H10:K10)</f>
        <v>1241279.5660377583</v>
      </c>
      <c r="M10" s="35">
        <f>ROUND(-L10/1000,0)</f>
        <v>-1241</v>
      </c>
    </row>
    <row r="11" spans="1:13">
      <c r="A11" s="8">
        <v>2</v>
      </c>
      <c r="B11" s="10" t="s">
        <v>61</v>
      </c>
      <c r="C11" s="10"/>
      <c r="D11" s="10"/>
      <c r="G11" s="14">
        <f t="shared" ref="G11" si="0">E11+F11</f>
        <v>0</v>
      </c>
      <c r="K11" s="23"/>
      <c r="L11" s="23">
        <f>SUM(H11:K11)</f>
        <v>0</v>
      </c>
    </row>
    <row r="12" spans="1:13">
      <c r="A12" s="8">
        <v>3</v>
      </c>
      <c r="B12" s="10" t="s">
        <v>62</v>
      </c>
      <c r="C12" s="10"/>
      <c r="D12" s="10"/>
      <c r="E12" s="14">
        <f>'G-EAS-2'!E19</f>
        <v>64055019</v>
      </c>
      <c r="F12" s="14">
        <f>-E12</f>
        <v>-64055019</v>
      </c>
      <c r="G12" s="14">
        <f>E12+F12</f>
        <v>0</v>
      </c>
      <c r="I12" s="14">
        <f>-'G-EAS-2'!C11-'G-EAS-2'!C12</f>
        <v>-1255828</v>
      </c>
      <c r="K12" s="23">
        <f>-'G-EAS-2'!C10</f>
        <v>476763</v>
      </c>
      <c r="L12" s="110">
        <f>SUM(H12:K12)</f>
        <v>-779065</v>
      </c>
      <c r="M12" s="35">
        <f>ROUND((F12-L12)/1000,0)</f>
        <v>-63276</v>
      </c>
    </row>
    <row r="13" spans="1:13">
      <c r="A13" s="8">
        <v>4</v>
      </c>
      <c r="B13" s="10" t="s">
        <v>63</v>
      </c>
      <c r="C13" s="10"/>
      <c r="D13" s="10"/>
      <c r="E13" s="22">
        <f>SUM(E10:E12)</f>
        <v>118048533.78134583</v>
      </c>
      <c r="F13" s="22">
        <f>SUM(F10:F12)</f>
        <v>-64055019</v>
      </c>
      <c r="G13" s="22">
        <f>SUM(G10:G12)</f>
        <v>53993514.781345829</v>
      </c>
      <c r="H13" s="22">
        <f t="shared" ref="H13:J13" si="1">SUM(H10:H12)</f>
        <v>-7031256.7698717844</v>
      </c>
      <c r="I13" s="22">
        <f>SUM(I10:I12)</f>
        <v>61267.283601187402</v>
      </c>
      <c r="J13" s="22">
        <f t="shared" si="1"/>
        <v>6955441.0523083555</v>
      </c>
      <c r="K13" s="22">
        <f>SUM(K10:K12)</f>
        <v>476763</v>
      </c>
      <c r="L13" s="23">
        <f>SUM(H13:K13)</f>
        <v>462214.56603775825</v>
      </c>
      <c r="M13" s="22">
        <f>SUM(M10:M12)</f>
        <v>-64517</v>
      </c>
    </row>
    <row r="14" spans="1:13">
      <c r="A14" s="8"/>
      <c r="B14" s="10"/>
      <c r="C14" s="10"/>
      <c r="D14" s="10"/>
      <c r="L14" s="23">
        <f t="shared" ref="L14:L45" si="2">SUM(H14:K14)</f>
        <v>0</v>
      </c>
    </row>
    <row r="15" spans="1:13">
      <c r="A15" s="8"/>
      <c r="B15" s="10" t="s">
        <v>64</v>
      </c>
      <c r="C15" s="10"/>
      <c r="D15" s="10"/>
      <c r="L15" s="23">
        <f t="shared" si="2"/>
        <v>0</v>
      </c>
    </row>
    <row r="16" spans="1:13">
      <c r="A16" s="8"/>
      <c r="B16" s="10" t="s">
        <v>65</v>
      </c>
      <c r="C16" s="10"/>
      <c r="D16" s="10"/>
      <c r="L16" s="23">
        <f t="shared" si="2"/>
        <v>0</v>
      </c>
    </row>
    <row r="17" spans="1:13">
      <c r="A17" s="8">
        <v>5</v>
      </c>
      <c r="B17" s="10"/>
      <c r="C17" s="10" t="s">
        <v>66</v>
      </c>
      <c r="D17" s="10"/>
      <c r="E17" s="14">
        <f>'G-EAS-2'!E21</f>
        <v>112604705</v>
      </c>
      <c r="F17" s="14">
        <f>F12-F19</f>
        <v>-61122805</v>
      </c>
      <c r="G17" s="14">
        <f>E17+F17</f>
        <v>51481900</v>
      </c>
      <c r="H17" s="14">
        <f>'G-EAS-2'!E7</f>
        <v>-6704184</v>
      </c>
      <c r="I17" s="14">
        <v>0</v>
      </c>
      <c r="K17" s="23"/>
      <c r="L17" s="23">
        <f t="shared" si="2"/>
        <v>-6704184</v>
      </c>
      <c r="M17" s="35">
        <f>ROUND(-L17/1000+F17/1000,0)</f>
        <v>-54419</v>
      </c>
    </row>
    <row r="18" spans="1:13">
      <c r="A18" s="8">
        <v>6</v>
      </c>
      <c r="B18" s="10"/>
      <c r="C18" s="10" t="s">
        <v>67</v>
      </c>
      <c r="D18" s="10"/>
      <c r="G18" s="45">
        <f t="shared" ref="G18:G19" si="3">E18+F18</f>
        <v>0</v>
      </c>
      <c r="K18" s="23"/>
      <c r="L18" s="23">
        <f t="shared" si="2"/>
        <v>0</v>
      </c>
    </row>
    <row r="19" spans="1:13">
      <c r="A19" s="8">
        <v>7</v>
      </c>
      <c r="B19" s="10"/>
      <c r="C19" s="10" t="s">
        <v>68</v>
      </c>
      <c r="D19" s="10"/>
      <c r="E19" s="14">
        <f>'G-EAS-2'!E22+'G-EAS-2'!E23</f>
        <v>2932214</v>
      </c>
      <c r="F19" s="14">
        <f>-E19</f>
        <v>-2932214</v>
      </c>
      <c r="G19" s="45">
        <f t="shared" si="3"/>
        <v>0</v>
      </c>
      <c r="K19" s="23"/>
      <c r="L19" s="110">
        <f t="shared" si="2"/>
        <v>0</v>
      </c>
      <c r="M19" s="35">
        <f>ROUND(F19/1000,0)</f>
        <v>-2932</v>
      </c>
    </row>
    <row r="20" spans="1:13">
      <c r="A20" s="8">
        <v>8</v>
      </c>
      <c r="B20" s="10" t="s">
        <v>69</v>
      </c>
      <c r="C20" s="10"/>
      <c r="D20" s="10"/>
      <c r="E20" s="22">
        <f t="shared" ref="E20:K20" si="4">SUM(E17:E19)</f>
        <v>115536919</v>
      </c>
      <c r="F20" s="22">
        <f t="shared" si="4"/>
        <v>-64055019</v>
      </c>
      <c r="G20" s="22">
        <f t="shared" si="4"/>
        <v>51481900</v>
      </c>
      <c r="H20" s="22">
        <f t="shared" si="4"/>
        <v>-6704184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3">
        <f t="shared" si="2"/>
        <v>-6704184</v>
      </c>
      <c r="M20" s="22">
        <f>SUM(M17:M19)</f>
        <v>-57351</v>
      </c>
    </row>
    <row r="21" spans="1:13">
      <c r="A21" s="8"/>
      <c r="B21" s="10"/>
      <c r="C21" s="10"/>
      <c r="D21" s="10"/>
      <c r="L21" s="23">
        <f t="shared" si="2"/>
        <v>0</v>
      </c>
    </row>
    <row r="22" spans="1:13">
      <c r="A22" s="8"/>
      <c r="B22" s="10" t="s">
        <v>70</v>
      </c>
      <c r="C22" s="11"/>
      <c r="D22" s="11"/>
      <c r="L22" s="23">
        <f t="shared" si="2"/>
        <v>0</v>
      </c>
    </row>
    <row r="23" spans="1:13">
      <c r="A23" s="8">
        <v>9</v>
      </c>
      <c r="B23" s="10"/>
      <c r="C23" s="10" t="s">
        <v>71</v>
      </c>
      <c r="D23" s="10"/>
      <c r="G23" s="45">
        <f t="shared" ref="G23:G25" si="5">E23+F23</f>
        <v>0</v>
      </c>
      <c r="K23" s="23"/>
      <c r="L23" s="23">
        <f t="shared" si="2"/>
        <v>0</v>
      </c>
    </row>
    <row r="24" spans="1:13">
      <c r="A24" s="8">
        <v>10</v>
      </c>
      <c r="B24" s="10"/>
      <c r="C24" s="10" t="s">
        <v>42</v>
      </c>
      <c r="D24" s="10"/>
      <c r="G24" s="45">
        <f t="shared" si="5"/>
        <v>0</v>
      </c>
      <c r="K24" s="23"/>
      <c r="L24" s="23">
        <f t="shared" si="2"/>
        <v>0</v>
      </c>
    </row>
    <row r="25" spans="1:13">
      <c r="A25" s="8">
        <v>11</v>
      </c>
      <c r="B25" s="10"/>
      <c r="C25" s="10" t="s">
        <v>72</v>
      </c>
      <c r="D25" s="10"/>
      <c r="G25" s="45">
        <f t="shared" si="5"/>
        <v>0</v>
      </c>
      <c r="K25" s="23"/>
      <c r="L25" s="110">
        <f t="shared" si="2"/>
        <v>0</v>
      </c>
    </row>
    <row r="26" spans="1:13">
      <c r="A26" s="8">
        <v>12</v>
      </c>
      <c r="B26" s="10" t="s">
        <v>73</v>
      </c>
      <c r="C26" s="10"/>
      <c r="D26" s="10"/>
      <c r="E26" s="22">
        <f>SUM(E23:E25)</f>
        <v>0</v>
      </c>
      <c r="F26" s="22">
        <f>SUM(F23:F25)</f>
        <v>0</v>
      </c>
      <c r="G26" s="22">
        <f>SUM(G23:G25)</f>
        <v>0</v>
      </c>
      <c r="H26" s="22">
        <f t="shared" ref="H26:M26" si="6">SUM(H23:H25)</f>
        <v>0</v>
      </c>
      <c r="I26" s="22">
        <f>SUM(I23:I25)</f>
        <v>0</v>
      </c>
      <c r="J26" s="22">
        <f t="shared" si="6"/>
        <v>0</v>
      </c>
      <c r="K26" s="22">
        <f>SUM(K23:K25)</f>
        <v>0</v>
      </c>
      <c r="L26" s="23">
        <f t="shared" si="2"/>
        <v>0</v>
      </c>
      <c r="M26" s="22">
        <f t="shared" si="6"/>
        <v>0</v>
      </c>
    </row>
    <row r="27" spans="1:13">
      <c r="A27" s="8"/>
      <c r="B27" s="10"/>
      <c r="C27" s="10"/>
      <c r="D27" s="10"/>
      <c r="L27" s="23">
        <f t="shared" si="2"/>
        <v>0</v>
      </c>
    </row>
    <row r="28" spans="1:13">
      <c r="A28" s="8"/>
      <c r="B28" s="10" t="s">
        <v>74</v>
      </c>
      <c r="C28" s="10"/>
      <c r="D28" s="10"/>
      <c r="L28" s="23">
        <f t="shared" si="2"/>
        <v>0</v>
      </c>
    </row>
    <row r="29" spans="1:13">
      <c r="A29" s="8">
        <v>13</v>
      </c>
      <c r="B29" s="10"/>
      <c r="C29" s="10" t="s">
        <v>71</v>
      </c>
      <c r="D29" s="13"/>
      <c r="G29" s="45">
        <f t="shared" ref="G29:G31" si="7">E29+F29</f>
        <v>0</v>
      </c>
      <c r="K29" s="23"/>
      <c r="L29" s="23">
        <f t="shared" si="2"/>
        <v>0</v>
      </c>
    </row>
    <row r="30" spans="1:13">
      <c r="A30" s="8">
        <v>14</v>
      </c>
      <c r="B30" s="10"/>
      <c r="C30" s="10" t="s">
        <v>42</v>
      </c>
      <c r="D30" s="13"/>
      <c r="G30" s="45">
        <f t="shared" si="7"/>
        <v>0</v>
      </c>
      <c r="K30" s="23"/>
      <c r="L30" s="23">
        <f t="shared" si="2"/>
        <v>0</v>
      </c>
    </row>
    <row r="31" spans="1:13">
      <c r="A31" s="8">
        <v>15</v>
      </c>
      <c r="B31" s="10"/>
      <c r="C31" s="10" t="s">
        <v>72</v>
      </c>
      <c r="D31" s="13">
        <f>[1]CF!$E$19</f>
        <v>3.8334071740649248E-2</v>
      </c>
      <c r="E31" s="14">
        <f>E$10*$D31</f>
        <v>2069791.2691579165</v>
      </c>
      <c r="G31" s="45">
        <f t="shared" si="7"/>
        <v>2069791.2691579165</v>
      </c>
      <c r="H31" s="14">
        <f t="shared" ref="H31:J31" si="8">H$10*$D31</f>
        <v>-269536.70144319069</v>
      </c>
      <c r="I31" s="14">
        <f t="shared" si="8"/>
        <v>50489.625090838686</v>
      </c>
      <c r="J31" s="14">
        <f t="shared" si="8"/>
        <v>266630.37628704542</v>
      </c>
      <c r="K31" s="23"/>
      <c r="L31" s="110">
        <f t="shared" si="2"/>
        <v>47583.299934693438</v>
      </c>
      <c r="M31" s="35">
        <f>ROUND(-L31/1000,0)</f>
        <v>-48</v>
      </c>
    </row>
    <row r="32" spans="1:13">
      <c r="A32" s="8">
        <v>16</v>
      </c>
      <c r="B32" s="10" t="s">
        <v>75</v>
      </c>
      <c r="C32" s="10"/>
      <c r="D32" s="13"/>
      <c r="E32" s="22">
        <f>SUM(E29:E31)</f>
        <v>2069791.2691579165</v>
      </c>
      <c r="F32" s="22">
        <f>SUM(F29:F31)</f>
        <v>0</v>
      </c>
      <c r="G32" s="22">
        <f>SUM(G29:G31)</f>
        <v>2069791.2691579165</v>
      </c>
      <c r="H32" s="22">
        <f t="shared" ref="H32:M32" si="9">SUM(H29:H31)</f>
        <v>-269536.70144319069</v>
      </c>
      <c r="I32" s="22">
        <f t="shared" ref="I32" si="10">SUM(I29:I31)</f>
        <v>50489.625090838686</v>
      </c>
      <c r="J32" s="22">
        <f t="shared" si="9"/>
        <v>266630.37628704542</v>
      </c>
      <c r="K32" s="22">
        <f>SUM(K29:K31)</f>
        <v>0</v>
      </c>
      <c r="L32" s="23">
        <f t="shared" si="2"/>
        <v>47583.299934693438</v>
      </c>
      <c r="M32" s="22">
        <f t="shared" si="9"/>
        <v>-48</v>
      </c>
    </row>
    <row r="33" spans="1:13">
      <c r="A33" s="8"/>
      <c r="B33" s="10"/>
      <c r="C33" s="10"/>
      <c r="D33" s="13"/>
      <c r="L33" s="23">
        <f t="shared" si="2"/>
        <v>0</v>
      </c>
    </row>
    <row r="34" spans="1:13">
      <c r="A34" s="8">
        <v>17</v>
      </c>
      <c r="B34" s="10" t="s">
        <v>76</v>
      </c>
      <c r="C34" s="10"/>
      <c r="D34" s="13">
        <f>[1]CF!$E$15</f>
        <v>6.1828996311341531E-3</v>
      </c>
      <c r="E34" s="14">
        <f>E$10*$D34</f>
        <v>333836.48262521956</v>
      </c>
      <c r="G34" s="45">
        <f t="shared" ref="G34:G36" si="11">E34+F34</f>
        <v>333836.48262521956</v>
      </c>
      <c r="H34" s="14">
        <f t="shared" ref="H34:J34" si="12">H$10*$D34</f>
        <v>-43473.554888849772</v>
      </c>
      <c r="I34" s="14">
        <f t="shared" si="12"/>
        <v>8143.4679431463146</v>
      </c>
      <c r="J34" s="14">
        <f t="shared" si="12"/>
        <v>43004.793916692674</v>
      </c>
      <c r="K34" s="23"/>
      <c r="L34" s="23">
        <f t="shared" si="2"/>
        <v>7674.7069709892166</v>
      </c>
      <c r="M34" s="35">
        <f>ROUND(-L34/1000,0)</f>
        <v>-8</v>
      </c>
    </row>
    <row r="35" spans="1:13">
      <c r="A35" s="8">
        <v>18</v>
      </c>
      <c r="B35" s="10" t="s">
        <v>77</v>
      </c>
      <c r="C35" s="10"/>
      <c r="D35" s="13"/>
      <c r="G35" s="45">
        <f t="shared" si="11"/>
        <v>0</v>
      </c>
      <c r="J35" s="14">
        <f>'G-EAS-2'!E8+'G-EAS-2'!E9</f>
        <v>6631895</v>
      </c>
      <c r="K35" s="23"/>
      <c r="L35" s="23">
        <f t="shared" si="2"/>
        <v>6631895</v>
      </c>
      <c r="M35" s="35">
        <f>ROUND(-L35/1000,0)</f>
        <v>-6632</v>
      </c>
    </row>
    <row r="36" spans="1:13">
      <c r="A36" s="8">
        <v>19</v>
      </c>
      <c r="B36" s="10" t="s">
        <v>78</v>
      </c>
      <c r="C36" s="10"/>
      <c r="D36" s="13"/>
      <c r="G36" s="45">
        <f t="shared" si="11"/>
        <v>0</v>
      </c>
      <c r="K36" s="23"/>
      <c r="L36" s="23">
        <f t="shared" si="2"/>
        <v>0</v>
      </c>
    </row>
    <row r="37" spans="1:13">
      <c r="A37" s="8"/>
      <c r="B37" s="10"/>
      <c r="C37" s="10"/>
      <c r="D37" s="13"/>
      <c r="L37" s="23">
        <f t="shared" si="2"/>
        <v>0</v>
      </c>
    </row>
    <row r="38" spans="1:13">
      <c r="A38" s="8"/>
      <c r="B38" s="10" t="s">
        <v>79</v>
      </c>
      <c r="C38" s="10"/>
      <c r="D38" s="13"/>
      <c r="L38" s="23">
        <f t="shared" si="2"/>
        <v>0</v>
      </c>
    </row>
    <row r="39" spans="1:13">
      <c r="A39" s="12">
        <v>20</v>
      </c>
      <c r="B39" s="10"/>
      <c r="C39" s="10" t="s">
        <v>71</v>
      </c>
      <c r="D39" s="13">
        <f>[1]CF!$E$17</f>
        <v>2E-3</v>
      </c>
      <c r="E39" s="14">
        <f>E$10*$D39</f>
        <v>107987.02956269166</v>
      </c>
      <c r="G39" s="45">
        <f t="shared" ref="G39:G42" si="13">E39+F39</f>
        <v>107987.02956269166</v>
      </c>
      <c r="H39" s="14">
        <f t="shared" ref="H39:J39" si="14">H$10*$D39</f>
        <v>-14062.51353974357</v>
      </c>
      <c r="I39" s="14">
        <f t="shared" si="14"/>
        <v>2634.190567202375</v>
      </c>
      <c r="J39" s="14">
        <f t="shared" si="14"/>
        <v>13910.88210461671</v>
      </c>
      <c r="K39" s="23"/>
      <c r="L39" s="23">
        <f t="shared" si="2"/>
        <v>2482.5591320755157</v>
      </c>
      <c r="M39" s="35">
        <f>ROUND(-L39/1000,0)</f>
        <v>-2</v>
      </c>
    </row>
    <row r="40" spans="1:13">
      <c r="A40" s="8">
        <v>21</v>
      </c>
      <c r="B40" s="10"/>
      <c r="C40" s="10" t="s">
        <v>42</v>
      </c>
      <c r="D40" s="10"/>
      <c r="G40" s="45">
        <f t="shared" si="13"/>
        <v>0</v>
      </c>
      <c r="K40" s="23"/>
      <c r="L40" s="23">
        <f t="shared" si="2"/>
        <v>0</v>
      </c>
    </row>
    <row r="41" spans="1:13">
      <c r="A41" s="8">
        <v>22</v>
      </c>
      <c r="B41" s="10"/>
      <c r="C41" s="10" t="s">
        <v>80</v>
      </c>
      <c r="D41" s="10"/>
      <c r="G41" s="45">
        <f t="shared" si="13"/>
        <v>0</v>
      </c>
      <c r="K41" s="23"/>
      <c r="L41" s="23">
        <f t="shared" si="2"/>
        <v>0</v>
      </c>
      <c r="M41" s="35">
        <f>ROUND(-L41/1000,0)</f>
        <v>0</v>
      </c>
    </row>
    <row r="42" spans="1:13">
      <c r="A42" s="8">
        <v>23</v>
      </c>
      <c r="B42" s="10"/>
      <c r="C42" s="10" t="s">
        <v>72</v>
      </c>
      <c r="D42" s="10"/>
      <c r="G42" s="45">
        <f t="shared" si="13"/>
        <v>0</v>
      </c>
      <c r="K42" s="23"/>
      <c r="L42" s="110">
        <f t="shared" si="2"/>
        <v>0</v>
      </c>
    </row>
    <row r="43" spans="1:13">
      <c r="A43" s="8">
        <v>24</v>
      </c>
      <c r="B43" s="10" t="s">
        <v>81</v>
      </c>
      <c r="C43" s="10"/>
      <c r="D43" s="10"/>
      <c r="E43" s="22">
        <f t="shared" ref="E43:K43" si="15">SUM(E39:E42)</f>
        <v>107987.02956269166</v>
      </c>
      <c r="F43" s="22">
        <f t="shared" si="15"/>
        <v>0</v>
      </c>
      <c r="G43" s="22">
        <f t="shared" si="15"/>
        <v>107987.02956269166</v>
      </c>
      <c r="H43" s="22">
        <f t="shared" si="15"/>
        <v>-14062.51353974357</v>
      </c>
      <c r="I43" s="22">
        <f t="shared" si="15"/>
        <v>2634.190567202375</v>
      </c>
      <c r="J43" s="22">
        <f t="shared" si="15"/>
        <v>13910.88210461671</v>
      </c>
      <c r="K43" s="22">
        <f t="shared" si="15"/>
        <v>0</v>
      </c>
      <c r="L43" s="23">
        <f t="shared" si="2"/>
        <v>2482.5591320755157</v>
      </c>
      <c r="M43" s="22">
        <f>SUM(M39:M42)</f>
        <v>-2</v>
      </c>
    </row>
    <row r="44" spans="1:13">
      <c r="A44" s="24">
        <v>25</v>
      </c>
      <c r="B44" s="25" t="s">
        <v>82</v>
      </c>
      <c r="C44" s="25"/>
      <c r="E44" s="14">
        <f>E20+E26+E32+E34+E35+E36+E43</f>
        <v>118048533.78134583</v>
      </c>
      <c r="F44" s="14">
        <f>F20+F26+F32+F34+F35+F36+F43</f>
        <v>-64055019</v>
      </c>
      <c r="G44" s="14">
        <f>G20+G26+G32+G34+G35+G36+G43</f>
        <v>53993514.781345822</v>
      </c>
      <c r="H44" s="14">
        <f t="shared" ref="H44:J44" si="16">H20+H26+H32+H34+H35+H36+H43</f>
        <v>-7031256.7698717844</v>
      </c>
      <c r="I44" s="14">
        <f t="shared" ref="I44" si="17">I20+I26+I32+I34+I35+I36+I43</f>
        <v>61267.283601187373</v>
      </c>
      <c r="J44" s="14">
        <f t="shared" si="16"/>
        <v>6955441.0523083545</v>
      </c>
      <c r="K44" s="14">
        <f t="shared" ref="K44" si="18">K20+K26+K32+K34+K35+K36+K43</f>
        <v>0</v>
      </c>
      <c r="L44" s="23">
        <f>SUM(H44:K44)</f>
        <v>-14548.433962242678</v>
      </c>
      <c r="M44" s="14">
        <f>M20+M26+M32+M34+M35+M36+M43</f>
        <v>-64041</v>
      </c>
    </row>
    <row r="45" spans="1:13">
      <c r="A45" s="24"/>
      <c r="B45" s="25"/>
      <c r="C45" s="25"/>
      <c r="K45" s="14"/>
      <c r="L45" s="23">
        <f t="shared" si="2"/>
        <v>0</v>
      </c>
      <c r="M45" s="14"/>
    </row>
    <row r="46" spans="1:13">
      <c r="A46" s="24">
        <v>26</v>
      </c>
      <c r="B46" s="25" t="s">
        <v>83</v>
      </c>
      <c r="C46" s="25"/>
      <c r="E46" s="14">
        <f>E13-E44</f>
        <v>0</v>
      </c>
      <c r="F46" s="14">
        <f>F13-F44</f>
        <v>0</v>
      </c>
      <c r="G46" s="14">
        <f>G13-G44</f>
        <v>0</v>
      </c>
      <c r="H46" s="14">
        <f t="shared" ref="H46:J46" si="19">H13-H44</f>
        <v>0</v>
      </c>
      <c r="I46" s="14">
        <f t="shared" ref="I46" si="20">I13-I44</f>
        <v>0</v>
      </c>
      <c r="J46" s="14">
        <f t="shared" si="19"/>
        <v>0</v>
      </c>
      <c r="K46" s="14">
        <f>K13-K44</f>
        <v>476763</v>
      </c>
      <c r="L46" s="14">
        <f>L13-L44</f>
        <v>476763.00000000093</v>
      </c>
      <c r="M46" s="14">
        <f>M13-M44</f>
        <v>-476</v>
      </c>
    </row>
  </sheetData>
  <pageMargins left="0.7" right="0.7" top="0.53" bottom="0.82" header="0.3" footer="0.3"/>
  <pageSetup scale="69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/>
  <cols>
    <col min="1" max="16384" width="9.109375" style="85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C10" sqref="C10"/>
    </sheetView>
  </sheetViews>
  <sheetFormatPr defaultRowHeight="14.4"/>
  <cols>
    <col min="1" max="1" width="14.33203125" customWidth="1"/>
    <col min="2" max="2" width="42.88671875" customWidth="1"/>
    <col min="3" max="3" width="16.33203125" customWidth="1"/>
    <col min="4" max="4" width="15" customWidth="1"/>
    <col min="5" max="5" width="16.5546875" customWidth="1"/>
    <col min="6" max="6" width="14.6640625" customWidth="1"/>
    <col min="7" max="7" width="13.88671875" customWidth="1"/>
    <col min="8" max="8" width="12.5546875" customWidth="1"/>
  </cols>
  <sheetData>
    <row r="1" spans="1:7" ht="29.4" customHeight="1">
      <c r="A1" s="120" t="s">
        <v>171</v>
      </c>
      <c r="B1" s="120"/>
      <c r="C1" s="120"/>
      <c r="D1" s="120"/>
      <c r="E1" s="120"/>
      <c r="F1" s="120"/>
      <c r="G1" s="120"/>
    </row>
    <row r="2" spans="1:7">
      <c r="A2" s="2"/>
      <c r="B2" s="2"/>
      <c r="C2" s="2"/>
      <c r="D2" s="2"/>
      <c r="E2" s="2"/>
      <c r="F2" s="2"/>
      <c r="G2" s="2"/>
    </row>
    <row r="3" spans="1:7" ht="26.4">
      <c r="A3" s="46" t="s">
        <v>0</v>
      </c>
      <c r="B3" s="47" t="s">
        <v>1</v>
      </c>
      <c r="C3" s="47" t="s">
        <v>94</v>
      </c>
      <c r="D3" s="46" t="s">
        <v>2</v>
      </c>
      <c r="E3" s="2"/>
      <c r="F3" s="2"/>
    </row>
    <row r="4" spans="1:7">
      <c r="A4" s="2"/>
      <c r="B4" s="2"/>
      <c r="C4" s="2"/>
      <c r="D4" s="2"/>
      <c r="E4" s="2"/>
      <c r="F4" s="2"/>
    </row>
    <row r="5" spans="1:7">
      <c r="A5" s="48"/>
      <c r="B5" s="49"/>
      <c r="C5" s="50" t="s">
        <v>3</v>
      </c>
      <c r="D5" s="51" t="s">
        <v>4</v>
      </c>
      <c r="E5" s="51" t="s">
        <v>5</v>
      </c>
      <c r="F5" s="51" t="s">
        <v>6</v>
      </c>
    </row>
    <row r="6" spans="1:7">
      <c r="A6" s="46" t="s">
        <v>7</v>
      </c>
      <c r="B6" s="52" t="s">
        <v>8</v>
      </c>
      <c r="C6" s="53"/>
      <c r="D6" s="53"/>
      <c r="E6" s="53"/>
      <c r="F6" s="53"/>
    </row>
    <row r="7" spans="1:7">
      <c r="A7" s="46" t="s">
        <v>95</v>
      </c>
      <c r="B7" s="52" t="s">
        <v>96</v>
      </c>
      <c r="C7" s="54">
        <v>-6704184</v>
      </c>
      <c r="D7" s="55" t="s">
        <v>11</v>
      </c>
      <c r="E7" s="54">
        <v>-6704184</v>
      </c>
      <c r="F7" s="55" t="s">
        <v>11</v>
      </c>
    </row>
    <row r="8" spans="1:7">
      <c r="A8" s="46" t="s">
        <v>20</v>
      </c>
      <c r="B8" s="52" t="s">
        <v>21</v>
      </c>
      <c r="C8" s="54">
        <v>6401933</v>
      </c>
      <c r="D8" s="55" t="s">
        <v>11</v>
      </c>
      <c r="E8" s="54">
        <v>6401933</v>
      </c>
      <c r="F8" s="55" t="s">
        <v>11</v>
      </c>
    </row>
    <row r="9" spans="1:7">
      <c r="A9" s="46" t="s">
        <v>22</v>
      </c>
      <c r="B9" s="52" t="s">
        <v>23</v>
      </c>
      <c r="C9" s="54">
        <v>229962</v>
      </c>
      <c r="D9" s="55" t="s">
        <v>11</v>
      </c>
      <c r="E9" s="54">
        <v>229962</v>
      </c>
      <c r="F9" s="55" t="s">
        <v>11</v>
      </c>
    </row>
    <row r="10" spans="1:7">
      <c r="A10" s="82">
        <v>495311</v>
      </c>
      <c r="B10" s="86" t="s">
        <v>172</v>
      </c>
      <c r="C10" s="54">
        <v>-476763</v>
      </c>
      <c r="D10" s="55" t="s">
        <v>11</v>
      </c>
      <c r="E10" s="54">
        <v>-476763</v>
      </c>
      <c r="F10" s="55" t="s">
        <v>11</v>
      </c>
    </row>
    <row r="11" spans="1:7">
      <c r="A11" s="82">
        <v>495329</v>
      </c>
      <c r="B11" s="75" t="s">
        <v>173</v>
      </c>
      <c r="C11" s="54">
        <v>982554</v>
      </c>
      <c r="D11" s="55" t="s">
        <v>11</v>
      </c>
      <c r="E11" s="54">
        <v>982554</v>
      </c>
      <c r="F11" s="55" t="s">
        <v>11</v>
      </c>
    </row>
    <row r="12" spans="1:7">
      <c r="A12" s="82">
        <v>495339</v>
      </c>
      <c r="B12" s="75" t="s">
        <v>174</v>
      </c>
      <c r="C12" s="54">
        <v>273274</v>
      </c>
      <c r="D12" s="55" t="s">
        <v>11</v>
      </c>
      <c r="E12" s="54">
        <v>273274</v>
      </c>
      <c r="F12" s="55" t="s">
        <v>11</v>
      </c>
    </row>
    <row r="13" spans="1:7">
      <c r="A13" s="56" t="s">
        <v>24</v>
      </c>
      <c r="B13" s="57"/>
      <c r="C13" s="54">
        <f>SUM(C7:C12)</f>
        <v>706776</v>
      </c>
      <c r="D13" s="58"/>
      <c r="E13" s="58">
        <f>SUM(E7:E12)</f>
        <v>706776</v>
      </c>
      <c r="F13" s="58"/>
    </row>
    <row r="14" spans="1:7">
      <c r="A14" s="2"/>
      <c r="B14" s="2"/>
      <c r="C14" s="2"/>
      <c r="D14" s="2"/>
      <c r="E14" s="2"/>
      <c r="F14" s="2"/>
    </row>
    <row r="15" spans="1:7">
      <c r="A15" s="28"/>
      <c r="B15" s="28"/>
      <c r="C15" s="29"/>
      <c r="D15" s="30"/>
      <c r="E15" s="30"/>
      <c r="F15" s="30"/>
    </row>
    <row r="16" spans="1:7">
      <c r="A16" t="s">
        <v>98</v>
      </c>
    </row>
    <row r="17" spans="1:7">
      <c r="A17" s="27" t="s">
        <v>87</v>
      </c>
      <c r="B17" t="s">
        <v>86</v>
      </c>
      <c r="E17" s="26">
        <v>61018231</v>
      </c>
      <c r="F17" t="s">
        <v>101</v>
      </c>
    </row>
    <row r="18" spans="1:7" ht="14.4" customHeight="1">
      <c r="A18" s="39">
        <v>495028</v>
      </c>
      <c r="B18" s="39" t="s">
        <v>91</v>
      </c>
      <c r="E18" s="38">
        <v>3036788</v>
      </c>
      <c r="F18" s="74" t="s">
        <v>127</v>
      </c>
      <c r="G18" s="74"/>
    </row>
    <row r="19" spans="1:7">
      <c r="B19" t="s">
        <v>99</v>
      </c>
      <c r="E19" s="32">
        <f>E17+E18</f>
        <v>64055019</v>
      </c>
      <c r="F19" s="37"/>
      <c r="G19" s="37"/>
    </row>
    <row r="20" spans="1:7">
      <c r="E20" s="26"/>
    </row>
    <row r="21" spans="1:7" ht="27" customHeight="1">
      <c r="A21" s="40" t="s">
        <v>106</v>
      </c>
      <c r="B21" s="39" t="s">
        <v>66</v>
      </c>
      <c r="E21" s="38">
        <v>112604705</v>
      </c>
      <c r="F21" s="121" t="s">
        <v>102</v>
      </c>
      <c r="G21" s="121"/>
    </row>
    <row r="22" spans="1:7">
      <c r="A22" s="27" t="s">
        <v>88</v>
      </c>
      <c r="B22" t="s">
        <v>89</v>
      </c>
      <c r="E22" s="26">
        <v>3201534</v>
      </c>
      <c r="F22" t="s">
        <v>101</v>
      </c>
    </row>
    <row r="23" spans="1:7">
      <c r="A23">
        <v>811000</v>
      </c>
      <c r="B23" t="s">
        <v>90</v>
      </c>
      <c r="E23" s="26">
        <v>-269320</v>
      </c>
      <c r="F23" t="s">
        <v>101</v>
      </c>
    </row>
    <row r="24" spans="1:7">
      <c r="B24" t="s">
        <v>100</v>
      </c>
      <c r="E24" s="31">
        <f>SUM(E21:E23)</f>
        <v>115536919</v>
      </c>
    </row>
    <row r="25" spans="1:7" ht="15" thickBot="1">
      <c r="B25" t="s">
        <v>97</v>
      </c>
      <c r="E25" s="33">
        <f>SUM(E21:E23)-SUM(E17:E18)</f>
        <v>51481900</v>
      </c>
    </row>
    <row r="26" spans="1:7" ht="15" thickTop="1"/>
    <row r="29" spans="1:7">
      <c r="A29" t="s">
        <v>146</v>
      </c>
      <c r="E29" t="s">
        <v>157</v>
      </c>
    </row>
    <row r="30" spans="1:7">
      <c r="A30" t="s">
        <v>149</v>
      </c>
    </row>
    <row r="31" spans="1:7" ht="28.2" customHeight="1">
      <c r="A31" s="2" t="s">
        <v>163</v>
      </c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46" t="s">
        <v>112</v>
      </c>
      <c r="B33" s="47" t="s">
        <v>113</v>
      </c>
      <c r="C33" s="47" t="s">
        <v>94</v>
      </c>
      <c r="D33" s="47" t="s">
        <v>1</v>
      </c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59"/>
      <c r="B35" s="60"/>
      <c r="C35" s="61"/>
      <c r="D35" s="50"/>
      <c r="E35" s="56" t="s">
        <v>3</v>
      </c>
      <c r="F35" s="62"/>
      <c r="G35" s="57"/>
    </row>
    <row r="36" spans="1:7">
      <c r="A36" s="63"/>
      <c r="B36" s="64"/>
      <c r="C36" s="65"/>
      <c r="D36" s="47" t="s">
        <v>114</v>
      </c>
      <c r="E36" s="47" t="s">
        <v>115</v>
      </c>
      <c r="F36" s="47" t="s">
        <v>116</v>
      </c>
      <c r="G36" s="50" t="s">
        <v>24</v>
      </c>
    </row>
    <row r="37" spans="1:7">
      <c r="A37" s="46" t="s">
        <v>7</v>
      </c>
      <c r="B37" s="52" t="s">
        <v>110</v>
      </c>
      <c r="C37" s="46" t="s">
        <v>111</v>
      </c>
      <c r="D37" s="53"/>
      <c r="E37" s="53"/>
      <c r="F37" s="53"/>
      <c r="G37" s="53"/>
    </row>
    <row r="38" spans="1:7">
      <c r="A38" s="66" t="s">
        <v>117</v>
      </c>
      <c r="B38" s="67" t="s">
        <v>17</v>
      </c>
      <c r="C38" s="46" t="s">
        <v>136</v>
      </c>
      <c r="D38" s="53"/>
      <c r="E38" s="54">
        <v>421418</v>
      </c>
      <c r="F38" s="54">
        <v>-412201</v>
      </c>
      <c r="G38" s="54">
        <v>9217</v>
      </c>
    </row>
    <row r="39" spans="1:7" hidden="1">
      <c r="A39" s="68"/>
      <c r="B39" s="69"/>
      <c r="C39" s="46" t="s">
        <v>137</v>
      </c>
      <c r="D39" s="53"/>
      <c r="E39" s="54">
        <v>412201</v>
      </c>
      <c r="F39" s="54">
        <v>-460512</v>
      </c>
      <c r="G39" s="54">
        <v>-48311</v>
      </c>
    </row>
    <row r="40" spans="1:7" hidden="1">
      <c r="A40" s="68"/>
      <c r="B40" s="69"/>
      <c r="C40" s="46" t="s">
        <v>138</v>
      </c>
      <c r="D40" s="53"/>
      <c r="E40" s="54">
        <v>460512</v>
      </c>
      <c r="F40" s="54">
        <v>-333327</v>
      </c>
      <c r="G40" s="54">
        <v>127185</v>
      </c>
    </row>
    <row r="41" spans="1:7" hidden="1">
      <c r="A41" s="68"/>
      <c r="B41" s="69"/>
      <c r="C41" s="46" t="s">
        <v>139</v>
      </c>
      <c r="D41" s="53"/>
      <c r="E41" s="54">
        <v>333327</v>
      </c>
      <c r="F41" s="54">
        <v>-270883</v>
      </c>
      <c r="G41" s="54">
        <v>62444</v>
      </c>
    </row>
    <row r="42" spans="1:7" hidden="1">
      <c r="A42" s="68"/>
      <c r="B42" s="69"/>
      <c r="C42" s="46" t="s">
        <v>140</v>
      </c>
      <c r="D42" s="53"/>
      <c r="E42" s="54">
        <v>270883</v>
      </c>
      <c r="F42" s="54">
        <v>-150593</v>
      </c>
      <c r="G42" s="54">
        <v>120290</v>
      </c>
    </row>
    <row r="43" spans="1:7" hidden="1">
      <c r="A43" s="68"/>
      <c r="B43" s="69"/>
      <c r="C43" s="46" t="s">
        <v>141</v>
      </c>
      <c r="D43" s="53"/>
      <c r="E43" s="54">
        <v>150593</v>
      </c>
      <c r="F43" s="54">
        <v>-116779</v>
      </c>
      <c r="G43" s="54">
        <v>33814</v>
      </c>
    </row>
    <row r="44" spans="1:7" hidden="1">
      <c r="A44" s="68"/>
      <c r="B44" s="69"/>
      <c r="C44" s="46" t="s">
        <v>142</v>
      </c>
      <c r="D44" s="53"/>
      <c r="E44" s="54">
        <v>116779</v>
      </c>
      <c r="F44" s="54">
        <v>-121626</v>
      </c>
      <c r="G44" s="54">
        <v>-4847</v>
      </c>
    </row>
    <row r="45" spans="1:7" hidden="1">
      <c r="A45" s="68"/>
      <c r="B45" s="69"/>
      <c r="C45" s="46" t="s">
        <v>143</v>
      </c>
      <c r="D45" s="53"/>
      <c r="E45" s="54">
        <v>121626</v>
      </c>
      <c r="F45" s="54">
        <v>-122906</v>
      </c>
      <c r="G45" s="54">
        <v>-1280</v>
      </c>
    </row>
    <row r="46" spans="1:7" hidden="1">
      <c r="A46" s="68"/>
      <c r="B46" s="69"/>
      <c r="C46" s="46" t="s">
        <v>144</v>
      </c>
      <c r="D46" s="53"/>
      <c r="E46" s="54">
        <v>122906</v>
      </c>
      <c r="F46" s="54">
        <v>-156400</v>
      </c>
      <c r="G46" s="54">
        <v>-33494</v>
      </c>
    </row>
    <row r="47" spans="1:7" hidden="1">
      <c r="A47" s="68"/>
      <c r="B47" s="69"/>
      <c r="C47" s="46" t="s">
        <v>164</v>
      </c>
      <c r="D47" s="53"/>
      <c r="E47" s="54">
        <v>156400</v>
      </c>
      <c r="F47" s="54">
        <v>-237231</v>
      </c>
      <c r="G47" s="54">
        <v>-80831</v>
      </c>
    </row>
    <row r="48" spans="1:7" hidden="1">
      <c r="A48" s="68"/>
      <c r="B48" s="69"/>
      <c r="C48" s="46" t="s">
        <v>165</v>
      </c>
      <c r="D48" s="53"/>
      <c r="E48" s="54">
        <v>237231</v>
      </c>
      <c r="F48" s="54">
        <v>-673147</v>
      </c>
      <c r="G48" s="54">
        <v>-435916</v>
      </c>
    </row>
    <row r="49" spans="1:9">
      <c r="A49" s="70"/>
      <c r="B49" s="71"/>
      <c r="C49" s="46" t="s">
        <v>166</v>
      </c>
      <c r="D49" s="53"/>
      <c r="E49" s="54">
        <v>673147</v>
      </c>
      <c r="F49" s="54">
        <v>-727470</v>
      </c>
      <c r="G49" s="54">
        <v>-54323</v>
      </c>
      <c r="H49" s="43">
        <f>SUM(G38:G49)</f>
        <v>-306052</v>
      </c>
      <c r="I49" t="s">
        <v>147</v>
      </c>
    </row>
    <row r="50" spans="1:9">
      <c r="A50" s="66" t="s">
        <v>22</v>
      </c>
      <c r="B50" s="67" t="s">
        <v>148</v>
      </c>
      <c r="C50" s="46" t="s">
        <v>136</v>
      </c>
      <c r="D50" s="53"/>
      <c r="E50" s="54">
        <v>412201</v>
      </c>
      <c r="F50" s="54">
        <v>-421418</v>
      </c>
      <c r="G50" s="54">
        <v>-9217</v>
      </c>
    </row>
    <row r="51" spans="1:9" hidden="1">
      <c r="A51" s="68"/>
      <c r="B51" s="69"/>
      <c r="C51" s="46" t="s">
        <v>137</v>
      </c>
      <c r="D51" s="53"/>
      <c r="E51" s="54">
        <v>460512</v>
      </c>
      <c r="F51" s="54">
        <v>-412201</v>
      </c>
      <c r="G51" s="54">
        <v>48311</v>
      </c>
    </row>
    <row r="52" spans="1:9" hidden="1">
      <c r="A52" s="68"/>
      <c r="B52" s="69"/>
      <c r="C52" s="46" t="s">
        <v>138</v>
      </c>
      <c r="D52" s="53"/>
      <c r="E52" s="54">
        <v>333327</v>
      </c>
      <c r="F52" s="54">
        <v>-460512</v>
      </c>
      <c r="G52" s="54">
        <v>-127185</v>
      </c>
    </row>
    <row r="53" spans="1:9" hidden="1">
      <c r="A53" s="68"/>
      <c r="B53" s="69"/>
      <c r="C53" s="46" t="s">
        <v>139</v>
      </c>
      <c r="D53" s="53"/>
      <c r="E53" s="54">
        <v>270883</v>
      </c>
      <c r="F53" s="54">
        <v>-333327</v>
      </c>
      <c r="G53" s="54">
        <v>-62444</v>
      </c>
    </row>
    <row r="54" spans="1:9" hidden="1">
      <c r="A54" s="68"/>
      <c r="B54" s="69"/>
      <c r="C54" s="46" t="s">
        <v>140</v>
      </c>
      <c r="D54" s="53"/>
      <c r="E54" s="54">
        <v>150593</v>
      </c>
      <c r="F54" s="54">
        <v>-270883</v>
      </c>
      <c r="G54" s="54">
        <v>-120290</v>
      </c>
    </row>
    <row r="55" spans="1:9" hidden="1">
      <c r="A55" s="68"/>
      <c r="B55" s="69"/>
      <c r="C55" s="46" t="s">
        <v>141</v>
      </c>
      <c r="D55" s="53"/>
      <c r="E55" s="54">
        <v>116779</v>
      </c>
      <c r="F55" s="54">
        <v>-150593</v>
      </c>
      <c r="G55" s="54">
        <v>-33814</v>
      </c>
    </row>
    <row r="56" spans="1:9" hidden="1">
      <c r="A56" s="68"/>
      <c r="B56" s="69"/>
      <c r="C56" s="46" t="s">
        <v>142</v>
      </c>
      <c r="D56" s="53"/>
      <c r="E56" s="54">
        <v>121626</v>
      </c>
      <c r="F56" s="54">
        <v>-116779</v>
      </c>
      <c r="G56" s="54">
        <v>4847</v>
      </c>
    </row>
    <row r="57" spans="1:9" hidden="1">
      <c r="A57" s="68"/>
      <c r="B57" s="69"/>
      <c r="C57" s="46" t="s">
        <v>143</v>
      </c>
      <c r="D57" s="53"/>
      <c r="E57" s="54">
        <v>122906</v>
      </c>
      <c r="F57" s="54">
        <v>-121626</v>
      </c>
      <c r="G57" s="54">
        <v>1280</v>
      </c>
    </row>
    <row r="58" spans="1:9" hidden="1">
      <c r="A58" s="68"/>
      <c r="B58" s="69"/>
      <c r="C58" s="46" t="s">
        <v>144</v>
      </c>
      <c r="D58" s="53"/>
      <c r="E58" s="54">
        <v>156400</v>
      </c>
      <c r="F58" s="54">
        <v>-122906</v>
      </c>
      <c r="G58" s="54">
        <v>33494</v>
      </c>
    </row>
    <row r="59" spans="1:9" hidden="1">
      <c r="A59" s="68"/>
      <c r="B59" s="69"/>
      <c r="C59" s="46" t="s">
        <v>164</v>
      </c>
      <c r="D59" s="53"/>
      <c r="E59" s="54">
        <v>237231</v>
      </c>
      <c r="F59" s="54">
        <v>-156400</v>
      </c>
      <c r="G59" s="54">
        <v>80831</v>
      </c>
    </row>
    <row r="60" spans="1:9" hidden="1">
      <c r="A60" s="68"/>
      <c r="B60" s="69"/>
      <c r="C60" s="46" t="s">
        <v>165</v>
      </c>
      <c r="D60" s="53"/>
      <c r="E60" s="54">
        <v>673147</v>
      </c>
      <c r="F60" s="54">
        <v>-237231</v>
      </c>
      <c r="G60" s="54">
        <v>435916</v>
      </c>
    </row>
    <row r="61" spans="1:9">
      <c r="A61" s="70"/>
      <c r="B61" s="71"/>
      <c r="C61" s="46" t="s">
        <v>166</v>
      </c>
      <c r="D61" s="53"/>
      <c r="E61" s="54">
        <v>727470</v>
      </c>
      <c r="F61" s="54">
        <v>-673147</v>
      </c>
      <c r="G61" s="54">
        <v>54323</v>
      </c>
      <c r="H61" s="43">
        <f>SUM(G50:G61)</f>
        <v>306052</v>
      </c>
    </row>
    <row r="62" spans="1:9">
      <c r="A62" s="56" t="s">
        <v>24</v>
      </c>
      <c r="B62" s="62"/>
      <c r="C62" s="57"/>
      <c r="D62" s="53"/>
      <c r="E62" s="54">
        <v>7260098</v>
      </c>
      <c r="F62" s="54">
        <v>-7260098</v>
      </c>
      <c r="G62" s="54">
        <v>0</v>
      </c>
    </row>
  </sheetData>
  <mergeCells count="2">
    <mergeCell ref="A1:G1"/>
    <mergeCell ref="F21:G21"/>
  </mergeCells>
  <pageMargins left="0.7" right="0.7" top="0.88" bottom="0.86" header="0.3" footer="0.3"/>
  <pageSetup scale="90" orientation="landscape" r:id="rId1"/>
  <headerFooter>
    <oddHeader>&amp;RAdjustment No. _&amp;U2.11&amp;U__
Workpaper Ref. &amp;A</oddHeader>
    <oddFooter>&amp;L&amp;F&amp;RPrep by: ____________     1st Review:__________
          Date:  &amp;D           Mgr. Review:__________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E32" sqref="E32"/>
    </sheetView>
  </sheetViews>
  <sheetFormatPr defaultRowHeight="14.4"/>
  <cols>
    <col min="2" max="2" width="8.33203125" customWidth="1"/>
    <col min="3" max="3" width="6.88671875" customWidth="1"/>
    <col min="4" max="4" width="11.44140625" bestFit="1" customWidth="1"/>
    <col min="5" max="5" width="8" customWidth="1"/>
    <col min="6" max="6" width="9.44140625" bestFit="1" customWidth="1"/>
    <col min="7" max="7" width="17" bestFit="1" customWidth="1"/>
    <col min="8" max="8" width="11.44140625" bestFit="1" customWidth="1"/>
    <col min="9" max="9" width="10.88671875" customWidth="1"/>
    <col min="258" max="258" width="8.33203125" customWidth="1"/>
    <col min="259" max="259" width="6.88671875" customWidth="1"/>
    <col min="260" max="260" width="11.44140625" bestFit="1" customWidth="1"/>
    <col min="261" max="261" width="8" customWidth="1"/>
    <col min="262" max="262" width="9.44140625" bestFit="1" customWidth="1"/>
    <col min="263" max="263" width="17" bestFit="1" customWidth="1"/>
    <col min="264" max="264" width="11.44140625" bestFit="1" customWidth="1"/>
    <col min="265" max="265" width="10.88671875" customWidth="1"/>
    <col min="514" max="514" width="8.33203125" customWidth="1"/>
    <col min="515" max="515" width="6.88671875" customWidth="1"/>
    <col min="516" max="516" width="11.44140625" bestFit="1" customWidth="1"/>
    <col min="517" max="517" width="8" customWidth="1"/>
    <col min="518" max="518" width="9.44140625" bestFit="1" customWidth="1"/>
    <col min="519" max="519" width="17" bestFit="1" customWidth="1"/>
    <col min="520" max="520" width="11.44140625" bestFit="1" customWidth="1"/>
    <col min="521" max="521" width="10.88671875" customWidth="1"/>
    <col min="770" max="770" width="8.33203125" customWidth="1"/>
    <col min="771" max="771" width="6.88671875" customWidth="1"/>
    <col min="772" max="772" width="11.44140625" bestFit="1" customWidth="1"/>
    <col min="773" max="773" width="8" customWidth="1"/>
    <col min="774" max="774" width="9.44140625" bestFit="1" customWidth="1"/>
    <col min="775" max="775" width="17" bestFit="1" customWidth="1"/>
    <col min="776" max="776" width="11.44140625" bestFit="1" customWidth="1"/>
    <col min="777" max="777" width="10.88671875" customWidth="1"/>
    <col min="1026" max="1026" width="8.33203125" customWidth="1"/>
    <col min="1027" max="1027" width="6.88671875" customWidth="1"/>
    <col min="1028" max="1028" width="11.44140625" bestFit="1" customWidth="1"/>
    <col min="1029" max="1029" width="8" customWidth="1"/>
    <col min="1030" max="1030" width="9.44140625" bestFit="1" customWidth="1"/>
    <col min="1031" max="1031" width="17" bestFit="1" customWidth="1"/>
    <col min="1032" max="1032" width="11.44140625" bestFit="1" customWidth="1"/>
    <col min="1033" max="1033" width="10.88671875" customWidth="1"/>
    <col min="1282" max="1282" width="8.33203125" customWidth="1"/>
    <col min="1283" max="1283" width="6.88671875" customWidth="1"/>
    <col min="1284" max="1284" width="11.44140625" bestFit="1" customWidth="1"/>
    <col min="1285" max="1285" width="8" customWidth="1"/>
    <col min="1286" max="1286" width="9.44140625" bestFit="1" customWidth="1"/>
    <col min="1287" max="1287" width="17" bestFit="1" customWidth="1"/>
    <col min="1288" max="1288" width="11.44140625" bestFit="1" customWidth="1"/>
    <col min="1289" max="1289" width="10.88671875" customWidth="1"/>
    <col min="1538" max="1538" width="8.33203125" customWidth="1"/>
    <col min="1539" max="1539" width="6.88671875" customWidth="1"/>
    <col min="1540" max="1540" width="11.44140625" bestFit="1" customWidth="1"/>
    <col min="1541" max="1541" width="8" customWidth="1"/>
    <col min="1542" max="1542" width="9.44140625" bestFit="1" customWidth="1"/>
    <col min="1543" max="1543" width="17" bestFit="1" customWidth="1"/>
    <col min="1544" max="1544" width="11.44140625" bestFit="1" customWidth="1"/>
    <col min="1545" max="1545" width="10.88671875" customWidth="1"/>
    <col min="1794" max="1794" width="8.33203125" customWidth="1"/>
    <col min="1795" max="1795" width="6.88671875" customWidth="1"/>
    <col min="1796" max="1796" width="11.44140625" bestFit="1" customWidth="1"/>
    <col min="1797" max="1797" width="8" customWidth="1"/>
    <col min="1798" max="1798" width="9.44140625" bestFit="1" customWidth="1"/>
    <col min="1799" max="1799" width="17" bestFit="1" customWidth="1"/>
    <col min="1800" max="1800" width="11.44140625" bestFit="1" customWidth="1"/>
    <col min="1801" max="1801" width="10.88671875" customWidth="1"/>
    <col min="2050" max="2050" width="8.33203125" customWidth="1"/>
    <col min="2051" max="2051" width="6.88671875" customWidth="1"/>
    <col min="2052" max="2052" width="11.44140625" bestFit="1" customWidth="1"/>
    <col min="2053" max="2053" width="8" customWidth="1"/>
    <col min="2054" max="2054" width="9.44140625" bestFit="1" customWidth="1"/>
    <col min="2055" max="2055" width="17" bestFit="1" customWidth="1"/>
    <col min="2056" max="2056" width="11.44140625" bestFit="1" customWidth="1"/>
    <col min="2057" max="2057" width="10.88671875" customWidth="1"/>
    <col min="2306" max="2306" width="8.33203125" customWidth="1"/>
    <col min="2307" max="2307" width="6.88671875" customWidth="1"/>
    <col min="2308" max="2308" width="11.44140625" bestFit="1" customWidth="1"/>
    <col min="2309" max="2309" width="8" customWidth="1"/>
    <col min="2310" max="2310" width="9.44140625" bestFit="1" customWidth="1"/>
    <col min="2311" max="2311" width="17" bestFit="1" customWidth="1"/>
    <col min="2312" max="2312" width="11.44140625" bestFit="1" customWidth="1"/>
    <col min="2313" max="2313" width="10.88671875" customWidth="1"/>
    <col min="2562" max="2562" width="8.33203125" customWidth="1"/>
    <col min="2563" max="2563" width="6.88671875" customWidth="1"/>
    <col min="2564" max="2564" width="11.44140625" bestFit="1" customWidth="1"/>
    <col min="2565" max="2565" width="8" customWidth="1"/>
    <col min="2566" max="2566" width="9.44140625" bestFit="1" customWidth="1"/>
    <col min="2567" max="2567" width="17" bestFit="1" customWidth="1"/>
    <col min="2568" max="2568" width="11.44140625" bestFit="1" customWidth="1"/>
    <col min="2569" max="2569" width="10.88671875" customWidth="1"/>
    <col min="2818" max="2818" width="8.33203125" customWidth="1"/>
    <col min="2819" max="2819" width="6.88671875" customWidth="1"/>
    <col min="2820" max="2820" width="11.44140625" bestFit="1" customWidth="1"/>
    <col min="2821" max="2821" width="8" customWidth="1"/>
    <col min="2822" max="2822" width="9.44140625" bestFit="1" customWidth="1"/>
    <col min="2823" max="2823" width="17" bestFit="1" customWidth="1"/>
    <col min="2824" max="2824" width="11.44140625" bestFit="1" customWidth="1"/>
    <col min="2825" max="2825" width="10.88671875" customWidth="1"/>
    <col min="3074" max="3074" width="8.33203125" customWidth="1"/>
    <col min="3075" max="3075" width="6.88671875" customWidth="1"/>
    <col min="3076" max="3076" width="11.44140625" bestFit="1" customWidth="1"/>
    <col min="3077" max="3077" width="8" customWidth="1"/>
    <col min="3078" max="3078" width="9.44140625" bestFit="1" customWidth="1"/>
    <col min="3079" max="3079" width="17" bestFit="1" customWidth="1"/>
    <col min="3080" max="3080" width="11.44140625" bestFit="1" customWidth="1"/>
    <col min="3081" max="3081" width="10.88671875" customWidth="1"/>
    <col min="3330" max="3330" width="8.33203125" customWidth="1"/>
    <col min="3331" max="3331" width="6.88671875" customWidth="1"/>
    <col min="3332" max="3332" width="11.44140625" bestFit="1" customWidth="1"/>
    <col min="3333" max="3333" width="8" customWidth="1"/>
    <col min="3334" max="3334" width="9.44140625" bestFit="1" customWidth="1"/>
    <col min="3335" max="3335" width="17" bestFit="1" customWidth="1"/>
    <col min="3336" max="3336" width="11.44140625" bestFit="1" customWidth="1"/>
    <col min="3337" max="3337" width="10.88671875" customWidth="1"/>
    <col min="3586" max="3586" width="8.33203125" customWidth="1"/>
    <col min="3587" max="3587" width="6.88671875" customWidth="1"/>
    <col min="3588" max="3588" width="11.44140625" bestFit="1" customWidth="1"/>
    <col min="3589" max="3589" width="8" customWidth="1"/>
    <col min="3590" max="3590" width="9.44140625" bestFit="1" customWidth="1"/>
    <col min="3591" max="3591" width="17" bestFit="1" customWidth="1"/>
    <col min="3592" max="3592" width="11.44140625" bestFit="1" customWidth="1"/>
    <col min="3593" max="3593" width="10.88671875" customWidth="1"/>
    <col min="3842" max="3842" width="8.33203125" customWidth="1"/>
    <col min="3843" max="3843" width="6.88671875" customWidth="1"/>
    <col min="3844" max="3844" width="11.44140625" bestFit="1" customWidth="1"/>
    <col min="3845" max="3845" width="8" customWidth="1"/>
    <col min="3846" max="3846" width="9.44140625" bestFit="1" customWidth="1"/>
    <col min="3847" max="3847" width="17" bestFit="1" customWidth="1"/>
    <col min="3848" max="3848" width="11.44140625" bestFit="1" customWidth="1"/>
    <col min="3849" max="3849" width="10.88671875" customWidth="1"/>
    <col min="4098" max="4098" width="8.33203125" customWidth="1"/>
    <col min="4099" max="4099" width="6.88671875" customWidth="1"/>
    <col min="4100" max="4100" width="11.44140625" bestFit="1" customWidth="1"/>
    <col min="4101" max="4101" width="8" customWidth="1"/>
    <col min="4102" max="4102" width="9.44140625" bestFit="1" customWidth="1"/>
    <col min="4103" max="4103" width="17" bestFit="1" customWidth="1"/>
    <col min="4104" max="4104" width="11.44140625" bestFit="1" customWidth="1"/>
    <col min="4105" max="4105" width="10.88671875" customWidth="1"/>
    <col min="4354" max="4354" width="8.33203125" customWidth="1"/>
    <col min="4355" max="4355" width="6.88671875" customWidth="1"/>
    <col min="4356" max="4356" width="11.44140625" bestFit="1" customWidth="1"/>
    <col min="4357" max="4357" width="8" customWidth="1"/>
    <col min="4358" max="4358" width="9.44140625" bestFit="1" customWidth="1"/>
    <col min="4359" max="4359" width="17" bestFit="1" customWidth="1"/>
    <col min="4360" max="4360" width="11.44140625" bestFit="1" customWidth="1"/>
    <col min="4361" max="4361" width="10.88671875" customWidth="1"/>
    <col min="4610" max="4610" width="8.33203125" customWidth="1"/>
    <col min="4611" max="4611" width="6.88671875" customWidth="1"/>
    <col min="4612" max="4612" width="11.44140625" bestFit="1" customWidth="1"/>
    <col min="4613" max="4613" width="8" customWidth="1"/>
    <col min="4614" max="4614" width="9.44140625" bestFit="1" customWidth="1"/>
    <col min="4615" max="4615" width="17" bestFit="1" customWidth="1"/>
    <col min="4616" max="4616" width="11.44140625" bestFit="1" customWidth="1"/>
    <col min="4617" max="4617" width="10.88671875" customWidth="1"/>
    <col min="4866" max="4866" width="8.33203125" customWidth="1"/>
    <col min="4867" max="4867" width="6.88671875" customWidth="1"/>
    <col min="4868" max="4868" width="11.44140625" bestFit="1" customWidth="1"/>
    <col min="4869" max="4869" width="8" customWidth="1"/>
    <col min="4870" max="4870" width="9.44140625" bestFit="1" customWidth="1"/>
    <col min="4871" max="4871" width="17" bestFit="1" customWidth="1"/>
    <col min="4872" max="4872" width="11.44140625" bestFit="1" customWidth="1"/>
    <col min="4873" max="4873" width="10.88671875" customWidth="1"/>
    <col min="5122" max="5122" width="8.33203125" customWidth="1"/>
    <col min="5123" max="5123" width="6.88671875" customWidth="1"/>
    <col min="5124" max="5124" width="11.44140625" bestFit="1" customWidth="1"/>
    <col min="5125" max="5125" width="8" customWidth="1"/>
    <col min="5126" max="5126" width="9.44140625" bestFit="1" customWidth="1"/>
    <col min="5127" max="5127" width="17" bestFit="1" customWidth="1"/>
    <col min="5128" max="5128" width="11.44140625" bestFit="1" customWidth="1"/>
    <col min="5129" max="5129" width="10.88671875" customWidth="1"/>
    <col min="5378" max="5378" width="8.33203125" customWidth="1"/>
    <col min="5379" max="5379" width="6.88671875" customWidth="1"/>
    <col min="5380" max="5380" width="11.44140625" bestFit="1" customWidth="1"/>
    <col min="5381" max="5381" width="8" customWidth="1"/>
    <col min="5382" max="5382" width="9.44140625" bestFit="1" customWidth="1"/>
    <col min="5383" max="5383" width="17" bestFit="1" customWidth="1"/>
    <col min="5384" max="5384" width="11.44140625" bestFit="1" customWidth="1"/>
    <col min="5385" max="5385" width="10.88671875" customWidth="1"/>
    <col min="5634" max="5634" width="8.33203125" customWidth="1"/>
    <col min="5635" max="5635" width="6.88671875" customWidth="1"/>
    <col min="5636" max="5636" width="11.44140625" bestFit="1" customWidth="1"/>
    <col min="5637" max="5637" width="8" customWidth="1"/>
    <col min="5638" max="5638" width="9.44140625" bestFit="1" customWidth="1"/>
    <col min="5639" max="5639" width="17" bestFit="1" customWidth="1"/>
    <col min="5640" max="5640" width="11.44140625" bestFit="1" customWidth="1"/>
    <col min="5641" max="5641" width="10.88671875" customWidth="1"/>
    <col min="5890" max="5890" width="8.33203125" customWidth="1"/>
    <col min="5891" max="5891" width="6.88671875" customWidth="1"/>
    <col min="5892" max="5892" width="11.44140625" bestFit="1" customWidth="1"/>
    <col min="5893" max="5893" width="8" customWidth="1"/>
    <col min="5894" max="5894" width="9.44140625" bestFit="1" customWidth="1"/>
    <col min="5895" max="5895" width="17" bestFit="1" customWidth="1"/>
    <col min="5896" max="5896" width="11.44140625" bestFit="1" customWidth="1"/>
    <col min="5897" max="5897" width="10.88671875" customWidth="1"/>
    <col min="6146" max="6146" width="8.33203125" customWidth="1"/>
    <col min="6147" max="6147" width="6.88671875" customWidth="1"/>
    <col min="6148" max="6148" width="11.44140625" bestFit="1" customWidth="1"/>
    <col min="6149" max="6149" width="8" customWidth="1"/>
    <col min="6150" max="6150" width="9.44140625" bestFit="1" customWidth="1"/>
    <col min="6151" max="6151" width="17" bestFit="1" customWidth="1"/>
    <col min="6152" max="6152" width="11.44140625" bestFit="1" customWidth="1"/>
    <col min="6153" max="6153" width="10.88671875" customWidth="1"/>
    <col min="6402" max="6402" width="8.33203125" customWidth="1"/>
    <col min="6403" max="6403" width="6.88671875" customWidth="1"/>
    <col min="6404" max="6404" width="11.44140625" bestFit="1" customWidth="1"/>
    <col min="6405" max="6405" width="8" customWidth="1"/>
    <col min="6406" max="6406" width="9.44140625" bestFit="1" customWidth="1"/>
    <col min="6407" max="6407" width="17" bestFit="1" customWidth="1"/>
    <col min="6408" max="6408" width="11.44140625" bestFit="1" customWidth="1"/>
    <col min="6409" max="6409" width="10.88671875" customWidth="1"/>
    <col min="6658" max="6658" width="8.33203125" customWidth="1"/>
    <col min="6659" max="6659" width="6.88671875" customWidth="1"/>
    <col min="6660" max="6660" width="11.44140625" bestFit="1" customWidth="1"/>
    <col min="6661" max="6661" width="8" customWidth="1"/>
    <col min="6662" max="6662" width="9.44140625" bestFit="1" customWidth="1"/>
    <col min="6663" max="6663" width="17" bestFit="1" customWidth="1"/>
    <col min="6664" max="6664" width="11.44140625" bestFit="1" customWidth="1"/>
    <col min="6665" max="6665" width="10.88671875" customWidth="1"/>
    <col min="6914" max="6914" width="8.33203125" customWidth="1"/>
    <col min="6915" max="6915" width="6.88671875" customWidth="1"/>
    <col min="6916" max="6916" width="11.44140625" bestFit="1" customWidth="1"/>
    <col min="6917" max="6917" width="8" customWidth="1"/>
    <col min="6918" max="6918" width="9.44140625" bestFit="1" customWidth="1"/>
    <col min="6919" max="6919" width="17" bestFit="1" customWidth="1"/>
    <col min="6920" max="6920" width="11.44140625" bestFit="1" customWidth="1"/>
    <col min="6921" max="6921" width="10.88671875" customWidth="1"/>
    <col min="7170" max="7170" width="8.33203125" customWidth="1"/>
    <col min="7171" max="7171" width="6.88671875" customWidth="1"/>
    <col min="7172" max="7172" width="11.44140625" bestFit="1" customWidth="1"/>
    <col min="7173" max="7173" width="8" customWidth="1"/>
    <col min="7174" max="7174" width="9.44140625" bestFit="1" customWidth="1"/>
    <col min="7175" max="7175" width="17" bestFit="1" customWidth="1"/>
    <col min="7176" max="7176" width="11.44140625" bestFit="1" customWidth="1"/>
    <col min="7177" max="7177" width="10.88671875" customWidth="1"/>
    <col min="7426" max="7426" width="8.33203125" customWidth="1"/>
    <col min="7427" max="7427" width="6.88671875" customWidth="1"/>
    <col min="7428" max="7428" width="11.44140625" bestFit="1" customWidth="1"/>
    <col min="7429" max="7429" width="8" customWidth="1"/>
    <col min="7430" max="7430" width="9.44140625" bestFit="1" customWidth="1"/>
    <col min="7431" max="7431" width="17" bestFit="1" customWidth="1"/>
    <col min="7432" max="7432" width="11.44140625" bestFit="1" customWidth="1"/>
    <col min="7433" max="7433" width="10.88671875" customWidth="1"/>
    <col min="7682" max="7682" width="8.33203125" customWidth="1"/>
    <col min="7683" max="7683" width="6.88671875" customWidth="1"/>
    <col min="7684" max="7684" width="11.44140625" bestFit="1" customWidth="1"/>
    <col min="7685" max="7685" width="8" customWidth="1"/>
    <col min="7686" max="7686" width="9.44140625" bestFit="1" customWidth="1"/>
    <col min="7687" max="7687" width="17" bestFit="1" customWidth="1"/>
    <col min="7688" max="7688" width="11.44140625" bestFit="1" customWidth="1"/>
    <col min="7689" max="7689" width="10.88671875" customWidth="1"/>
    <col min="7938" max="7938" width="8.33203125" customWidth="1"/>
    <col min="7939" max="7939" width="6.88671875" customWidth="1"/>
    <col min="7940" max="7940" width="11.44140625" bestFit="1" customWidth="1"/>
    <col min="7941" max="7941" width="8" customWidth="1"/>
    <col min="7942" max="7942" width="9.44140625" bestFit="1" customWidth="1"/>
    <col min="7943" max="7943" width="17" bestFit="1" customWidth="1"/>
    <col min="7944" max="7944" width="11.44140625" bestFit="1" customWidth="1"/>
    <col min="7945" max="7945" width="10.88671875" customWidth="1"/>
    <col min="8194" max="8194" width="8.33203125" customWidth="1"/>
    <col min="8195" max="8195" width="6.88671875" customWidth="1"/>
    <col min="8196" max="8196" width="11.44140625" bestFit="1" customWidth="1"/>
    <col min="8197" max="8197" width="8" customWidth="1"/>
    <col min="8198" max="8198" width="9.44140625" bestFit="1" customWidth="1"/>
    <col min="8199" max="8199" width="17" bestFit="1" customWidth="1"/>
    <col min="8200" max="8200" width="11.44140625" bestFit="1" customWidth="1"/>
    <col min="8201" max="8201" width="10.88671875" customWidth="1"/>
    <col min="8450" max="8450" width="8.33203125" customWidth="1"/>
    <col min="8451" max="8451" width="6.88671875" customWidth="1"/>
    <col min="8452" max="8452" width="11.44140625" bestFit="1" customWidth="1"/>
    <col min="8453" max="8453" width="8" customWidth="1"/>
    <col min="8454" max="8454" width="9.44140625" bestFit="1" customWidth="1"/>
    <col min="8455" max="8455" width="17" bestFit="1" customWidth="1"/>
    <col min="8456" max="8456" width="11.44140625" bestFit="1" customWidth="1"/>
    <col min="8457" max="8457" width="10.88671875" customWidth="1"/>
    <col min="8706" max="8706" width="8.33203125" customWidth="1"/>
    <col min="8707" max="8707" width="6.88671875" customWidth="1"/>
    <col min="8708" max="8708" width="11.44140625" bestFit="1" customWidth="1"/>
    <col min="8709" max="8709" width="8" customWidth="1"/>
    <col min="8710" max="8710" width="9.44140625" bestFit="1" customWidth="1"/>
    <col min="8711" max="8711" width="17" bestFit="1" customWidth="1"/>
    <col min="8712" max="8712" width="11.44140625" bestFit="1" customWidth="1"/>
    <col min="8713" max="8713" width="10.88671875" customWidth="1"/>
    <col min="8962" max="8962" width="8.33203125" customWidth="1"/>
    <col min="8963" max="8963" width="6.88671875" customWidth="1"/>
    <col min="8964" max="8964" width="11.44140625" bestFit="1" customWidth="1"/>
    <col min="8965" max="8965" width="8" customWidth="1"/>
    <col min="8966" max="8966" width="9.44140625" bestFit="1" customWidth="1"/>
    <col min="8967" max="8967" width="17" bestFit="1" customWidth="1"/>
    <col min="8968" max="8968" width="11.44140625" bestFit="1" customWidth="1"/>
    <col min="8969" max="8969" width="10.88671875" customWidth="1"/>
    <col min="9218" max="9218" width="8.33203125" customWidth="1"/>
    <col min="9219" max="9219" width="6.88671875" customWidth="1"/>
    <col min="9220" max="9220" width="11.44140625" bestFit="1" customWidth="1"/>
    <col min="9221" max="9221" width="8" customWidth="1"/>
    <col min="9222" max="9222" width="9.44140625" bestFit="1" customWidth="1"/>
    <col min="9223" max="9223" width="17" bestFit="1" customWidth="1"/>
    <col min="9224" max="9224" width="11.44140625" bestFit="1" customWidth="1"/>
    <col min="9225" max="9225" width="10.88671875" customWidth="1"/>
    <col min="9474" max="9474" width="8.33203125" customWidth="1"/>
    <col min="9475" max="9475" width="6.88671875" customWidth="1"/>
    <col min="9476" max="9476" width="11.44140625" bestFit="1" customWidth="1"/>
    <col min="9477" max="9477" width="8" customWidth="1"/>
    <col min="9478" max="9478" width="9.44140625" bestFit="1" customWidth="1"/>
    <col min="9479" max="9479" width="17" bestFit="1" customWidth="1"/>
    <col min="9480" max="9480" width="11.44140625" bestFit="1" customWidth="1"/>
    <col min="9481" max="9481" width="10.88671875" customWidth="1"/>
    <col min="9730" max="9730" width="8.33203125" customWidth="1"/>
    <col min="9731" max="9731" width="6.88671875" customWidth="1"/>
    <col min="9732" max="9732" width="11.44140625" bestFit="1" customWidth="1"/>
    <col min="9733" max="9733" width="8" customWidth="1"/>
    <col min="9734" max="9734" width="9.44140625" bestFit="1" customWidth="1"/>
    <col min="9735" max="9735" width="17" bestFit="1" customWidth="1"/>
    <col min="9736" max="9736" width="11.44140625" bestFit="1" customWidth="1"/>
    <col min="9737" max="9737" width="10.88671875" customWidth="1"/>
    <col min="9986" max="9986" width="8.33203125" customWidth="1"/>
    <col min="9987" max="9987" width="6.88671875" customWidth="1"/>
    <col min="9988" max="9988" width="11.44140625" bestFit="1" customWidth="1"/>
    <col min="9989" max="9989" width="8" customWidth="1"/>
    <col min="9990" max="9990" width="9.44140625" bestFit="1" customWidth="1"/>
    <col min="9991" max="9991" width="17" bestFit="1" customWidth="1"/>
    <col min="9992" max="9992" width="11.44140625" bestFit="1" customWidth="1"/>
    <col min="9993" max="9993" width="10.88671875" customWidth="1"/>
    <col min="10242" max="10242" width="8.33203125" customWidth="1"/>
    <col min="10243" max="10243" width="6.88671875" customWidth="1"/>
    <col min="10244" max="10244" width="11.44140625" bestFit="1" customWidth="1"/>
    <col min="10245" max="10245" width="8" customWidth="1"/>
    <col min="10246" max="10246" width="9.44140625" bestFit="1" customWidth="1"/>
    <col min="10247" max="10247" width="17" bestFit="1" customWidth="1"/>
    <col min="10248" max="10248" width="11.44140625" bestFit="1" customWidth="1"/>
    <col min="10249" max="10249" width="10.88671875" customWidth="1"/>
    <col min="10498" max="10498" width="8.33203125" customWidth="1"/>
    <col min="10499" max="10499" width="6.88671875" customWidth="1"/>
    <col min="10500" max="10500" width="11.44140625" bestFit="1" customWidth="1"/>
    <col min="10501" max="10501" width="8" customWidth="1"/>
    <col min="10502" max="10502" width="9.44140625" bestFit="1" customWidth="1"/>
    <col min="10503" max="10503" width="17" bestFit="1" customWidth="1"/>
    <col min="10504" max="10504" width="11.44140625" bestFit="1" customWidth="1"/>
    <col min="10505" max="10505" width="10.88671875" customWidth="1"/>
    <col min="10754" max="10754" width="8.33203125" customWidth="1"/>
    <col min="10755" max="10755" width="6.88671875" customWidth="1"/>
    <col min="10756" max="10756" width="11.44140625" bestFit="1" customWidth="1"/>
    <col min="10757" max="10757" width="8" customWidth="1"/>
    <col min="10758" max="10758" width="9.44140625" bestFit="1" customWidth="1"/>
    <col min="10759" max="10759" width="17" bestFit="1" customWidth="1"/>
    <col min="10760" max="10760" width="11.44140625" bestFit="1" customWidth="1"/>
    <col min="10761" max="10761" width="10.88671875" customWidth="1"/>
    <col min="11010" max="11010" width="8.33203125" customWidth="1"/>
    <col min="11011" max="11011" width="6.88671875" customWidth="1"/>
    <col min="11012" max="11012" width="11.44140625" bestFit="1" customWidth="1"/>
    <col min="11013" max="11013" width="8" customWidth="1"/>
    <col min="11014" max="11014" width="9.44140625" bestFit="1" customWidth="1"/>
    <col min="11015" max="11015" width="17" bestFit="1" customWidth="1"/>
    <col min="11016" max="11016" width="11.44140625" bestFit="1" customWidth="1"/>
    <col min="11017" max="11017" width="10.88671875" customWidth="1"/>
    <col min="11266" max="11266" width="8.33203125" customWidth="1"/>
    <col min="11267" max="11267" width="6.88671875" customWidth="1"/>
    <col min="11268" max="11268" width="11.44140625" bestFit="1" customWidth="1"/>
    <col min="11269" max="11269" width="8" customWidth="1"/>
    <col min="11270" max="11270" width="9.44140625" bestFit="1" customWidth="1"/>
    <col min="11271" max="11271" width="17" bestFit="1" customWidth="1"/>
    <col min="11272" max="11272" width="11.44140625" bestFit="1" customWidth="1"/>
    <col min="11273" max="11273" width="10.88671875" customWidth="1"/>
    <col min="11522" max="11522" width="8.33203125" customWidth="1"/>
    <col min="11523" max="11523" width="6.88671875" customWidth="1"/>
    <col min="11524" max="11524" width="11.44140625" bestFit="1" customWidth="1"/>
    <col min="11525" max="11525" width="8" customWidth="1"/>
    <col min="11526" max="11526" width="9.44140625" bestFit="1" customWidth="1"/>
    <col min="11527" max="11527" width="17" bestFit="1" customWidth="1"/>
    <col min="11528" max="11528" width="11.44140625" bestFit="1" customWidth="1"/>
    <col min="11529" max="11529" width="10.88671875" customWidth="1"/>
    <col min="11778" max="11778" width="8.33203125" customWidth="1"/>
    <col min="11779" max="11779" width="6.88671875" customWidth="1"/>
    <col min="11780" max="11780" width="11.44140625" bestFit="1" customWidth="1"/>
    <col min="11781" max="11781" width="8" customWidth="1"/>
    <col min="11782" max="11782" width="9.44140625" bestFit="1" customWidth="1"/>
    <col min="11783" max="11783" width="17" bestFit="1" customWidth="1"/>
    <col min="11784" max="11784" width="11.44140625" bestFit="1" customWidth="1"/>
    <col min="11785" max="11785" width="10.88671875" customWidth="1"/>
    <col min="12034" max="12034" width="8.33203125" customWidth="1"/>
    <col min="12035" max="12035" width="6.88671875" customWidth="1"/>
    <col min="12036" max="12036" width="11.44140625" bestFit="1" customWidth="1"/>
    <col min="12037" max="12037" width="8" customWidth="1"/>
    <col min="12038" max="12038" width="9.44140625" bestFit="1" customWidth="1"/>
    <col min="12039" max="12039" width="17" bestFit="1" customWidth="1"/>
    <col min="12040" max="12040" width="11.44140625" bestFit="1" customWidth="1"/>
    <col min="12041" max="12041" width="10.88671875" customWidth="1"/>
    <col min="12290" max="12290" width="8.33203125" customWidth="1"/>
    <col min="12291" max="12291" width="6.88671875" customWidth="1"/>
    <col min="12292" max="12292" width="11.44140625" bestFit="1" customWidth="1"/>
    <col min="12293" max="12293" width="8" customWidth="1"/>
    <col min="12294" max="12294" width="9.44140625" bestFit="1" customWidth="1"/>
    <col min="12295" max="12295" width="17" bestFit="1" customWidth="1"/>
    <col min="12296" max="12296" width="11.44140625" bestFit="1" customWidth="1"/>
    <col min="12297" max="12297" width="10.88671875" customWidth="1"/>
    <col min="12546" max="12546" width="8.33203125" customWidth="1"/>
    <col min="12547" max="12547" width="6.88671875" customWidth="1"/>
    <col min="12548" max="12548" width="11.44140625" bestFit="1" customWidth="1"/>
    <col min="12549" max="12549" width="8" customWidth="1"/>
    <col min="12550" max="12550" width="9.44140625" bestFit="1" customWidth="1"/>
    <col min="12551" max="12551" width="17" bestFit="1" customWidth="1"/>
    <col min="12552" max="12552" width="11.44140625" bestFit="1" customWidth="1"/>
    <col min="12553" max="12553" width="10.88671875" customWidth="1"/>
    <col min="12802" max="12802" width="8.33203125" customWidth="1"/>
    <col min="12803" max="12803" width="6.88671875" customWidth="1"/>
    <col min="12804" max="12804" width="11.44140625" bestFit="1" customWidth="1"/>
    <col min="12805" max="12805" width="8" customWidth="1"/>
    <col min="12806" max="12806" width="9.44140625" bestFit="1" customWidth="1"/>
    <col min="12807" max="12807" width="17" bestFit="1" customWidth="1"/>
    <col min="12808" max="12808" width="11.44140625" bestFit="1" customWidth="1"/>
    <col min="12809" max="12809" width="10.88671875" customWidth="1"/>
    <col min="13058" max="13058" width="8.33203125" customWidth="1"/>
    <col min="13059" max="13059" width="6.88671875" customWidth="1"/>
    <col min="13060" max="13060" width="11.44140625" bestFit="1" customWidth="1"/>
    <col min="13061" max="13061" width="8" customWidth="1"/>
    <col min="13062" max="13062" width="9.44140625" bestFit="1" customWidth="1"/>
    <col min="13063" max="13063" width="17" bestFit="1" customWidth="1"/>
    <col min="13064" max="13064" width="11.44140625" bestFit="1" customWidth="1"/>
    <col min="13065" max="13065" width="10.88671875" customWidth="1"/>
    <col min="13314" max="13314" width="8.33203125" customWidth="1"/>
    <col min="13315" max="13315" width="6.88671875" customWidth="1"/>
    <col min="13316" max="13316" width="11.44140625" bestFit="1" customWidth="1"/>
    <col min="13317" max="13317" width="8" customWidth="1"/>
    <col min="13318" max="13318" width="9.44140625" bestFit="1" customWidth="1"/>
    <col min="13319" max="13319" width="17" bestFit="1" customWidth="1"/>
    <col min="13320" max="13320" width="11.44140625" bestFit="1" customWidth="1"/>
    <col min="13321" max="13321" width="10.88671875" customWidth="1"/>
    <col min="13570" max="13570" width="8.33203125" customWidth="1"/>
    <col min="13571" max="13571" width="6.88671875" customWidth="1"/>
    <col min="13572" max="13572" width="11.44140625" bestFit="1" customWidth="1"/>
    <col min="13573" max="13573" width="8" customWidth="1"/>
    <col min="13574" max="13574" width="9.44140625" bestFit="1" customWidth="1"/>
    <col min="13575" max="13575" width="17" bestFit="1" customWidth="1"/>
    <col min="13576" max="13576" width="11.44140625" bestFit="1" customWidth="1"/>
    <col min="13577" max="13577" width="10.88671875" customWidth="1"/>
    <col min="13826" max="13826" width="8.33203125" customWidth="1"/>
    <col min="13827" max="13827" width="6.88671875" customWidth="1"/>
    <col min="13828" max="13828" width="11.44140625" bestFit="1" customWidth="1"/>
    <col min="13829" max="13829" width="8" customWidth="1"/>
    <col min="13830" max="13830" width="9.44140625" bestFit="1" customWidth="1"/>
    <col min="13831" max="13831" width="17" bestFit="1" customWidth="1"/>
    <col min="13832" max="13832" width="11.44140625" bestFit="1" customWidth="1"/>
    <col min="13833" max="13833" width="10.88671875" customWidth="1"/>
    <col min="14082" max="14082" width="8.33203125" customWidth="1"/>
    <col min="14083" max="14083" width="6.88671875" customWidth="1"/>
    <col min="14084" max="14084" width="11.44140625" bestFit="1" customWidth="1"/>
    <col min="14085" max="14085" width="8" customWidth="1"/>
    <col min="14086" max="14086" width="9.44140625" bestFit="1" customWidth="1"/>
    <col min="14087" max="14087" width="17" bestFit="1" customWidth="1"/>
    <col min="14088" max="14088" width="11.44140625" bestFit="1" customWidth="1"/>
    <col min="14089" max="14089" width="10.88671875" customWidth="1"/>
    <col min="14338" max="14338" width="8.33203125" customWidth="1"/>
    <col min="14339" max="14339" width="6.88671875" customWidth="1"/>
    <col min="14340" max="14340" width="11.44140625" bestFit="1" customWidth="1"/>
    <col min="14341" max="14341" width="8" customWidth="1"/>
    <col min="14342" max="14342" width="9.44140625" bestFit="1" customWidth="1"/>
    <col min="14343" max="14343" width="17" bestFit="1" customWidth="1"/>
    <col min="14344" max="14344" width="11.44140625" bestFit="1" customWidth="1"/>
    <col min="14345" max="14345" width="10.88671875" customWidth="1"/>
    <col min="14594" max="14594" width="8.33203125" customWidth="1"/>
    <col min="14595" max="14595" width="6.88671875" customWidth="1"/>
    <col min="14596" max="14596" width="11.44140625" bestFit="1" customWidth="1"/>
    <col min="14597" max="14597" width="8" customWidth="1"/>
    <col min="14598" max="14598" width="9.44140625" bestFit="1" customWidth="1"/>
    <col min="14599" max="14599" width="17" bestFit="1" customWidth="1"/>
    <col min="14600" max="14600" width="11.44140625" bestFit="1" customWidth="1"/>
    <col min="14601" max="14601" width="10.88671875" customWidth="1"/>
    <col min="14850" max="14850" width="8.33203125" customWidth="1"/>
    <col min="14851" max="14851" width="6.88671875" customWidth="1"/>
    <col min="14852" max="14852" width="11.44140625" bestFit="1" customWidth="1"/>
    <col min="14853" max="14853" width="8" customWidth="1"/>
    <col min="14854" max="14854" width="9.44140625" bestFit="1" customWidth="1"/>
    <col min="14855" max="14855" width="17" bestFit="1" customWidth="1"/>
    <col min="14856" max="14856" width="11.44140625" bestFit="1" customWidth="1"/>
    <col min="14857" max="14857" width="10.88671875" customWidth="1"/>
    <col min="15106" max="15106" width="8.33203125" customWidth="1"/>
    <col min="15107" max="15107" width="6.88671875" customWidth="1"/>
    <col min="15108" max="15108" width="11.44140625" bestFit="1" customWidth="1"/>
    <col min="15109" max="15109" width="8" customWidth="1"/>
    <col min="15110" max="15110" width="9.44140625" bestFit="1" customWidth="1"/>
    <col min="15111" max="15111" width="17" bestFit="1" customWidth="1"/>
    <col min="15112" max="15112" width="11.44140625" bestFit="1" customWidth="1"/>
    <col min="15113" max="15113" width="10.88671875" customWidth="1"/>
    <col min="15362" max="15362" width="8.33203125" customWidth="1"/>
    <col min="15363" max="15363" width="6.88671875" customWidth="1"/>
    <col min="15364" max="15364" width="11.44140625" bestFit="1" customWidth="1"/>
    <col min="15365" max="15365" width="8" customWidth="1"/>
    <col min="15366" max="15366" width="9.44140625" bestFit="1" customWidth="1"/>
    <col min="15367" max="15367" width="17" bestFit="1" customWidth="1"/>
    <col min="15368" max="15368" width="11.44140625" bestFit="1" customWidth="1"/>
    <col min="15369" max="15369" width="10.88671875" customWidth="1"/>
    <col min="15618" max="15618" width="8.33203125" customWidth="1"/>
    <col min="15619" max="15619" width="6.88671875" customWidth="1"/>
    <col min="15620" max="15620" width="11.44140625" bestFit="1" customWidth="1"/>
    <col min="15621" max="15621" width="8" customWidth="1"/>
    <col min="15622" max="15622" width="9.44140625" bestFit="1" customWidth="1"/>
    <col min="15623" max="15623" width="17" bestFit="1" customWidth="1"/>
    <col min="15624" max="15624" width="11.44140625" bestFit="1" customWidth="1"/>
    <col min="15625" max="15625" width="10.88671875" customWidth="1"/>
    <col min="15874" max="15874" width="8.33203125" customWidth="1"/>
    <col min="15875" max="15875" width="6.88671875" customWidth="1"/>
    <col min="15876" max="15876" width="11.44140625" bestFit="1" customWidth="1"/>
    <col min="15877" max="15877" width="8" customWidth="1"/>
    <col min="15878" max="15878" width="9.44140625" bestFit="1" customWidth="1"/>
    <col min="15879" max="15879" width="17" bestFit="1" customWidth="1"/>
    <col min="15880" max="15880" width="11.44140625" bestFit="1" customWidth="1"/>
    <col min="15881" max="15881" width="10.88671875" customWidth="1"/>
    <col min="16130" max="16130" width="8.33203125" customWidth="1"/>
    <col min="16131" max="16131" width="6.88671875" customWidth="1"/>
    <col min="16132" max="16132" width="11.44140625" bestFit="1" customWidth="1"/>
    <col min="16133" max="16133" width="8" customWidth="1"/>
    <col min="16134" max="16134" width="9.44140625" bestFit="1" customWidth="1"/>
    <col min="16135" max="16135" width="17" bestFit="1" customWidth="1"/>
    <col min="16136" max="16136" width="11.44140625" bestFit="1" customWidth="1"/>
    <col min="16137" max="16137" width="10.88671875" customWidth="1"/>
  </cols>
  <sheetData>
    <row r="1" spans="1:10">
      <c r="A1" s="122" t="s">
        <v>171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>
      <c r="A2" s="122"/>
      <c r="B2" s="122"/>
      <c r="C2" s="122"/>
      <c r="D2" s="122"/>
      <c r="E2" s="122"/>
      <c r="F2" s="122"/>
      <c r="G2" s="122"/>
      <c r="H2" s="122"/>
      <c r="I2" s="122"/>
      <c r="J2" s="122"/>
    </row>
    <row r="3" spans="1:10" ht="52.8">
      <c r="A3" s="46" t="s">
        <v>2</v>
      </c>
      <c r="B3" s="2"/>
      <c r="C3" s="2"/>
      <c r="D3" s="2"/>
      <c r="E3" s="2"/>
      <c r="F3" s="2"/>
      <c r="G3" s="2"/>
      <c r="H3" s="2"/>
      <c r="I3" s="2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>
      <c r="A5" s="59">
        <v>0</v>
      </c>
      <c r="B5" s="60">
        <v>0</v>
      </c>
      <c r="C5" s="60">
        <v>0</v>
      </c>
      <c r="D5" s="60">
        <v>0</v>
      </c>
      <c r="E5" s="61">
        <v>0</v>
      </c>
      <c r="F5" s="50">
        <v>0</v>
      </c>
      <c r="G5" s="56" t="s">
        <v>3</v>
      </c>
      <c r="H5" s="62"/>
      <c r="I5" s="57"/>
    </row>
    <row r="6" spans="1:10">
      <c r="A6" s="63"/>
      <c r="B6" s="64"/>
      <c r="C6" s="64"/>
      <c r="D6" s="64"/>
      <c r="E6" s="65"/>
      <c r="F6" s="47" t="s">
        <v>114</v>
      </c>
      <c r="G6" s="47" t="s">
        <v>115</v>
      </c>
      <c r="H6" s="47" t="s">
        <v>116</v>
      </c>
      <c r="I6" s="50" t="s">
        <v>24</v>
      </c>
    </row>
    <row r="7" spans="1:10">
      <c r="A7" s="46" t="s">
        <v>7</v>
      </c>
      <c r="B7" s="46" t="s">
        <v>181</v>
      </c>
      <c r="C7" s="111" t="s">
        <v>182</v>
      </c>
      <c r="D7" s="52" t="s">
        <v>183</v>
      </c>
      <c r="E7" s="52" t="s">
        <v>184</v>
      </c>
      <c r="F7" s="53">
        <v>0</v>
      </c>
      <c r="G7" s="53"/>
      <c r="H7" s="53"/>
      <c r="I7" s="53"/>
    </row>
    <row r="8" spans="1:10">
      <c r="A8" s="66" t="s">
        <v>117</v>
      </c>
      <c r="B8" s="66" t="s">
        <v>185</v>
      </c>
      <c r="C8" s="112" t="s">
        <v>186</v>
      </c>
      <c r="D8" s="67" t="s">
        <v>187</v>
      </c>
      <c r="E8" s="52" t="s">
        <v>188</v>
      </c>
      <c r="F8" s="53"/>
      <c r="G8" s="54">
        <v>1295084</v>
      </c>
      <c r="H8" s="54">
        <v>-1297535</v>
      </c>
      <c r="I8" s="54">
        <v>-2451</v>
      </c>
    </row>
    <row r="9" spans="1:10">
      <c r="A9" s="68"/>
      <c r="B9" s="68"/>
      <c r="C9" s="113"/>
      <c r="D9" s="71"/>
      <c r="E9" s="52" t="s">
        <v>189</v>
      </c>
      <c r="F9" s="53"/>
      <c r="G9" s="54">
        <v>594959</v>
      </c>
      <c r="H9" s="54">
        <v>-825774</v>
      </c>
      <c r="I9" s="54">
        <v>-230815</v>
      </c>
    </row>
    <row r="10" spans="1:10">
      <c r="A10" s="68"/>
      <c r="B10" s="68"/>
      <c r="C10" s="113"/>
      <c r="D10" s="67" t="s">
        <v>190</v>
      </c>
      <c r="E10" s="52" t="s">
        <v>188</v>
      </c>
      <c r="F10" s="53"/>
      <c r="G10" s="54">
        <v>5680593</v>
      </c>
      <c r="H10" s="54">
        <v>-6467200</v>
      </c>
      <c r="I10" s="114">
        <v>-786607</v>
      </c>
    </row>
    <row r="11" spans="1:10">
      <c r="A11" s="70"/>
      <c r="B11" s="70"/>
      <c r="C11" s="115"/>
      <c r="D11" s="71"/>
      <c r="E11" s="52" t="s">
        <v>189</v>
      </c>
      <c r="F11" s="53"/>
      <c r="G11" s="54">
        <v>3543641</v>
      </c>
      <c r="H11" s="54">
        <v>-3773603</v>
      </c>
      <c r="I11" s="116">
        <v>-229962</v>
      </c>
    </row>
    <row r="12" spans="1:10">
      <c r="A12" s="66" t="s">
        <v>9</v>
      </c>
      <c r="B12" s="66" t="s">
        <v>191</v>
      </c>
      <c r="C12" s="112" t="s">
        <v>186</v>
      </c>
      <c r="D12" s="52" t="s">
        <v>187</v>
      </c>
      <c r="E12" s="52" t="s">
        <v>188</v>
      </c>
      <c r="F12" s="53"/>
      <c r="G12" s="54">
        <v>45755.1</v>
      </c>
      <c r="H12" s="54">
        <v>0</v>
      </c>
      <c r="I12" s="54">
        <v>45755.1</v>
      </c>
    </row>
    <row r="13" spans="1:10">
      <c r="A13" s="70"/>
      <c r="B13" s="70"/>
      <c r="C13" s="115"/>
      <c r="D13" s="52" t="s">
        <v>190</v>
      </c>
      <c r="E13" s="52" t="s">
        <v>188</v>
      </c>
      <c r="F13" s="53"/>
      <c r="G13" s="54">
        <v>176886.21</v>
      </c>
      <c r="H13" s="54">
        <v>0</v>
      </c>
      <c r="I13" s="114">
        <v>176886.21</v>
      </c>
    </row>
    <row r="14" spans="1:10">
      <c r="A14" s="66" t="s">
        <v>12</v>
      </c>
      <c r="B14" s="66" t="s">
        <v>185</v>
      </c>
      <c r="C14" s="112" t="s">
        <v>186</v>
      </c>
      <c r="D14" s="52" t="s">
        <v>187</v>
      </c>
      <c r="E14" s="52" t="s">
        <v>188</v>
      </c>
      <c r="F14" s="53"/>
      <c r="G14" s="54">
        <v>0</v>
      </c>
      <c r="H14" s="54">
        <v>-334979.24</v>
      </c>
      <c r="I14" s="54">
        <v>-334979.24</v>
      </c>
    </row>
    <row r="15" spans="1:10">
      <c r="A15" s="70"/>
      <c r="B15" s="70"/>
      <c r="C15" s="115"/>
      <c r="D15" s="52" t="s">
        <v>190</v>
      </c>
      <c r="E15" s="52" t="s">
        <v>188</v>
      </c>
      <c r="F15" s="53"/>
      <c r="G15" s="54">
        <v>0</v>
      </c>
      <c r="H15" s="54">
        <v>-684730.09</v>
      </c>
      <c r="I15" s="114">
        <v>-684730.09</v>
      </c>
    </row>
    <row r="16" spans="1:10">
      <c r="A16" s="46" t="s">
        <v>123</v>
      </c>
      <c r="B16" s="46" t="s">
        <v>185</v>
      </c>
      <c r="C16" s="111" t="s">
        <v>186</v>
      </c>
      <c r="D16" s="52" t="s">
        <v>190</v>
      </c>
      <c r="E16" s="52" t="s">
        <v>188</v>
      </c>
      <c r="F16" s="53"/>
      <c r="G16" s="54">
        <v>1944907</v>
      </c>
      <c r="H16" s="54">
        <v>-1787261</v>
      </c>
      <c r="I16" s="114">
        <v>157646</v>
      </c>
    </row>
    <row r="17" spans="1:9">
      <c r="A17" s="66" t="s">
        <v>14</v>
      </c>
      <c r="B17" s="66" t="s">
        <v>185</v>
      </c>
      <c r="C17" s="112" t="s">
        <v>186</v>
      </c>
      <c r="D17" s="52" t="s">
        <v>187</v>
      </c>
      <c r="E17" s="52" t="s">
        <v>188</v>
      </c>
      <c r="F17" s="53"/>
      <c r="G17" s="54">
        <v>178960</v>
      </c>
      <c r="H17" s="54">
        <v>-213409</v>
      </c>
      <c r="I17" s="54">
        <v>-34449</v>
      </c>
    </row>
    <row r="18" spans="1:9">
      <c r="A18" s="70"/>
      <c r="B18" s="70"/>
      <c r="C18" s="115"/>
      <c r="D18" s="52" t="s">
        <v>190</v>
      </c>
      <c r="E18" s="52" t="s">
        <v>188</v>
      </c>
      <c r="F18" s="53"/>
      <c r="G18" s="54">
        <v>394594</v>
      </c>
      <c r="H18" s="54">
        <v>-439463</v>
      </c>
      <c r="I18" s="114">
        <v>-44869</v>
      </c>
    </row>
    <row r="19" spans="1:9">
      <c r="A19" s="46" t="s">
        <v>192</v>
      </c>
      <c r="B19" s="46" t="s">
        <v>185</v>
      </c>
      <c r="C19" s="111" t="s">
        <v>186</v>
      </c>
      <c r="D19" s="52" t="s">
        <v>190</v>
      </c>
      <c r="E19" s="52" t="s">
        <v>188</v>
      </c>
      <c r="F19" s="53"/>
      <c r="G19" s="54">
        <v>1180989.3999999999</v>
      </c>
      <c r="H19" s="54">
        <v>0</v>
      </c>
      <c r="I19" s="114">
        <v>1180989.3999999999</v>
      </c>
    </row>
    <row r="20" spans="1:9">
      <c r="A20" s="46" t="s">
        <v>193</v>
      </c>
      <c r="B20" s="46" t="s">
        <v>185</v>
      </c>
      <c r="C20" s="111" t="s">
        <v>186</v>
      </c>
      <c r="D20" s="52" t="s">
        <v>190</v>
      </c>
      <c r="E20" s="52" t="s">
        <v>188</v>
      </c>
      <c r="F20" s="53"/>
      <c r="G20" s="54">
        <v>0</v>
      </c>
      <c r="H20" s="54">
        <v>-496641.27</v>
      </c>
      <c r="I20" s="114">
        <v>-496641.27</v>
      </c>
    </row>
    <row r="21" spans="1:9">
      <c r="A21" s="66" t="s">
        <v>194</v>
      </c>
      <c r="B21" s="66" t="s">
        <v>185</v>
      </c>
      <c r="C21" s="112" t="s">
        <v>186</v>
      </c>
      <c r="D21" s="52" t="s">
        <v>187</v>
      </c>
      <c r="E21" s="52" t="s">
        <v>189</v>
      </c>
      <c r="F21" s="53"/>
      <c r="G21" s="54">
        <v>1677568</v>
      </c>
      <c r="H21" s="54">
        <v>-779356</v>
      </c>
      <c r="I21" s="54">
        <v>898212</v>
      </c>
    </row>
    <row r="22" spans="1:9">
      <c r="A22" s="68"/>
      <c r="B22" s="68"/>
      <c r="C22" s="113"/>
      <c r="D22" s="52" t="s">
        <v>195</v>
      </c>
      <c r="E22" s="52" t="s">
        <v>189</v>
      </c>
      <c r="F22" s="53"/>
      <c r="G22" s="54">
        <v>216070</v>
      </c>
      <c r="H22" s="54">
        <v>-207951</v>
      </c>
      <c r="I22" s="54">
        <v>8119</v>
      </c>
    </row>
    <row r="23" spans="1:9">
      <c r="A23" s="70"/>
      <c r="B23" s="70"/>
      <c r="C23" s="115"/>
      <c r="D23" s="52" t="s">
        <v>190</v>
      </c>
      <c r="E23" s="52" t="s">
        <v>189</v>
      </c>
      <c r="F23" s="53"/>
      <c r="G23" s="54">
        <v>2524262</v>
      </c>
      <c r="H23" s="54">
        <v>-3001025.42</v>
      </c>
      <c r="I23" s="116">
        <v>-476763.42</v>
      </c>
    </row>
    <row r="24" spans="1:9">
      <c r="A24" s="46" t="s">
        <v>196</v>
      </c>
      <c r="B24" s="46" t="s">
        <v>185</v>
      </c>
      <c r="C24" s="111" t="s">
        <v>186</v>
      </c>
      <c r="D24" s="52" t="s">
        <v>190</v>
      </c>
      <c r="E24" s="52" t="s">
        <v>189</v>
      </c>
      <c r="F24" s="53"/>
      <c r="G24" s="54">
        <v>982554</v>
      </c>
      <c r="H24" s="54">
        <v>0</v>
      </c>
      <c r="I24" s="116">
        <v>982554</v>
      </c>
    </row>
    <row r="25" spans="1:9">
      <c r="A25" s="46" t="s">
        <v>197</v>
      </c>
      <c r="B25" s="46" t="s">
        <v>185</v>
      </c>
      <c r="C25" s="111" t="s">
        <v>186</v>
      </c>
      <c r="D25" s="52" t="s">
        <v>190</v>
      </c>
      <c r="E25" s="52" t="s">
        <v>189</v>
      </c>
      <c r="F25" s="53"/>
      <c r="G25" s="54">
        <v>273274.39</v>
      </c>
      <c r="H25" s="54">
        <v>0</v>
      </c>
      <c r="I25" s="116">
        <v>273274.39</v>
      </c>
    </row>
    <row r="26" spans="1:9">
      <c r="A26" s="66" t="s">
        <v>16</v>
      </c>
      <c r="B26" s="66" t="s">
        <v>185</v>
      </c>
      <c r="C26" s="112" t="s">
        <v>186</v>
      </c>
      <c r="D26" s="52" t="s">
        <v>187</v>
      </c>
      <c r="E26" s="52" t="s">
        <v>188</v>
      </c>
      <c r="F26" s="53"/>
      <c r="G26" s="54">
        <v>369974</v>
      </c>
      <c r="H26" s="54">
        <v>-352758</v>
      </c>
      <c r="I26" s="54">
        <v>17216</v>
      </c>
    </row>
    <row r="27" spans="1:9">
      <c r="A27" s="70"/>
      <c r="B27" s="70"/>
      <c r="C27" s="115"/>
      <c r="D27" s="52" t="s">
        <v>190</v>
      </c>
      <c r="E27" s="52" t="s">
        <v>188</v>
      </c>
      <c r="F27" s="53"/>
      <c r="G27" s="54">
        <v>496425</v>
      </c>
      <c r="H27" s="54">
        <v>-113159</v>
      </c>
      <c r="I27" s="114">
        <v>383266</v>
      </c>
    </row>
    <row r="28" spans="1:9">
      <c r="A28" s="46" t="s">
        <v>18</v>
      </c>
      <c r="B28" s="46" t="s">
        <v>185</v>
      </c>
      <c r="C28" s="111" t="s">
        <v>186</v>
      </c>
      <c r="D28" s="52" t="s">
        <v>190</v>
      </c>
      <c r="E28" s="52" t="s">
        <v>188</v>
      </c>
      <c r="F28" s="53"/>
      <c r="G28" s="54">
        <v>0</v>
      </c>
      <c r="H28" s="54">
        <v>-640834</v>
      </c>
      <c r="I28" s="114">
        <v>-640834</v>
      </c>
    </row>
    <row r="29" spans="1:9">
      <c r="A29" s="46" t="s">
        <v>125</v>
      </c>
      <c r="B29" s="46" t="s">
        <v>185</v>
      </c>
      <c r="C29" s="111" t="s">
        <v>186</v>
      </c>
      <c r="D29" s="52" t="s">
        <v>190</v>
      </c>
      <c r="E29" s="52" t="s">
        <v>188</v>
      </c>
      <c r="F29" s="53"/>
      <c r="G29" s="54">
        <v>0</v>
      </c>
      <c r="H29" s="54">
        <v>-3844131</v>
      </c>
      <c r="I29" s="114">
        <v>-3844131</v>
      </c>
    </row>
    <row r="30" spans="1:9">
      <c r="A30" s="66" t="s">
        <v>95</v>
      </c>
      <c r="B30" s="66" t="s">
        <v>185</v>
      </c>
      <c r="C30" s="112" t="s">
        <v>186</v>
      </c>
      <c r="D30" s="52" t="s">
        <v>187</v>
      </c>
      <c r="E30" s="52" t="s">
        <v>189</v>
      </c>
      <c r="F30" s="53"/>
      <c r="G30" s="54">
        <v>0</v>
      </c>
      <c r="H30" s="54">
        <v>-3679598.67</v>
      </c>
      <c r="I30" s="54">
        <v>-3679598.67</v>
      </c>
    </row>
    <row r="31" spans="1:9">
      <c r="A31" s="68"/>
      <c r="B31" s="68"/>
      <c r="C31" s="113"/>
      <c r="D31" s="52" t="s">
        <v>195</v>
      </c>
      <c r="E31" s="52" t="s">
        <v>189</v>
      </c>
      <c r="F31" s="53"/>
      <c r="G31" s="54">
        <v>0</v>
      </c>
      <c r="H31" s="54">
        <v>-3154651.06</v>
      </c>
      <c r="I31" s="54">
        <v>-3154651.06</v>
      </c>
    </row>
    <row r="32" spans="1:9">
      <c r="A32" s="70"/>
      <c r="B32" s="70"/>
      <c r="C32" s="115"/>
      <c r="D32" s="52" t="s">
        <v>190</v>
      </c>
      <c r="E32" s="52" t="s">
        <v>189</v>
      </c>
      <c r="F32" s="53"/>
      <c r="G32" s="54">
        <v>1057</v>
      </c>
      <c r="H32" s="54">
        <v>-6705241.21</v>
      </c>
      <c r="I32" s="116">
        <v>-6704184.21</v>
      </c>
    </row>
    <row r="33" spans="1:9">
      <c r="A33" s="66" t="s">
        <v>20</v>
      </c>
      <c r="B33" s="66" t="s">
        <v>191</v>
      </c>
      <c r="C33" s="112" t="s">
        <v>186</v>
      </c>
      <c r="D33" s="67" t="s">
        <v>187</v>
      </c>
      <c r="E33" s="52" t="s">
        <v>188</v>
      </c>
      <c r="F33" s="53"/>
      <c r="G33" s="54">
        <v>6231465.4800000004</v>
      </c>
      <c r="H33" s="54">
        <v>0</v>
      </c>
      <c r="I33" s="54">
        <v>6231465.4800000004</v>
      </c>
    </row>
    <row r="34" spans="1:9">
      <c r="A34" s="68"/>
      <c r="B34" s="68"/>
      <c r="C34" s="113"/>
      <c r="D34" s="71"/>
      <c r="E34" s="52" t="s">
        <v>189</v>
      </c>
      <c r="F34" s="53"/>
      <c r="G34" s="54">
        <v>1013083</v>
      </c>
      <c r="H34" s="54">
        <v>-307.75</v>
      </c>
      <c r="I34" s="54">
        <v>1012775.25</v>
      </c>
    </row>
    <row r="35" spans="1:9">
      <c r="A35" s="68"/>
      <c r="B35" s="68"/>
      <c r="C35" s="113"/>
      <c r="D35" s="52" t="s">
        <v>195</v>
      </c>
      <c r="E35" s="52" t="s">
        <v>189</v>
      </c>
      <c r="F35" s="53"/>
      <c r="G35" s="54">
        <v>1354585.8</v>
      </c>
      <c r="H35" s="54">
        <v>0</v>
      </c>
      <c r="I35" s="54">
        <v>1354585.8</v>
      </c>
    </row>
    <row r="36" spans="1:9">
      <c r="A36" s="68"/>
      <c r="B36" s="68"/>
      <c r="C36" s="113"/>
      <c r="D36" s="67" t="s">
        <v>190</v>
      </c>
      <c r="E36" s="52" t="s">
        <v>188</v>
      </c>
      <c r="F36" s="53"/>
      <c r="G36" s="54">
        <v>16551272.279999999</v>
      </c>
      <c r="H36" s="54">
        <v>-167096.59</v>
      </c>
      <c r="I36" s="114">
        <v>16384175.689999999</v>
      </c>
    </row>
    <row r="37" spans="1:9">
      <c r="A37" s="70"/>
      <c r="B37" s="70"/>
      <c r="C37" s="115"/>
      <c r="D37" s="71"/>
      <c r="E37" s="52" t="s">
        <v>189</v>
      </c>
      <c r="F37" s="53"/>
      <c r="G37" s="54">
        <v>6453290.3600000003</v>
      </c>
      <c r="H37" s="54">
        <v>-51357.270000000004</v>
      </c>
      <c r="I37" s="116">
        <v>6401933.0899999999</v>
      </c>
    </row>
    <row r="38" spans="1:9">
      <c r="A38" s="66" t="s">
        <v>22</v>
      </c>
      <c r="B38" s="66" t="s">
        <v>185</v>
      </c>
      <c r="C38" s="112" t="s">
        <v>186</v>
      </c>
      <c r="D38" s="67" t="s">
        <v>187</v>
      </c>
      <c r="E38" s="52" t="s">
        <v>188</v>
      </c>
      <c r="F38" s="53"/>
      <c r="G38" s="54">
        <v>3022090</v>
      </c>
      <c r="H38" s="54">
        <v>-2990277</v>
      </c>
      <c r="I38" s="54">
        <v>31813</v>
      </c>
    </row>
    <row r="39" spans="1:9">
      <c r="A39" s="68"/>
      <c r="B39" s="68"/>
      <c r="C39" s="113"/>
      <c r="D39" s="71"/>
      <c r="E39" s="52" t="s">
        <v>189</v>
      </c>
      <c r="F39" s="53"/>
      <c r="G39" s="54">
        <v>410361</v>
      </c>
      <c r="H39" s="54">
        <v>-260769</v>
      </c>
      <c r="I39" s="54">
        <v>149592</v>
      </c>
    </row>
    <row r="40" spans="1:9">
      <c r="A40" s="68"/>
      <c r="B40" s="68"/>
      <c r="C40" s="113"/>
      <c r="D40" s="67" t="s">
        <v>190</v>
      </c>
      <c r="E40" s="52" t="s">
        <v>188</v>
      </c>
      <c r="F40" s="53"/>
      <c r="G40" s="54">
        <v>9000162</v>
      </c>
      <c r="H40" s="54">
        <v>-8709598</v>
      </c>
      <c r="I40" s="114">
        <v>290564</v>
      </c>
    </row>
    <row r="41" spans="1:9">
      <c r="A41" s="70"/>
      <c r="B41" s="70"/>
      <c r="C41" s="115"/>
      <c r="D41" s="71"/>
      <c r="E41" s="52" t="s">
        <v>189</v>
      </c>
      <c r="F41" s="53"/>
      <c r="G41" s="54">
        <v>4000263</v>
      </c>
      <c r="H41" s="54">
        <v>-3770301</v>
      </c>
      <c r="I41" s="116">
        <v>229962</v>
      </c>
    </row>
    <row r="42" spans="1:9">
      <c r="A42" s="56" t="s">
        <v>24</v>
      </c>
      <c r="B42" s="62"/>
      <c r="C42" s="62"/>
      <c r="D42" s="62"/>
      <c r="E42" s="57"/>
      <c r="F42" s="53"/>
      <c r="G42" s="54">
        <v>69614126.019999996</v>
      </c>
      <c r="H42" s="54">
        <v>-54749007.57</v>
      </c>
      <c r="I42" s="54">
        <v>14865118.449999999</v>
      </c>
    </row>
  </sheetData>
  <mergeCells count="1">
    <mergeCell ref="A1:J2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B837391B43C40BB419ACE91278EB2" ma:contentTypeVersion="92" ma:contentTypeDescription="" ma:contentTypeScope="" ma:versionID="9e6fdbe4f6a886102a43da2d5b7096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63C2D2C-77F3-47D0-9A16-956EDDC14F2C}"/>
</file>

<file path=customXml/itemProps2.xml><?xml version="1.0" encoding="utf-8"?>
<ds:datastoreItem xmlns:ds="http://schemas.openxmlformats.org/officeDocument/2006/customXml" ds:itemID="{415F7720-A0EF-46F4-9129-3BC1775A2720}"/>
</file>

<file path=customXml/itemProps3.xml><?xml version="1.0" encoding="utf-8"?>
<ds:datastoreItem xmlns:ds="http://schemas.openxmlformats.org/officeDocument/2006/customXml" ds:itemID="{38C7BB94-B19C-4A10-844D-B57890DC1DA0}"/>
</file>

<file path=customXml/itemProps4.xml><?xml version="1.0" encoding="utf-8"?>
<ds:datastoreItem xmlns:ds="http://schemas.openxmlformats.org/officeDocument/2006/customXml" ds:itemID="{B44B97A5-97F8-46EC-A665-96A425966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E-EAS-1</vt:lpstr>
      <vt:lpstr>E-EAS-2</vt:lpstr>
      <vt:lpstr>G-EAS-1</vt:lpstr>
      <vt:lpstr>G-EAS-2</vt:lpstr>
      <vt:lpstr>Account Balances</vt:lpstr>
      <vt:lpstr>'E-EAS-2'!Print_Area</vt:lpstr>
      <vt:lpstr>'G-EAS-2'!Print_Area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2017-07-27T18:51:06Z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0x0101006E56B4D1795A2E4DB2F0B01679ED314A009C7B837391B43C40BB419ACE91278EB2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