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eptember 2017\Sept 26 Tuesday\170674\"/>
    </mc:Choice>
  </mc:AlternateContent>
  <bookViews>
    <workbookView xWindow="0" yWindow="150" windowWidth="15360" windowHeight="7485"/>
  </bookViews>
  <sheets>
    <sheet name="2017 Rate Calculation" sheetId="3" r:id="rId1"/>
    <sheet name="2016 Rate Calculation" sheetId="2" r:id="rId2"/>
  </sheets>
  <calcPr calcId="171027"/>
</workbook>
</file>

<file path=xl/calcChain.xml><?xml version="1.0" encoding="utf-8"?>
<calcChain xmlns="http://schemas.openxmlformats.org/spreadsheetml/2006/main">
  <c r="E31" i="3" l="1"/>
  <c r="L32" i="3" s="1"/>
  <c r="G26" i="3"/>
  <c r="E26" i="3"/>
  <c r="E35" i="3" s="1"/>
  <c r="E39" i="3" s="1"/>
  <c r="I32" i="3" l="1"/>
  <c r="G32" i="3"/>
  <c r="K32" i="3"/>
  <c r="E37" i="3"/>
  <c r="E40" i="3" s="1"/>
  <c r="E41" i="3" s="1"/>
  <c r="M32" i="3"/>
  <c r="J32" i="3"/>
  <c r="H32" i="3"/>
  <c r="E32" i="3" l="1"/>
  <c r="G37" i="3"/>
  <c r="E38" i="3"/>
  <c r="E44" i="3" s="1"/>
  <c r="E47" i="3" s="1"/>
  <c r="G42" i="3" l="1"/>
  <c r="G43" i="3"/>
  <c r="G27" i="2"/>
  <c r="E27" i="2"/>
  <c r="G47" i="3" l="1"/>
  <c r="E48" i="3" s="1"/>
  <c r="E50" i="3" s="1"/>
  <c r="E31" i="2"/>
  <c r="E33" i="2" l="1"/>
  <c r="E34" i="2" s="1"/>
  <c r="G52" i="2"/>
  <c r="G53" i="2"/>
  <c r="G33" i="2"/>
  <c r="G38" i="2" s="1"/>
  <c r="H52" i="2"/>
  <c r="H53" i="2"/>
  <c r="H51" i="2"/>
  <c r="H55" i="2" l="1"/>
  <c r="E35" i="2" s="1"/>
  <c r="E36" i="2" s="1"/>
  <c r="E39" i="2" s="1"/>
  <c r="G37" i="2" s="1"/>
  <c r="I50" i="2"/>
  <c r="G42" i="2" l="1"/>
  <c r="E42" i="2"/>
  <c r="G43" i="2" l="1"/>
  <c r="G45" i="2" s="1"/>
  <c r="E51" i="3" s="1"/>
  <c r="E53" i="3" s="1"/>
  <c r="E56" i="3" l="1"/>
  <c r="G65" i="3" s="1"/>
  <c r="L58" i="3"/>
  <c r="L62" i="3" s="1"/>
  <c r="K58" i="3"/>
  <c r="K62" i="3" s="1"/>
  <c r="M58" i="3"/>
  <c r="M62" i="3" s="1"/>
  <c r="G58" i="3"/>
  <c r="G62" i="3" s="1"/>
  <c r="I58" i="3"/>
  <c r="J58" i="3"/>
  <c r="J62" i="3" s="1"/>
  <c r="H58" i="3"/>
  <c r="H62" i="3" s="1"/>
</calcChain>
</file>

<file path=xl/sharedStrings.xml><?xml version="1.0" encoding="utf-8"?>
<sst xmlns="http://schemas.openxmlformats.org/spreadsheetml/2006/main" count="186" uniqueCount="114">
  <si>
    <t>Project</t>
  </si>
  <si>
    <t>Estimtimated Cost</t>
  </si>
  <si>
    <t>Actual Cost</t>
  </si>
  <si>
    <t>Percentage</t>
  </si>
  <si>
    <t>Total Investment</t>
  </si>
  <si>
    <t>Depreciation Expense  -  Rate 2.58%</t>
  </si>
  <si>
    <t>Deferred Tax</t>
  </si>
  <si>
    <t xml:space="preserve">   Accumulated Depr. (Avg)</t>
  </si>
  <si>
    <t xml:space="preserve">   Accum Def Tax (Avg)</t>
  </si>
  <si>
    <t>Rate Bate</t>
  </si>
  <si>
    <t>NOI</t>
  </si>
  <si>
    <t>FIT</t>
  </si>
  <si>
    <t>Total NOI</t>
  </si>
  <si>
    <t>Schedule</t>
  </si>
  <si>
    <t>Total Estimated Replacement Cost</t>
  </si>
  <si>
    <t>Allocation Rev Req to Schedules</t>
  </si>
  <si>
    <t>Percentage Increase in Revenue</t>
  </si>
  <si>
    <t>Revenue Requirement (Current Year Investment)</t>
  </si>
  <si>
    <t>Total Revenue Requirement</t>
  </si>
  <si>
    <t>Location</t>
  </si>
  <si>
    <t>Rate Charge</t>
  </si>
  <si>
    <t>CRM RPL  ANACORTES BARE STEEL</t>
  </si>
  <si>
    <t>MT. VERNON</t>
  </si>
  <si>
    <t>BARE STEEL/PRE-CNG PIPE - IDENTIFIED HIGH (RED) RISK IN DIMP</t>
  </si>
  <si>
    <t>PRE-CNG PIPE - IDENTIFIED HIGH (RED) RISK IN DIMP</t>
  </si>
  <si>
    <t>CRM WENATCHEE RIV RR BRIDGE RPL</t>
  </si>
  <si>
    <t>WENATCHEE</t>
  </si>
  <si>
    <t>CRM 4" GRANDVIEW HP LINE #3 RPL</t>
  </si>
  <si>
    <t>YAKIMA</t>
  </si>
  <si>
    <t>CRM BELLINGHAM BRIDGE CROSSINGS RMV</t>
  </si>
  <si>
    <t>BELLINGHAM</t>
  </si>
  <si>
    <t>EXPOSED PIPE SUSCEPTIBLE TO CORROSION RISK - MODERATE (ORANGE)</t>
  </si>
  <si>
    <t>CRM SUNNYSIDE 2" IP MAIN RPL</t>
  </si>
  <si>
    <t>PROJECT WILL REPLACE HOUSE PIPING SERVING MULTIPLE BUILDINGS</t>
  </si>
  <si>
    <t>CRM RPL LONGVIEW BARE STEEL</t>
  </si>
  <si>
    <t>LONGVIEW</t>
  </si>
  <si>
    <t>CRM KELSO MILL STREET REPLACEMENT</t>
  </si>
  <si>
    <t>CRM KELSO GRADE ST BRIDGE RELOCATE</t>
  </si>
  <si>
    <t>BREMERTON</t>
  </si>
  <si>
    <t>CRM COLLEGE PLACE CARS PROJECT</t>
  </si>
  <si>
    <t>WALLA WALLA</t>
  </si>
  <si>
    <t>MODERATE (ORANGE) RISK IN DIMP</t>
  </si>
  <si>
    <t>ABERDEEN</t>
  </si>
  <si>
    <t>EXPOSED PIPE (CORROSION) IN ADDITION TO MODERATE (ORANGE) RISK IN DIMP</t>
  </si>
  <si>
    <t>CRM VANCE CREEK EXPOSURE REPLACE</t>
  </si>
  <si>
    <t>CRM CAMP CREEK EXPOSURE REPLACEMENT</t>
  </si>
  <si>
    <t>Accum Tax depreciation</t>
  </si>
  <si>
    <t>CRM 3" BURLINGTON HP LINE REPLACEMENT</t>
  </si>
  <si>
    <t>2 IN STEEL IP BORE BELFAIR PL</t>
  </si>
  <si>
    <t>KENNEWICK RR CROSS NEAR KAMIAKIN</t>
  </si>
  <si>
    <t>CRM SHELTON 4" IP BRIDGE REPLACEMENT</t>
  </si>
  <si>
    <t>CRM REL ZILLAH @ MEYERS BRIDGE RD</t>
  </si>
  <si>
    <t>4" HP SHORTED CASING - 1ST &amp; PARK</t>
  </si>
  <si>
    <t>CRM 6" NOB HILL REPLACEMENT</t>
  </si>
  <si>
    <t>KENNEWICK</t>
  </si>
  <si>
    <t>TYPE OF PIPE TO BE REPLACED</t>
  </si>
  <si>
    <t>IDENTIFIED HIGH (RED) RISK IN DIMP</t>
  </si>
  <si>
    <t>HIGH (RED) RISK IN DIMP</t>
  </si>
  <si>
    <t>Replacement Projects 11-1-15 to 10-31-16</t>
  </si>
  <si>
    <t xml:space="preserve"> </t>
  </si>
  <si>
    <t>502/503</t>
  </si>
  <si>
    <t>505/512</t>
  </si>
  <si>
    <t>570/577</t>
  </si>
  <si>
    <t>Authorized ROR from UG-152286</t>
  </si>
  <si>
    <t>Rate Base Allocation from UG-152286 Company COS</t>
  </si>
  <si>
    <t>Conversion Factor in UG-152286</t>
  </si>
  <si>
    <t>CRM BREMERTON HWY3 CASING REMOVAL</t>
  </si>
  <si>
    <t>Ln 20</t>
  </si>
  <si>
    <t>Ln 40* 2.58%</t>
  </si>
  <si>
    <t>Ln 41 / 2</t>
  </si>
  <si>
    <t>Ln 40 *3.75%</t>
  </si>
  <si>
    <t>(Ln 43 - Ln 41) * .35</t>
  </si>
  <si>
    <t>Ln 44 / 2</t>
  </si>
  <si>
    <t>Ln 41* .35</t>
  </si>
  <si>
    <t>((Ln 48 * Ln 49) + Ln 37) and  (Ln 41 - Ln 46-Ln 47)</t>
  </si>
  <si>
    <t>Ln 20 - Ln 42 - Ln 45</t>
  </si>
  <si>
    <t>Sum Ln 50</t>
  </si>
  <si>
    <t>Ln 51 / Ln 52</t>
  </si>
  <si>
    <t>Lm 53</t>
  </si>
  <si>
    <t>Ln 54 * Ln 39</t>
  </si>
  <si>
    <t>Ln 55 / Ln 56</t>
  </si>
  <si>
    <t>(Ln 54 / Ln 58</t>
  </si>
  <si>
    <t>Interest Coordination Adj (Rate Base x Weighted Cost of Debt (2.6475%) x 35% FIT)</t>
  </si>
  <si>
    <t>Ln 25</t>
  </si>
  <si>
    <t>Ln 28* 2.58%</t>
  </si>
  <si>
    <t>Ln 29 / 2 + 1st yr depr</t>
  </si>
  <si>
    <t xml:space="preserve">Accum Tax depreciation </t>
  </si>
  <si>
    <t>See Calc Below</t>
  </si>
  <si>
    <t>Accum Deferred Tax (Avg)</t>
  </si>
  <si>
    <t>(Ln 31 - Ln 30) * .35</t>
  </si>
  <si>
    <t>Interest Coordination Adj (Rate Base x Weighted Cost of Debt x FIT)</t>
  </si>
  <si>
    <t>Ln 29 * .35</t>
  </si>
  <si>
    <t>(Ln 35 * Ln 36) and (Ln 29 - Ln 34 - Ln 33)</t>
  </si>
  <si>
    <t>(Ln 35 * Ln 36) + (Ln 29 - Ln 34 - Ln 33)</t>
  </si>
  <si>
    <t>Revenue Requirement</t>
  </si>
  <si>
    <t>Ln 21 / Ln 22</t>
  </si>
  <si>
    <t>Accum</t>
  </si>
  <si>
    <t>Bonus</t>
  </si>
  <si>
    <t>Tax Depreciation</t>
  </si>
  <si>
    <t>Year 1</t>
  </si>
  <si>
    <t>Year 2</t>
  </si>
  <si>
    <t>Conversion Factor from UG-152286</t>
  </si>
  <si>
    <t>Previous Year Revenue Requirement</t>
  </si>
  <si>
    <t>Less UG-160788 Revenue Requirement</t>
  </si>
  <si>
    <t>Increase in Revenue Requirement</t>
  </si>
  <si>
    <t>2016 Commission Basis Total Revenue</t>
  </si>
  <si>
    <t>CRM RPL 12" Steel HP, Kelso</t>
  </si>
  <si>
    <t>KELSO</t>
  </si>
  <si>
    <t>SHELTON</t>
  </si>
  <si>
    <t>CRM Shelton Pipe Replacement</t>
  </si>
  <si>
    <t>Vance Creek Replacement (#2)</t>
  </si>
  <si>
    <t>CRM RPL 2" STL MN - Bellingham</t>
  </si>
  <si>
    <t>Weather Normalized 2016 Volumes</t>
  </si>
  <si>
    <t>Replacement Projects 11-1-16 to 10-31-17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</si>
</sst>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00"/>
    <numFmt numFmtId="165" formatCode="[$-409]d\-mmm\-yy;@"/>
    <numFmt numFmtId="166" formatCode="&quot;$&quot;#,##0"/>
    <numFmt numFmtId="167" formatCode="0.00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9">
    <xf numFmtId="0" fontId="0" fillId="0" borderId="0" xfId="0"/>
    <xf numFmtId="43" fontId="0" fillId="0" borderId="0" xfId="1" applyFont="1"/>
    <xf numFmtId="43" fontId="1" fillId="0" borderId="0" xfId="1" applyFont="1" applyAlignment="1">
      <alignment horizontal="center"/>
    </xf>
    <xf numFmtId="43" fontId="1" fillId="0" borderId="0" xfId="1" applyFont="1"/>
    <xf numFmtId="10" fontId="0" fillId="0" borderId="0" xfId="2" applyNumberFormat="1" applyFont="1"/>
    <xf numFmtId="10" fontId="0" fillId="0" borderId="0" xfId="0" applyNumberFormat="1"/>
    <xf numFmtId="41" fontId="3" fillId="0" borderId="0" xfId="1" applyNumberFormat="1" applyFont="1" applyAlignment="1"/>
    <xf numFmtId="43" fontId="3" fillId="0" borderId="0" xfId="1" applyFont="1" applyAlignment="1">
      <alignment horizontal="right"/>
    </xf>
    <xf numFmtId="164" fontId="0" fillId="0" borderId="0" xfId="0" applyNumberFormat="1"/>
    <xf numFmtId="43" fontId="0" fillId="0" borderId="0" xfId="1" applyFont="1" applyAlignment="1">
      <alignment horizontal="left"/>
    </xf>
    <xf numFmtId="165" fontId="1" fillId="0" borderId="0" xfId="1" applyNumberFormat="1" applyFont="1" applyAlignment="1">
      <alignment horizontal="center"/>
    </xf>
    <xf numFmtId="166" fontId="0" fillId="0" borderId="0" xfId="1" applyNumberFormat="1" applyFont="1"/>
    <xf numFmtId="37" fontId="0" fillId="0" borderId="0" xfId="0" applyNumberFormat="1"/>
    <xf numFmtId="3" fontId="0" fillId="0" borderId="0" xfId="0" applyNumberFormat="1"/>
    <xf numFmtId="166" fontId="0" fillId="0" borderId="0" xfId="0" applyNumberFormat="1"/>
    <xf numFmtId="166" fontId="1" fillId="0" borderId="0" xfId="0" applyNumberFormat="1" applyFont="1" applyBorder="1"/>
    <xf numFmtId="166" fontId="1" fillId="0" borderId="1" xfId="0" applyNumberFormat="1" applyFont="1" applyBorder="1"/>
    <xf numFmtId="166" fontId="1" fillId="0" borderId="2" xfId="0" applyNumberFormat="1" applyFont="1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4" fontId="0" fillId="0" borderId="0" xfId="3" applyFont="1" applyBorder="1" applyAlignment="1">
      <alignment vertical="center"/>
    </xf>
    <xf numFmtId="0" fontId="0" fillId="0" borderId="0" xfId="0" applyBorder="1"/>
    <xf numFmtId="43" fontId="0" fillId="0" borderId="0" xfId="1" applyFont="1" applyBorder="1"/>
    <xf numFmtId="44" fontId="1" fillId="0" borderId="0" xfId="3" applyFont="1" applyBorder="1" applyAlignment="1">
      <alignment vertical="center"/>
    </xf>
    <xf numFmtId="6" fontId="0" fillId="0" borderId="0" xfId="0" applyNumberFormat="1" applyBorder="1"/>
    <xf numFmtId="6" fontId="0" fillId="0" borderId="0" xfId="1" applyNumberFormat="1" applyFont="1" applyBorder="1"/>
    <xf numFmtId="6" fontId="0" fillId="0" borderId="0" xfId="3" applyNumberFormat="1" applyFont="1" applyBorder="1" applyAlignment="1">
      <alignment vertical="center"/>
    </xf>
    <xf numFmtId="6" fontId="1" fillId="0" borderId="0" xfId="0" applyNumberFormat="1" applyFont="1" applyBorder="1" applyAlignment="1">
      <alignment vertical="center"/>
    </xf>
    <xf numFmtId="0" fontId="0" fillId="0" borderId="0" xfId="0"/>
    <xf numFmtId="3" fontId="0" fillId="0" borderId="0" xfId="0" applyNumberFormat="1"/>
    <xf numFmtId="166" fontId="0" fillId="0" borderId="3" xfId="1" applyNumberFormat="1" applyFont="1" applyBorder="1"/>
    <xf numFmtId="43" fontId="0" fillId="0" borderId="3" xfId="1" applyFont="1" applyBorder="1"/>
    <xf numFmtId="49" fontId="3" fillId="0" borderId="0" xfId="1" applyNumberFormat="1" applyFont="1" applyAlignment="1">
      <alignment horizontal="right"/>
    </xf>
    <xf numFmtId="1" fontId="0" fillId="0" borderId="0" xfId="0" applyNumberFormat="1"/>
    <xf numFmtId="6" fontId="1" fillId="0" borderId="0" xfId="3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6" fontId="1" fillId="0" borderId="0" xfId="0" applyNumberFormat="1" applyFont="1" applyBorder="1"/>
    <xf numFmtId="43" fontId="1" fillId="0" borderId="0" xfId="1" applyFont="1" applyBorder="1"/>
    <xf numFmtId="166" fontId="1" fillId="0" borderId="0" xfId="1" applyNumberFormat="1" applyFont="1"/>
    <xf numFmtId="166" fontId="1" fillId="0" borderId="4" xfId="0" applyNumberFormat="1" applyFont="1" applyBorder="1"/>
    <xf numFmtId="167" fontId="0" fillId="0" borderId="0" xfId="0" applyNumberFormat="1"/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6" fontId="0" fillId="0" borderId="0" xfId="0" applyNumberFormat="1" applyFont="1" applyBorder="1"/>
    <xf numFmtId="6" fontId="2" fillId="0" borderId="0" xfId="3" applyNumberFormat="1" applyFont="1" applyBorder="1" applyAlignment="1">
      <alignment vertical="center"/>
    </xf>
    <xf numFmtId="0" fontId="0" fillId="0" borderId="0" xfId="0" applyFont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tabSelected="1" workbookViewId="0">
      <selection activeCell="B12" sqref="B12"/>
    </sheetView>
  </sheetViews>
  <sheetFormatPr defaultRowHeight="15" x14ac:dyDescent="0.25"/>
  <cols>
    <col min="1" max="1" width="3" bestFit="1" customWidth="1"/>
    <col min="2" max="2" width="75.42578125" bestFit="1" customWidth="1"/>
    <col min="3" max="3" width="14" bestFit="1" customWidth="1"/>
    <col min="4" max="4" width="41.7109375" customWidth="1"/>
    <col min="5" max="5" width="18.85546875" bestFit="1" customWidth="1"/>
    <col min="7" max="7" width="13.42578125" bestFit="1" customWidth="1"/>
    <col min="8" max="8" width="12.42578125" customWidth="1"/>
    <col min="9" max="9" width="11.7109375" customWidth="1"/>
    <col min="10" max="10" width="12.140625" customWidth="1"/>
    <col min="11" max="12" width="12" customWidth="1"/>
    <col min="13" max="13" width="11.42578125" customWidth="1"/>
  </cols>
  <sheetData>
    <row r="1" spans="1:1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x14ac:dyDescent="0.25">
      <c r="A2" s="28"/>
      <c r="B2" s="28" t="s">
        <v>113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5" x14ac:dyDescent="0.25">
      <c r="A4" s="28"/>
      <c r="B4" s="1"/>
      <c r="C4" s="1"/>
      <c r="D4" s="1"/>
      <c r="E4" s="1"/>
      <c r="F4" s="1"/>
      <c r="G4" s="10">
        <v>42978</v>
      </c>
      <c r="H4" s="1"/>
      <c r="I4" s="1"/>
      <c r="J4" s="1"/>
      <c r="K4" s="1"/>
      <c r="L4" s="1"/>
      <c r="M4" s="1"/>
      <c r="N4" s="1"/>
      <c r="O4" s="1"/>
    </row>
    <row r="5" spans="1:15" x14ac:dyDescent="0.25">
      <c r="A5" s="28"/>
      <c r="B5" s="2" t="s">
        <v>0</v>
      </c>
      <c r="C5" s="2" t="s">
        <v>19</v>
      </c>
      <c r="D5" s="1"/>
      <c r="E5" s="3" t="s">
        <v>1</v>
      </c>
      <c r="F5" s="1"/>
      <c r="G5" s="3" t="s">
        <v>2</v>
      </c>
      <c r="H5" s="1"/>
      <c r="I5" s="1"/>
      <c r="J5" s="3" t="s">
        <v>55</v>
      </c>
      <c r="K5" s="1"/>
      <c r="L5" s="1"/>
      <c r="M5" s="1"/>
      <c r="N5" s="3"/>
      <c r="O5" s="1"/>
    </row>
    <row r="6" spans="1:15" x14ac:dyDescent="0.25">
      <c r="A6" s="28"/>
      <c r="B6" s="2"/>
      <c r="C6" s="2"/>
      <c r="D6" s="1"/>
      <c r="E6" s="3"/>
      <c r="F6" s="1"/>
      <c r="G6" s="3"/>
      <c r="H6" s="1"/>
      <c r="I6" s="1"/>
      <c r="J6" s="1"/>
      <c r="K6" s="1"/>
      <c r="L6" s="1"/>
      <c r="M6" s="1"/>
      <c r="N6" s="1"/>
      <c r="O6" s="1"/>
    </row>
    <row r="7" spans="1:15" x14ac:dyDescent="0.25">
      <c r="A7" s="28">
        <v>1</v>
      </c>
      <c r="B7" s="18" t="s">
        <v>21</v>
      </c>
      <c r="C7" s="19" t="s">
        <v>22</v>
      </c>
      <c r="D7" s="20"/>
      <c r="E7" s="26">
        <v>2580390.7200000002</v>
      </c>
      <c r="F7" s="21"/>
      <c r="G7" s="24">
        <v>1448336.74</v>
      </c>
      <c r="H7" s="18" t="s">
        <v>23</v>
      </c>
      <c r="I7" s="22"/>
      <c r="J7" s="28"/>
      <c r="K7" s="28"/>
      <c r="L7" s="11"/>
      <c r="M7" s="18"/>
      <c r="N7" s="28"/>
      <c r="O7" s="28"/>
    </row>
    <row r="8" spans="1:15" x14ac:dyDescent="0.25">
      <c r="A8" s="28">
        <v>2</v>
      </c>
      <c r="B8" s="18" t="s">
        <v>34</v>
      </c>
      <c r="C8" s="19" t="s">
        <v>35</v>
      </c>
      <c r="D8" s="20"/>
      <c r="E8" s="26">
        <v>2104676.29</v>
      </c>
      <c r="F8" s="21"/>
      <c r="G8" s="24">
        <v>567648.14</v>
      </c>
      <c r="H8" s="18" t="s">
        <v>23</v>
      </c>
      <c r="I8" s="22"/>
      <c r="J8" s="28"/>
      <c r="K8" s="28"/>
      <c r="L8" s="11"/>
      <c r="M8" s="18"/>
      <c r="N8" s="28"/>
      <c r="O8" s="28"/>
    </row>
    <row r="9" spans="1:15" x14ac:dyDescent="0.25">
      <c r="A9" s="28">
        <v>3</v>
      </c>
      <c r="B9" s="18" t="s">
        <v>44</v>
      </c>
      <c r="C9" s="19" t="s">
        <v>42</v>
      </c>
      <c r="D9" s="20"/>
      <c r="E9" s="26">
        <v>245721.33</v>
      </c>
      <c r="F9" s="21"/>
      <c r="G9" s="24">
        <v>245721.33</v>
      </c>
      <c r="H9" s="18" t="s">
        <v>43</v>
      </c>
      <c r="I9" s="22"/>
      <c r="J9" s="28"/>
      <c r="K9" s="28"/>
      <c r="L9" s="11"/>
      <c r="M9" s="18"/>
      <c r="N9" s="28"/>
      <c r="O9" s="28"/>
    </row>
    <row r="10" spans="1:15" x14ac:dyDescent="0.25">
      <c r="A10" s="28">
        <v>4</v>
      </c>
      <c r="B10" s="18" t="s">
        <v>45</v>
      </c>
      <c r="C10" s="19" t="s">
        <v>42</v>
      </c>
      <c r="D10" s="20"/>
      <c r="E10" s="26">
        <v>246080.03</v>
      </c>
      <c r="F10" s="21"/>
      <c r="G10" s="24">
        <v>246080.03</v>
      </c>
      <c r="H10" s="18" t="s">
        <v>43</v>
      </c>
      <c r="I10" s="22"/>
      <c r="J10" s="28"/>
      <c r="K10" s="28"/>
      <c r="L10" s="11"/>
      <c r="M10" s="18"/>
      <c r="N10" s="28"/>
      <c r="O10" s="28"/>
    </row>
    <row r="11" spans="1:15" x14ac:dyDescent="0.25">
      <c r="A11" s="35">
        <v>5</v>
      </c>
      <c r="B11" s="36" t="s">
        <v>47</v>
      </c>
      <c r="C11" s="37" t="s">
        <v>22</v>
      </c>
      <c r="D11" s="23"/>
      <c r="E11" s="34">
        <v>2115517.2799999998</v>
      </c>
      <c r="F11" s="38"/>
      <c r="G11" s="39">
        <v>2110517.2799999998</v>
      </c>
      <c r="H11" s="36" t="s">
        <v>24</v>
      </c>
      <c r="I11" s="40"/>
      <c r="J11" s="35"/>
      <c r="K11" s="35"/>
      <c r="L11" s="41"/>
      <c r="M11" s="18"/>
      <c r="N11" s="28"/>
      <c r="O11" s="28"/>
    </row>
    <row r="12" spans="1:15" x14ac:dyDescent="0.25">
      <c r="A12" s="35">
        <v>6</v>
      </c>
      <c r="B12" s="36" t="s">
        <v>29</v>
      </c>
      <c r="C12" s="37" t="s">
        <v>30</v>
      </c>
      <c r="D12" s="23"/>
      <c r="E12" s="34">
        <v>189180.87</v>
      </c>
      <c r="F12" s="38"/>
      <c r="G12" s="39">
        <v>-28456.07</v>
      </c>
      <c r="H12" s="36" t="s">
        <v>24</v>
      </c>
      <c r="I12" s="40"/>
      <c r="J12" s="35"/>
      <c r="K12" s="35"/>
      <c r="L12" s="41"/>
      <c r="M12" s="18"/>
      <c r="N12" s="28"/>
      <c r="O12" s="28"/>
    </row>
    <row r="13" spans="1:15" x14ac:dyDescent="0.25">
      <c r="A13" s="28">
        <v>7</v>
      </c>
      <c r="B13" s="18" t="s">
        <v>37</v>
      </c>
      <c r="C13" s="19" t="s">
        <v>35</v>
      </c>
      <c r="D13" s="20"/>
      <c r="E13" s="26">
        <v>111572.82</v>
      </c>
      <c r="F13" s="21"/>
      <c r="G13" s="24">
        <v>86969.95</v>
      </c>
      <c r="H13" s="18" t="s">
        <v>31</v>
      </c>
      <c r="I13" s="22"/>
      <c r="J13" s="28"/>
      <c r="K13" s="28"/>
      <c r="L13" s="11"/>
      <c r="M13" s="18"/>
      <c r="N13" s="28"/>
      <c r="O13" s="28"/>
    </row>
    <row r="14" spans="1:15" x14ac:dyDescent="0.25">
      <c r="A14" s="28">
        <v>8</v>
      </c>
      <c r="B14" s="18" t="s">
        <v>48</v>
      </c>
      <c r="C14" s="19" t="s">
        <v>54</v>
      </c>
      <c r="D14" s="20"/>
      <c r="E14" s="26">
        <v>181637.67</v>
      </c>
      <c r="F14" s="21"/>
      <c r="G14" s="24">
        <v>181637.67</v>
      </c>
      <c r="H14" s="18" t="s">
        <v>41</v>
      </c>
      <c r="I14" s="22"/>
      <c r="J14" s="28"/>
      <c r="K14" s="28"/>
      <c r="L14" s="11"/>
      <c r="M14" s="18"/>
      <c r="N14" s="28"/>
      <c r="O14" s="28"/>
    </row>
    <row r="15" spans="1:15" x14ac:dyDescent="0.25">
      <c r="A15" s="28">
        <v>9</v>
      </c>
      <c r="B15" s="18" t="s">
        <v>53</v>
      </c>
      <c r="C15" s="19" t="s">
        <v>28</v>
      </c>
      <c r="D15" s="20"/>
      <c r="E15" s="26">
        <v>125684.65</v>
      </c>
      <c r="F15" s="21"/>
      <c r="G15" s="24">
        <v>125684.65</v>
      </c>
      <c r="H15" s="18" t="s">
        <v>56</v>
      </c>
      <c r="I15" s="22"/>
      <c r="J15" s="28"/>
      <c r="K15" s="28"/>
      <c r="L15" s="11"/>
      <c r="M15" s="18"/>
      <c r="N15" s="28"/>
      <c r="O15" s="28"/>
    </row>
    <row r="16" spans="1:15" x14ac:dyDescent="0.25">
      <c r="A16" s="28">
        <v>10</v>
      </c>
      <c r="B16" s="18" t="s">
        <v>49</v>
      </c>
      <c r="C16" s="19" t="s">
        <v>54</v>
      </c>
      <c r="D16" s="20"/>
      <c r="E16" s="26">
        <v>180879.82</v>
      </c>
      <c r="F16" s="21"/>
      <c r="G16" s="24">
        <v>180879.82</v>
      </c>
      <c r="H16" s="18" t="s">
        <v>41</v>
      </c>
      <c r="I16" s="22"/>
      <c r="J16" s="28"/>
      <c r="K16" s="28"/>
      <c r="L16" s="11"/>
      <c r="M16" s="18"/>
      <c r="N16" s="28"/>
      <c r="O16" s="28"/>
    </row>
    <row r="17" spans="1:15" x14ac:dyDescent="0.25">
      <c r="A17" s="28">
        <v>11</v>
      </c>
      <c r="B17" s="18" t="s">
        <v>106</v>
      </c>
      <c r="C17" s="19" t="s">
        <v>107</v>
      </c>
      <c r="D17" s="20"/>
      <c r="E17" s="26">
        <v>2358429.48</v>
      </c>
      <c r="F17" s="21"/>
      <c r="G17" s="24"/>
      <c r="H17" s="18"/>
      <c r="I17" s="22"/>
      <c r="J17" s="28"/>
      <c r="K17" s="28"/>
      <c r="L17" s="11"/>
      <c r="M17" s="18"/>
      <c r="N17" s="28"/>
      <c r="O17" s="28"/>
    </row>
    <row r="18" spans="1:15" x14ac:dyDescent="0.25">
      <c r="A18" s="28">
        <v>12</v>
      </c>
      <c r="B18" s="18" t="s">
        <v>109</v>
      </c>
      <c r="C18" s="19" t="s">
        <v>108</v>
      </c>
      <c r="D18" s="20"/>
      <c r="E18" s="26">
        <v>354031.16</v>
      </c>
      <c r="F18" s="21"/>
      <c r="G18" s="24">
        <v>15487.98</v>
      </c>
      <c r="H18" s="18"/>
      <c r="I18" s="22"/>
      <c r="J18" s="28"/>
      <c r="K18" s="28"/>
      <c r="L18" s="11"/>
      <c r="M18" s="18"/>
      <c r="N18" s="28"/>
      <c r="O18" s="28"/>
    </row>
    <row r="19" spans="1:15" x14ac:dyDescent="0.25">
      <c r="A19" s="28">
        <v>13</v>
      </c>
      <c r="B19" s="18" t="s">
        <v>110</v>
      </c>
      <c r="C19" s="19" t="s">
        <v>42</v>
      </c>
      <c r="D19" s="20"/>
      <c r="E19" s="26">
        <v>624724.73</v>
      </c>
      <c r="F19" s="21"/>
      <c r="G19" s="24">
        <v>624724.73</v>
      </c>
      <c r="H19" s="18"/>
      <c r="I19" s="22"/>
      <c r="J19" s="28"/>
      <c r="K19" s="28"/>
      <c r="L19" s="11"/>
      <c r="M19" s="18"/>
      <c r="N19" s="28"/>
      <c r="O19" s="28"/>
    </row>
    <row r="20" spans="1:15" x14ac:dyDescent="0.25">
      <c r="A20" s="48">
        <v>14</v>
      </c>
      <c r="B20" s="45" t="s">
        <v>111</v>
      </c>
      <c r="C20" s="44" t="s">
        <v>30</v>
      </c>
      <c r="D20" s="23"/>
      <c r="E20" s="47">
        <v>85223.99</v>
      </c>
      <c r="F20" s="38"/>
      <c r="G20" s="46">
        <v>85223.99</v>
      </c>
      <c r="H20" s="36"/>
      <c r="I20" s="40"/>
      <c r="J20" s="35"/>
      <c r="K20" s="35"/>
      <c r="L20" s="41"/>
      <c r="M20" s="18"/>
      <c r="N20" s="28"/>
      <c r="O20" s="28"/>
    </row>
    <row r="21" spans="1:15" s="28" customFormat="1" x14ac:dyDescent="0.25">
      <c r="A21" s="48">
        <v>15</v>
      </c>
      <c r="B21" s="45"/>
      <c r="C21" s="44"/>
      <c r="D21" s="23"/>
      <c r="E21" s="47"/>
      <c r="F21" s="38"/>
      <c r="G21" s="46"/>
      <c r="H21" s="36"/>
      <c r="I21" s="40"/>
      <c r="J21" s="35"/>
      <c r="K21" s="35"/>
      <c r="L21" s="41"/>
      <c r="M21" s="18"/>
    </row>
    <row r="22" spans="1:15" s="28" customFormat="1" x14ac:dyDescent="0.25">
      <c r="A22" s="48">
        <v>16</v>
      </c>
      <c r="B22" s="45"/>
      <c r="C22" s="44"/>
      <c r="D22" s="23"/>
      <c r="E22" s="47"/>
      <c r="F22" s="38"/>
      <c r="G22" s="46"/>
      <c r="H22" s="36"/>
      <c r="I22" s="40"/>
      <c r="J22" s="35"/>
      <c r="K22" s="35"/>
      <c r="L22" s="41"/>
      <c r="M22" s="18"/>
    </row>
    <row r="23" spans="1:15" s="28" customFormat="1" x14ac:dyDescent="0.25">
      <c r="A23" s="48">
        <v>17</v>
      </c>
      <c r="B23" s="45"/>
      <c r="C23" s="44"/>
      <c r="D23" s="23"/>
      <c r="E23" s="47"/>
      <c r="F23" s="38"/>
      <c r="G23" s="46"/>
      <c r="H23" s="36"/>
      <c r="I23" s="40"/>
      <c r="J23" s="35"/>
      <c r="K23" s="35"/>
      <c r="L23" s="41"/>
      <c r="M23" s="18"/>
    </row>
    <row r="24" spans="1:15" x14ac:dyDescent="0.25">
      <c r="A24" s="28">
        <v>18</v>
      </c>
      <c r="B24" s="18"/>
      <c r="C24" s="19"/>
      <c r="D24" s="20"/>
      <c r="E24" s="26"/>
      <c r="F24" s="21"/>
      <c r="G24" s="24"/>
      <c r="H24" s="18"/>
      <c r="I24" s="22"/>
      <c r="J24" s="28"/>
      <c r="K24" s="28"/>
      <c r="L24" s="11"/>
      <c r="M24" s="18"/>
      <c r="N24" s="28"/>
      <c r="O24" s="28"/>
    </row>
    <row r="25" spans="1:15" ht="15.75" thickBot="1" x14ac:dyDescent="0.3">
      <c r="A25" s="28">
        <v>19</v>
      </c>
      <c r="B25" s="18"/>
      <c r="C25" s="19"/>
      <c r="D25" s="23"/>
      <c r="E25" s="27"/>
      <c r="F25" s="18"/>
      <c r="G25" s="25"/>
      <c r="H25" s="22"/>
      <c r="I25" s="22"/>
      <c r="J25" s="22"/>
      <c r="K25" s="22"/>
      <c r="L25" s="1"/>
      <c r="M25" s="1"/>
      <c r="N25" s="1"/>
      <c r="O25" s="1"/>
    </row>
    <row r="26" spans="1:15" ht="15.75" thickTop="1" x14ac:dyDescent="0.25">
      <c r="A26" s="28">
        <v>20</v>
      </c>
      <c r="B26" s="1" t="s">
        <v>14</v>
      </c>
      <c r="C26" s="1"/>
      <c r="D26" s="1"/>
      <c r="E26" s="30">
        <f>SUM(E7:E25)</f>
        <v>11503750.840000002</v>
      </c>
      <c r="F26" s="31"/>
      <c r="G26" s="30">
        <f>SUM(G7:G25)</f>
        <v>5890456.2400000002</v>
      </c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28"/>
      <c r="B27" s="1"/>
      <c r="C27" s="1"/>
      <c r="D27" s="1"/>
      <c r="E27" s="11"/>
      <c r="F27" s="1"/>
      <c r="G27" s="11"/>
      <c r="H27" s="1"/>
      <c r="I27" s="1"/>
      <c r="J27" s="1"/>
      <c r="K27" s="1"/>
      <c r="L27" s="1"/>
      <c r="M27" s="1"/>
      <c r="N27" s="1"/>
      <c r="O27" s="1"/>
    </row>
    <row r="28" spans="1:15" ht="18.75" x14ac:dyDescent="0.3">
      <c r="A28" s="28"/>
      <c r="B28" s="1"/>
      <c r="C28" s="1"/>
      <c r="D28" s="1"/>
      <c r="E28" s="1"/>
      <c r="F28" s="1"/>
      <c r="G28" s="7" t="s">
        <v>13</v>
      </c>
      <c r="H28" s="7" t="s">
        <v>13</v>
      </c>
      <c r="I28" s="7" t="s">
        <v>13</v>
      </c>
      <c r="J28" s="7" t="s">
        <v>13</v>
      </c>
      <c r="K28" s="7" t="s">
        <v>13</v>
      </c>
      <c r="L28" s="7" t="s">
        <v>13</v>
      </c>
      <c r="M28" s="7" t="s">
        <v>13</v>
      </c>
      <c r="N28" s="7"/>
      <c r="O28" s="7"/>
    </row>
    <row r="29" spans="1:15" ht="18.75" x14ac:dyDescent="0.3">
      <c r="A29" s="28"/>
      <c r="B29" s="1"/>
      <c r="C29" s="1"/>
      <c r="D29" s="1"/>
      <c r="E29" s="1"/>
      <c r="F29" s="1"/>
      <c r="G29" s="32" t="s">
        <v>60</v>
      </c>
      <c r="H29" s="6">
        <v>504</v>
      </c>
      <c r="I29" s="6">
        <v>541</v>
      </c>
      <c r="J29" s="32" t="s">
        <v>61</v>
      </c>
      <c r="K29" s="6">
        <v>511</v>
      </c>
      <c r="L29" s="32" t="s">
        <v>62</v>
      </c>
      <c r="M29" s="6">
        <v>663</v>
      </c>
      <c r="N29" s="6"/>
      <c r="O29" s="6"/>
    </row>
    <row r="30" spans="1:15" x14ac:dyDescent="0.25">
      <c r="A30" s="28"/>
      <c r="B30" s="1"/>
      <c r="C30" s="1"/>
      <c r="D30" s="1"/>
      <c r="E30" s="1"/>
      <c r="F30" s="1"/>
      <c r="G30" s="1" t="s">
        <v>59</v>
      </c>
      <c r="H30" s="1"/>
      <c r="I30" s="1"/>
      <c r="J30" s="1"/>
      <c r="K30" s="1"/>
      <c r="L30" s="1"/>
      <c r="M30" s="1"/>
      <c r="N30" s="1"/>
      <c r="O30" s="1"/>
    </row>
    <row r="31" spans="1:15" x14ac:dyDescent="0.25">
      <c r="A31" s="28">
        <v>38</v>
      </c>
      <c r="B31" s="9" t="s">
        <v>64</v>
      </c>
      <c r="C31" s="9"/>
      <c r="D31" s="1"/>
      <c r="E31" s="11">
        <f>SUM(G31:Q31)</f>
        <v>269194121</v>
      </c>
      <c r="F31" s="11"/>
      <c r="G31" s="11">
        <v>126742143</v>
      </c>
      <c r="H31" s="11">
        <v>65362490</v>
      </c>
      <c r="I31" s="11"/>
      <c r="J31" s="11">
        <v>6946804</v>
      </c>
      <c r="K31" s="11">
        <v>4640252</v>
      </c>
      <c r="L31" s="11">
        <v>749893</v>
      </c>
      <c r="M31" s="11">
        <v>64752539</v>
      </c>
      <c r="N31" s="11"/>
      <c r="O31" s="11"/>
    </row>
    <row r="32" spans="1:15" x14ac:dyDescent="0.25">
      <c r="A32" s="28">
        <v>39</v>
      </c>
      <c r="B32" s="28" t="s">
        <v>3</v>
      </c>
      <c r="C32" s="28"/>
      <c r="D32" s="28"/>
      <c r="E32" s="4">
        <f>SUM(G32:Q32)</f>
        <v>1</v>
      </c>
      <c r="F32" s="28"/>
      <c r="G32" s="4">
        <f t="shared" ref="G32:M32" si="0">+G31/$E$31</f>
        <v>0.4708206201873183</v>
      </c>
      <c r="H32" s="4">
        <f t="shared" si="0"/>
        <v>0.24280801436967489</v>
      </c>
      <c r="I32" s="4">
        <f t="shared" si="0"/>
        <v>0</v>
      </c>
      <c r="J32" s="4">
        <f t="shared" si="0"/>
        <v>2.5805927611621208E-2</v>
      </c>
      <c r="K32" s="4">
        <f t="shared" si="0"/>
        <v>1.7237568126534233E-2</v>
      </c>
      <c r="L32" s="4">
        <f t="shared" si="0"/>
        <v>2.7856960516608013E-3</v>
      </c>
      <c r="M32" s="4">
        <f t="shared" si="0"/>
        <v>0.24054217365319058</v>
      </c>
      <c r="N32" s="4"/>
      <c r="O32" s="4"/>
    </row>
    <row r="33" spans="1:15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</row>
    <row r="35" spans="1:15" x14ac:dyDescent="0.25">
      <c r="A35" s="28">
        <v>40</v>
      </c>
      <c r="B35" s="28" t="s">
        <v>4</v>
      </c>
      <c r="C35" s="28"/>
      <c r="D35" s="28" t="s">
        <v>67</v>
      </c>
      <c r="E35" s="12">
        <f>+E26</f>
        <v>11503750.840000002</v>
      </c>
      <c r="F35" s="28"/>
      <c r="G35" s="28"/>
      <c r="H35" s="28"/>
      <c r="I35" s="28"/>
      <c r="J35" s="28"/>
      <c r="K35" s="28"/>
      <c r="L35" s="28"/>
      <c r="M35" s="28"/>
      <c r="N35" s="28"/>
      <c r="O35" s="28"/>
    </row>
    <row r="36" spans="1:15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</row>
    <row r="37" spans="1:15" x14ac:dyDescent="0.25">
      <c r="A37" s="28">
        <v>41</v>
      </c>
      <c r="B37" s="28" t="s">
        <v>5</v>
      </c>
      <c r="C37" s="28"/>
      <c r="D37" s="28" t="s">
        <v>68</v>
      </c>
      <c r="E37" s="29">
        <f>+E35*0.0258</f>
        <v>296796.77167200006</v>
      </c>
      <c r="F37" s="29"/>
      <c r="G37" s="29">
        <f>+E37</f>
        <v>296796.77167200006</v>
      </c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28">
        <v>42</v>
      </c>
      <c r="B38" s="28" t="s">
        <v>7</v>
      </c>
      <c r="C38" s="28"/>
      <c r="D38" s="28" t="s">
        <v>69</v>
      </c>
      <c r="E38" s="29">
        <f>+E37/2</f>
        <v>148398.38583600003</v>
      </c>
      <c r="F38" s="29"/>
      <c r="G38" s="29"/>
      <c r="H38" s="28"/>
      <c r="I38" s="28"/>
      <c r="J38" s="28"/>
      <c r="K38" s="28"/>
      <c r="L38" s="28"/>
      <c r="M38" s="28"/>
      <c r="N38" s="28"/>
      <c r="O38" s="28"/>
    </row>
    <row r="39" spans="1:15" x14ac:dyDescent="0.25">
      <c r="A39" s="28">
        <v>43</v>
      </c>
      <c r="B39" s="28" t="s">
        <v>46</v>
      </c>
      <c r="C39" s="28"/>
      <c r="D39" s="28" t="s">
        <v>70</v>
      </c>
      <c r="E39" s="29">
        <f>+E35*0.0375</f>
        <v>431390.65650000004</v>
      </c>
      <c r="F39" s="29"/>
      <c r="G39" s="29"/>
      <c r="H39" s="28"/>
      <c r="I39" s="28"/>
      <c r="J39" s="28"/>
      <c r="K39" s="28"/>
      <c r="L39" s="28"/>
      <c r="M39" s="28"/>
      <c r="N39" s="28"/>
      <c r="O39" s="28"/>
    </row>
    <row r="40" spans="1:15" x14ac:dyDescent="0.25">
      <c r="A40" s="28">
        <v>44</v>
      </c>
      <c r="B40" s="28" t="s">
        <v>6</v>
      </c>
      <c r="C40" s="28"/>
      <c r="D40" s="28" t="s">
        <v>71</v>
      </c>
      <c r="E40" s="29">
        <f>(+E39-E37)*0.35</f>
        <v>47107.859689799989</v>
      </c>
      <c r="F40" s="29"/>
      <c r="G40" s="29"/>
      <c r="H40" s="28"/>
      <c r="I40" s="28"/>
      <c r="J40" s="28"/>
      <c r="K40" s="28"/>
      <c r="L40" s="28"/>
      <c r="M40" s="28"/>
      <c r="N40" s="28"/>
      <c r="O40" s="28"/>
    </row>
    <row r="41" spans="1:15" x14ac:dyDescent="0.25">
      <c r="A41" s="28">
        <v>45</v>
      </c>
      <c r="B41" s="28" t="s">
        <v>8</v>
      </c>
      <c r="C41" s="28"/>
      <c r="D41" s="28" t="s">
        <v>72</v>
      </c>
      <c r="E41" s="29">
        <f>+E40/2</f>
        <v>23553.929844899994</v>
      </c>
      <c r="F41" s="29"/>
      <c r="G41" s="29"/>
      <c r="H41" s="28"/>
      <c r="I41" s="28"/>
      <c r="J41" s="28"/>
      <c r="K41" s="28"/>
      <c r="L41" s="28"/>
      <c r="M41" s="28"/>
      <c r="N41" s="28"/>
      <c r="O41" s="28"/>
    </row>
    <row r="42" spans="1:15" x14ac:dyDescent="0.25">
      <c r="A42" s="28">
        <v>46</v>
      </c>
      <c r="B42" s="28" t="s">
        <v>11</v>
      </c>
      <c r="C42" s="28"/>
      <c r="D42" s="28" t="s">
        <v>73</v>
      </c>
      <c r="E42" s="29"/>
      <c r="F42" s="29"/>
      <c r="G42" s="29">
        <f>+G37*0.35</f>
        <v>103878.87008520002</v>
      </c>
      <c r="H42" s="28"/>
      <c r="I42" s="28"/>
      <c r="J42" s="28"/>
      <c r="K42" s="28"/>
      <c r="L42" s="28"/>
      <c r="M42" s="28"/>
      <c r="N42" s="28"/>
      <c r="O42" s="28"/>
    </row>
    <row r="43" spans="1:15" x14ac:dyDescent="0.25">
      <c r="A43" s="33">
        <v>47</v>
      </c>
      <c r="B43" s="28" t="s">
        <v>82</v>
      </c>
      <c r="C43" s="28"/>
      <c r="D43" s="28"/>
      <c r="E43" s="29"/>
      <c r="F43" s="29"/>
      <c r="G43" s="29">
        <f>+E44*0.026475*0.35</f>
        <v>105003.27807597187</v>
      </c>
      <c r="H43" s="28"/>
      <c r="I43" s="28"/>
      <c r="J43" s="28"/>
      <c r="K43" s="28"/>
      <c r="L43" s="28"/>
      <c r="M43" s="28"/>
      <c r="N43" s="28"/>
      <c r="O43" s="28"/>
    </row>
    <row r="44" spans="1:15" x14ac:dyDescent="0.25">
      <c r="A44" s="28">
        <v>48</v>
      </c>
      <c r="B44" s="28" t="s">
        <v>9</v>
      </c>
      <c r="C44" s="28"/>
      <c r="D44" s="28" t="s">
        <v>75</v>
      </c>
      <c r="E44" s="29">
        <f>+E26-E41-E38</f>
        <v>11331798.524319103</v>
      </c>
      <c r="F44" s="29"/>
      <c r="G44" s="29"/>
      <c r="H44" s="28"/>
      <c r="I44" s="28"/>
      <c r="J44" s="28"/>
      <c r="K44" s="28"/>
      <c r="L44" s="28"/>
      <c r="M44" s="28"/>
      <c r="N44" s="28"/>
      <c r="O44" s="28"/>
    </row>
    <row r="45" spans="1:15" x14ac:dyDescent="0.25">
      <c r="A45" s="28">
        <v>49</v>
      </c>
      <c r="B45" s="28" t="s">
        <v>63</v>
      </c>
      <c r="C45" s="28"/>
      <c r="D45" s="28"/>
      <c r="E45" s="5">
        <v>7.3499999999999996E-2</v>
      </c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2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</row>
    <row r="47" spans="1:15" x14ac:dyDescent="0.25">
      <c r="A47" s="28">
        <v>50</v>
      </c>
      <c r="B47" s="28" t="s">
        <v>10</v>
      </c>
      <c r="C47" s="28"/>
      <c r="D47" s="28" t="s">
        <v>74</v>
      </c>
      <c r="E47" s="14">
        <f>+E44*E45</f>
        <v>832887.19153745403</v>
      </c>
      <c r="F47" s="14"/>
      <c r="G47" s="14">
        <f>+G37-G42-G43</f>
        <v>87914.623510828183</v>
      </c>
      <c r="H47" s="28"/>
      <c r="I47" s="28"/>
      <c r="J47" s="28"/>
      <c r="K47" s="28"/>
      <c r="L47" s="28"/>
      <c r="M47" s="28"/>
      <c r="N47" s="28"/>
      <c r="O47" s="28"/>
    </row>
    <row r="48" spans="1:15" x14ac:dyDescent="0.25">
      <c r="A48" s="28">
        <v>51</v>
      </c>
      <c r="B48" s="28" t="s">
        <v>12</v>
      </c>
      <c r="C48" s="28"/>
      <c r="D48" s="28" t="s">
        <v>76</v>
      </c>
      <c r="E48" s="14">
        <f>+E47+G47</f>
        <v>920801.81504828227</v>
      </c>
      <c r="F48" s="14"/>
      <c r="G48" s="14"/>
      <c r="H48" s="28"/>
      <c r="I48" s="28"/>
      <c r="J48" s="28"/>
      <c r="K48" s="28"/>
      <c r="L48" s="28"/>
      <c r="M48" s="28"/>
      <c r="N48" s="28"/>
      <c r="O48" s="28"/>
    </row>
    <row r="49" spans="1:15" x14ac:dyDescent="0.25">
      <c r="A49" s="28">
        <v>52</v>
      </c>
      <c r="B49" s="28" t="s">
        <v>65</v>
      </c>
      <c r="C49" s="28"/>
      <c r="D49" s="28"/>
      <c r="E49" s="28">
        <v>0.62095</v>
      </c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x14ac:dyDescent="0.25">
      <c r="A50" s="28">
        <v>53</v>
      </c>
      <c r="B50" s="28" t="s">
        <v>17</v>
      </c>
      <c r="C50" s="28"/>
      <c r="D50" s="28" t="s">
        <v>77</v>
      </c>
      <c r="E50" s="15">
        <f>+E48/E49</f>
        <v>1482892.0445257786</v>
      </c>
      <c r="F50" s="28"/>
      <c r="G50" s="15"/>
      <c r="H50" s="14"/>
      <c r="I50" s="14"/>
      <c r="J50" s="14"/>
      <c r="K50" s="14"/>
      <c r="L50" s="14"/>
      <c r="M50" s="14"/>
      <c r="N50" s="14"/>
      <c r="O50" s="14"/>
    </row>
    <row r="51" spans="1:15" s="28" customFormat="1" x14ac:dyDescent="0.25">
      <c r="B51" s="28" t="s">
        <v>102</v>
      </c>
      <c r="E51" s="15">
        <f>+'2016 Rate Calculation'!G45</f>
        <v>1866215.642246685</v>
      </c>
      <c r="G51" s="15"/>
      <c r="H51" s="14"/>
      <c r="I51" s="14"/>
      <c r="J51" s="14"/>
      <c r="K51" s="14"/>
      <c r="L51" s="14"/>
      <c r="M51" s="14"/>
      <c r="N51" s="14"/>
      <c r="O51" s="14"/>
    </row>
    <row r="52" spans="1:15" x14ac:dyDescent="0.25">
      <c r="A52" s="28"/>
      <c r="B52" s="28"/>
      <c r="C52" s="28"/>
      <c r="D52" s="28"/>
      <c r="E52" s="28"/>
      <c r="F52" s="28"/>
      <c r="G52" s="17"/>
      <c r="H52" s="14"/>
      <c r="I52" s="14"/>
      <c r="J52" s="14"/>
      <c r="K52" s="14"/>
      <c r="L52" s="14"/>
      <c r="M52" s="14"/>
      <c r="N52" s="14"/>
      <c r="O52" s="14"/>
    </row>
    <row r="53" spans="1:15" ht="15.75" thickBot="1" x14ac:dyDescent="0.3">
      <c r="A53" s="28">
        <v>54</v>
      </c>
      <c r="B53" s="28" t="s">
        <v>18</v>
      </c>
      <c r="C53" s="28"/>
      <c r="D53" s="28" t="s">
        <v>78</v>
      </c>
      <c r="E53" s="16">
        <f>+E50+E51</f>
        <v>3349107.6867724638</v>
      </c>
      <c r="F53" s="28"/>
      <c r="G53" s="16"/>
      <c r="H53" s="14"/>
      <c r="I53" s="14"/>
      <c r="J53" s="14"/>
      <c r="K53" s="14"/>
      <c r="L53" s="14"/>
      <c r="M53" s="14"/>
      <c r="N53" s="14"/>
      <c r="O53" s="14"/>
    </row>
    <row r="54" spans="1:15" s="28" customFormat="1" ht="15.75" thickTop="1" x14ac:dyDescent="0.25">
      <c r="B54" s="28" t="s">
        <v>103</v>
      </c>
      <c r="E54" s="15">
        <v>1921720</v>
      </c>
      <c r="G54" s="15"/>
      <c r="H54" s="14"/>
      <c r="I54" s="14"/>
      <c r="J54" s="14"/>
      <c r="K54" s="14"/>
      <c r="L54" s="14"/>
      <c r="M54" s="14"/>
      <c r="N54" s="14"/>
      <c r="O54" s="14"/>
    </row>
    <row r="55" spans="1:15" s="28" customFormat="1" x14ac:dyDescent="0.25">
      <c r="E55" s="15"/>
      <c r="G55" s="15"/>
      <c r="H55" s="14"/>
      <c r="I55" s="14"/>
      <c r="J55" s="14"/>
      <c r="K55" s="14"/>
      <c r="L55" s="14"/>
      <c r="M55" s="14"/>
      <c r="N55" s="14"/>
      <c r="O55" s="14"/>
    </row>
    <row r="56" spans="1:15" s="28" customFormat="1" x14ac:dyDescent="0.25">
      <c r="B56" s="28" t="s">
        <v>104</v>
      </c>
      <c r="E56" s="15">
        <f>+E53-E54</f>
        <v>1427387.6867724638</v>
      </c>
      <c r="G56" s="15"/>
      <c r="H56" s="14"/>
      <c r="I56" s="14"/>
      <c r="J56" s="14"/>
      <c r="K56" s="14"/>
      <c r="L56" s="14"/>
      <c r="M56" s="14"/>
      <c r="N56" s="14"/>
      <c r="O56" s="14"/>
    </row>
    <row r="57" spans="1:15" x14ac:dyDescent="0.25">
      <c r="A57" s="28"/>
      <c r="B57" s="28"/>
      <c r="C57" s="28"/>
      <c r="D57" s="28"/>
      <c r="E57" s="28"/>
      <c r="F57" s="28"/>
      <c r="G57" s="14"/>
      <c r="H57" s="14"/>
      <c r="I57" s="14"/>
      <c r="J57" s="14"/>
      <c r="K57" s="14"/>
      <c r="L57" s="14"/>
      <c r="M57" s="14"/>
      <c r="N57" s="14"/>
      <c r="O57" s="14"/>
    </row>
    <row r="58" spans="1:15" x14ac:dyDescent="0.25">
      <c r="A58" s="28">
        <v>55</v>
      </c>
      <c r="B58" s="28" t="s">
        <v>15</v>
      </c>
      <c r="C58" s="28"/>
      <c r="D58" s="28" t="s">
        <v>79</v>
      </c>
      <c r="E58" s="28"/>
      <c r="F58" s="28"/>
      <c r="G58" s="14">
        <f>+$E$53*G32</f>
        <v>1576828.9581603264</v>
      </c>
      <c r="H58" s="14">
        <f t="shared" ref="H58:M58" si="1">+$E$53*H32</f>
        <v>813190.18733543705</v>
      </c>
      <c r="I58" s="14">
        <f t="shared" si="1"/>
        <v>0</v>
      </c>
      <c r="J58" s="14">
        <f t="shared" si="1"/>
        <v>86426.830528374354</v>
      </c>
      <c r="K58" s="14">
        <f t="shared" si="1"/>
        <v>57730.471913839814</v>
      </c>
      <c r="L58" s="14">
        <f t="shared" si="1"/>
        <v>9329.5960596288915</v>
      </c>
      <c r="M58" s="14">
        <f t="shared" si="1"/>
        <v>805601.64277485746</v>
      </c>
      <c r="N58" s="14"/>
      <c r="O58" s="14"/>
    </row>
    <row r="59" spans="1:15" x14ac:dyDescent="0.25">
      <c r="A59" s="28">
        <v>56</v>
      </c>
      <c r="B59" s="28" t="s">
        <v>112</v>
      </c>
      <c r="C59" s="28"/>
      <c r="D59" s="28"/>
      <c r="E59" s="28"/>
      <c r="F59" s="28"/>
      <c r="G59" s="29">
        <v>119055109</v>
      </c>
      <c r="H59" s="29">
        <v>82468894</v>
      </c>
      <c r="I59" s="29">
        <v>0</v>
      </c>
      <c r="J59" s="29">
        <v>10820728</v>
      </c>
      <c r="K59" s="29">
        <v>10315598</v>
      </c>
      <c r="L59" s="29">
        <v>3923308</v>
      </c>
      <c r="M59" s="29">
        <v>441939805</v>
      </c>
      <c r="N59" s="29"/>
      <c r="O59" s="29"/>
    </row>
    <row r="60" spans="1:15" x14ac:dyDescent="0.25">
      <c r="A60" s="28"/>
      <c r="B60" s="28"/>
      <c r="C60" s="28"/>
      <c r="D60" s="28"/>
      <c r="E60" s="28"/>
      <c r="F60" s="28"/>
      <c r="G60" s="29"/>
      <c r="H60" s="29"/>
      <c r="I60" s="29"/>
      <c r="J60" s="29"/>
      <c r="K60" s="29"/>
      <c r="L60" s="29"/>
      <c r="M60" s="29"/>
      <c r="N60" s="29"/>
      <c r="O60" s="29"/>
    </row>
    <row r="61" spans="1:15" x14ac:dyDescent="0.25">
      <c r="A61" s="28"/>
      <c r="B61" s="28"/>
      <c r="C61" s="28"/>
      <c r="D61" s="28"/>
      <c r="E61" s="28"/>
      <c r="F61" s="28"/>
      <c r="G61" s="29"/>
      <c r="H61" s="29"/>
      <c r="I61" s="29"/>
      <c r="J61" s="29"/>
      <c r="K61" s="29"/>
      <c r="L61" s="29"/>
      <c r="M61" s="29"/>
      <c r="N61" s="29"/>
      <c r="O61" s="29"/>
    </row>
    <row r="62" spans="1:15" x14ac:dyDescent="0.25">
      <c r="A62" s="28">
        <v>57</v>
      </c>
      <c r="B62" s="28" t="s">
        <v>20</v>
      </c>
      <c r="C62" s="28"/>
      <c r="D62" s="28" t="s">
        <v>80</v>
      </c>
      <c r="E62" s="28"/>
      <c r="F62" s="28"/>
      <c r="G62" s="8">
        <f>+G58/G59</f>
        <v>1.3244529960997528E-2</v>
      </c>
      <c r="H62" s="8">
        <f>+H58/H59</f>
        <v>9.8605686082735271E-3</v>
      </c>
      <c r="I62" s="8"/>
      <c r="J62" s="8">
        <f>+J58/J59</f>
        <v>7.9871548872103935E-3</v>
      </c>
      <c r="K62" s="8">
        <f t="shared" ref="K62:M62" si="2">+K58/K59</f>
        <v>5.5964251334571016E-3</v>
      </c>
      <c r="L62" s="8">
        <f t="shared" si="2"/>
        <v>2.3779922605181372E-3</v>
      </c>
      <c r="M62" s="8">
        <f t="shared" si="2"/>
        <v>1.822876404570205E-3</v>
      </c>
      <c r="N62" s="8"/>
      <c r="O62" s="8"/>
    </row>
    <row r="63" spans="1:15" x14ac:dyDescent="0.25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</row>
    <row r="64" spans="1:15" x14ac:dyDescent="0.25">
      <c r="A64" s="28">
        <v>58</v>
      </c>
      <c r="B64" s="28" t="s">
        <v>105</v>
      </c>
      <c r="C64" s="28"/>
      <c r="D64" s="28"/>
      <c r="E64" s="28"/>
      <c r="F64" s="28"/>
      <c r="G64" s="14">
        <v>215674763</v>
      </c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8">
        <v>59</v>
      </c>
      <c r="B65" s="28" t="s">
        <v>16</v>
      </c>
      <c r="C65" s="28"/>
      <c r="D65" s="28" t="s">
        <v>81</v>
      </c>
      <c r="E65" s="28"/>
      <c r="F65" s="28"/>
      <c r="G65" s="5">
        <f>(+E56)/G64</f>
        <v>6.618241591727002E-3</v>
      </c>
      <c r="H65" s="28"/>
      <c r="I65" s="28"/>
      <c r="J65" s="28"/>
      <c r="K65" s="28"/>
      <c r="L65" s="28"/>
      <c r="M65" s="28"/>
      <c r="N65" s="28"/>
      <c r="O65" s="28"/>
    </row>
    <row r="66" spans="1:15" x14ac:dyDescent="0.2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</row>
  </sheetData>
  <pageMargins left="0.7" right="0.7" top="0.75" bottom="0.75" header="0.3" footer="0.3"/>
  <pageSetup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60"/>
  <sheetViews>
    <sheetView topLeftCell="A19" workbookViewId="0">
      <selection activeCell="G55" sqref="G55"/>
    </sheetView>
  </sheetViews>
  <sheetFormatPr defaultRowHeight="15" x14ac:dyDescent="0.25"/>
  <cols>
    <col min="1" max="1" width="4.28515625" customWidth="1"/>
    <col min="2" max="2" width="53.28515625" bestFit="1" customWidth="1"/>
    <col min="3" max="3" width="13.85546875" bestFit="1" customWidth="1"/>
    <col min="4" max="4" width="45.140625" bestFit="1" customWidth="1"/>
    <col min="5" max="5" width="18" bestFit="1" customWidth="1"/>
    <col min="6" max="6" width="2.5703125" customWidth="1"/>
    <col min="7" max="7" width="15.28515625" bestFit="1" customWidth="1"/>
    <col min="8" max="8" width="13.28515625" customWidth="1"/>
    <col min="9" max="9" width="13.42578125" hidden="1" customWidth="1"/>
    <col min="10" max="10" width="13.28515625" customWidth="1"/>
    <col min="11" max="11" width="12.5703125" customWidth="1"/>
    <col min="12" max="13" width="13.28515625" bestFit="1" customWidth="1"/>
    <col min="14" max="15" width="11.5703125" bestFit="1" customWidth="1"/>
    <col min="16" max="16" width="12.85546875" customWidth="1"/>
    <col min="17" max="17" width="14.28515625" bestFit="1" customWidth="1"/>
  </cols>
  <sheetData>
    <row r="2" spans="1:18" x14ac:dyDescent="0.25">
      <c r="B2" t="s">
        <v>58</v>
      </c>
    </row>
    <row r="4" spans="1:18" x14ac:dyDescent="0.25">
      <c r="B4" s="1"/>
      <c r="C4" s="1"/>
      <c r="D4" s="1"/>
      <c r="E4" s="1"/>
      <c r="F4" s="1"/>
      <c r="G4" s="10">
        <v>42643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B5" s="2" t="s">
        <v>0</v>
      </c>
      <c r="C5" s="2" t="s">
        <v>19</v>
      </c>
      <c r="D5" s="1"/>
      <c r="E5" s="3" t="s">
        <v>1</v>
      </c>
      <c r="F5" s="1"/>
      <c r="G5" s="3" t="s">
        <v>2</v>
      </c>
      <c r="H5" s="1"/>
      <c r="I5" s="1"/>
      <c r="J5" s="3" t="s">
        <v>55</v>
      </c>
      <c r="K5" s="1"/>
      <c r="L5" s="1"/>
      <c r="M5" s="1"/>
      <c r="N5" s="3"/>
      <c r="O5" s="1"/>
      <c r="P5" s="1"/>
      <c r="Q5" s="1"/>
      <c r="R5" s="1"/>
    </row>
    <row r="6" spans="1:18" x14ac:dyDescent="0.25">
      <c r="B6" s="2"/>
      <c r="C6" s="2"/>
      <c r="D6" s="1"/>
      <c r="E6" s="3"/>
      <c r="F6" s="1"/>
      <c r="G6" s="3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>
        <v>1</v>
      </c>
      <c r="B7" s="18" t="s">
        <v>21</v>
      </c>
      <c r="C7" s="19" t="s">
        <v>22</v>
      </c>
      <c r="D7" s="20"/>
      <c r="E7" s="26">
        <v>1798155.84</v>
      </c>
      <c r="F7" s="21"/>
      <c r="G7" s="24">
        <v>765957.04</v>
      </c>
      <c r="H7" s="18" t="s">
        <v>23</v>
      </c>
      <c r="I7" s="22"/>
      <c r="L7" s="11"/>
      <c r="M7" s="18"/>
      <c r="P7" s="1"/>
      <c r="Q7" s="1"/>
      <c r="R7" s="1"/>
    </row>
    <row r="8" spans="1:18" x14ac:dyDescent="0.25">
      <c r="A8">
        <v>2</v>
      </c>
      <c r="B8" s="18" t="s">
        <v>34</v>
      </c>
      <c r="C8" s="19" t="s">
        <v>35</v>
      </c>
      <c r="D8" s="20"/>
      <c r="E8" s="26">
        <v>4832016.2699999996</v>
      </c>
      <c r="F8" s="21"/>
      <c r="G8" s="24">
        <v>3179193</v>
      </c>
      <c r="H8" s="18" t="s">
        <v>23</v>
      </c>
      <c r="I8" s="22"/>
      <c r="L8" s="11"/>
      <c r="M8" s="18"/>
      <c r="P8" s="1"/>
      <c r="Q8" s="1"/>
      <c r="R8" s="1"/>
    </row>
    <row r="9" spans="1:18" x14ac:dyDescent="0.25">
      <c r="A9">
        <v>3</v>
      </c>
      <c r="B9" s="18" t="s">
        <v>44</v>
      </c>
      <c r="C9" s="19" t="s">
        <v>42</v>
      </c>
      <c r="D9" s="20"/>
      <c r="E9" s="26">
        <v>331186</v>
      </c>
      <c r="F9" s="21"/>
      <c r="G9" s="24"/>
      <c r="H9" s="18" t="s">
        <v>43</v>
      </c>
      <c r="I9" s="22"/>
      <c r="L9" s="11"/>
      <c r="M9" s="18"/>
      <c r="P9" s="1"/>
      <c r="Q9" s="1"/>
      <c r="R9" s="1"/>
    </row>
    <row r="10" spans="1:18" x14ac:dyDescent="0.25">
      <c r="A10">
        <v>4</v>
      </c>
      <c r="B10" s="18" t="s">
        <v>45</v>
      </c>
      <c r="C10" s="19" t="s">
        <v>42</v>
      </c>
      <c r="D10" s="20"/>
      <c r="E10" s="26">
        <v>336962</v>
      </c>
      <c r="F10" s="21"/>
      <c r="G10" s="24"/>
      <c r="H10" s="18" t="s">
        <v>43</v>
      </c>
      <c r="I10" s="22"/>
      <c r="L10" s="11"/>
      <c r="M10" s="18"/>
      <c r="P10" s="1"/>
      <c r="Q10" s="1"/>
      <c r="R10" s="1"/>
    </row>
    <row r="11" spans="1:18" x14ac:dyDescent="0.25">
      <c r="A11" s="35">
        <v>5</v>
      </c>
      <c r="B11" s="36" t="s">
        <v>47</v>
      </c>
      <c r="C11" s="37" t="s">
        <v>22</v>
      </c>
      <c r="D11" s="23"/>
      <c r="E11" s="34">
        <v>0</v>
      </c>
      <c r="F11" s="38"/>
      <c r="G11" s="39">
        <v>0</v>
      </c>
      <c r="H11" s="36" t="s">
        <v>24</v>
      </c>
      <c r="I11" s="40"/>
      <c r="J11" s="35"/>
      <c r="K11" s="35"/>
      <c r="L11" s="41"/>
      <c r="M11" s="18"/>
      <c r="P11" s="1"/>
      <c r="Q11" s="1"/>
      <c r="R11" s="1"/>
    </row>
    <row r="12" spans="1:18" x14ac:dyDescent="0.25">
      <c r="A12">
        <v>6</v>
      </c>
      <c r="B12" s="18" t="s">
        <v>25</v>
      </c>
      <c r="C12" s="19" t="s">
        <v>26</v>
      </c>
      <c r="D12" s="20"/>
      <c r="E12" s="26">
        <v>1260100.5900000001</v>
      </c>
      <c r="F12" s="21"/>
      <c r="G12" s="24">
        <v>1260101</v>
      </c>
      <c r="H12" s="18" t="s">
        <v>24</v>
      </c>
      <c r="I12" s="22"/>
      <c r="L12" s="11"/>
      <c r="M12" s="18"/>
      <c r="P12" s="1"/>
      <c r="Q12" s="1"/>
      <c r="R12" s="1"/>
    </row>
    <row r="13" spans="1:18" x14ac:dyDescent="0.25">
      <c r="A13" s="35">
        <v>7</v>
      </c>
      <c r="B13" s="36" t="s">
        <v>27</v>
      </c>
      <c r="C13" s="37" t="s">
        <v>28</v>
      </c>
      <c r="D13" s="23"/>
      <c r="E13" s="34">
        <v>1830673.89</v>
      </c>
      <c r="F13" s="38"/>
      <c r="G13" s="39">
        <v>1830674</v>
      </c>
      <c r="H13" s="36" t="s">
        <v>24</v>
      </c>
      <c r="I13" s="40"/>
      <c r="J13" s="35"/>
      <c r="K13" s="35"/>
      <c r="L13" s="41"/>
      <c r="M13" s="18"/>
      <c r="P13" s="1"/>
      <c r="Q13" s="1"/>
      <c r="R13" s="1"/>
    </row>
    <row r="14" spans="1:18" x14ac:dyDescent="0.25">
      <c r="A14" s="35">
        <v>8</v>
      </c>
      <c r="B14" s="36" t="s">
        <v>29</v>
      </c>
      <c r="C14" s="37" t="s">
        <v>30</v>
      </c>
      <c r="D14" s="23"/>
      <c r="E14" s="34">
        <v>444862.43</v>
      </c>
      <c r="F14" s="38"/>
      <c r="G14" s="39">
        <v>414862</v>
      </c>
      <c r="H14" s="36" t="s">
        <v>24</v>
      </c>
      <c r="I14" s="40"/>
      <c r="J14" s="35"/>
      <c r="K14" s="35"/>
      <c r="L14" s="41"/>
      <c r="M14" s="18"/>
      <c r="P14" s="1"/>
      <c r="Q14" s="1"/>
      <c r="R14" s="1"/>
    </row>
    <row r="15" spans="1:18" x14ac:dyDescent="0.25">
      <c r="A15">
        <v>9</v>
      </c>
      <c r="B15" s="18" t="s">
        <v>37</v>
      </c>
      <c r="C15" s="19" t="s">
        <v>35</v>
      </c>
      <c r="D15" s="20"/>
      <c r="E15" s="26">
        <v>0</v>
      </c>
      <c r="F15" s="21"/>
      <c r="G15" s="24">
        <v>0</v>
      </c>
      <c r="H15" s="18" t="s">
        <v>31</v>
      </c>
      <c r="I15" s="22"/>
      <c r="L15" s="11"/>
      <c r="M15" s="18"/>
      <c r="P15" s="1"/>
      <c r="Q15" s="1"/>
      <c r="R15" s="1"/>
    </row>
    <row r="16" spans="1:18" s="28" customFormat="1" x14ac:dyDescent="0.25">
      <c r="B16" s="18" t="s">
        <v>66</v>
      </c>
      <c r="C16" s="19" t="s">
        <v>38</v>
      </c>
      <c r="D16" s="20"/>
      <c r="E16" s="26">
        <v>-955</v>
      </c>
      <c r="F16" s="21"/>
      <c r="G16" s="24">
        <v>-955</v>
      </c>
      <c r="H16" s="18"/>
      <c r="I16" s="22"/>
      <c r="L16" s="11"/>
      <c r="M16" s="18"/>
      <c r="P16" s="1"/>
      <c r="Q16" s="1"/>
      <c r="R16" s="1"/>
    </row>
    <row r="17" spans="1:18" x14ac:dyDescent="0.25">
      <c r="A17">
        <v>10</v>
      </c>
      <c r="B17" s="18" t="s">
        <v>39</v>
      </c>
      <c r="C17" s="19" t="s">
        <v>40</v>
      </c>
      <c r="D17" s="20"/>
      <c r="E17" s="26">
        <v>1413798.38</v>
      </c>
      <c r="F17" s="21"/>
      <c r="G17" s="24">
        <v>1413798.38</v>
      </c>
      <c r="H17" s="18" t="s">
        <v>41</v>
      </c>
      <c r="I17" s="22"/>
      <c r="L17" s="11"/>
      <c r="M17" s="18"/>
      <c r="P17" s="1"/>
      <c r="Q17" s="1"/>
      <c r="R17" s="1"/>
    </row>
    <row r="18" spans="1:18" x14ac:dyDescent="0.25">
      <c r="A18">
        <v>11</v>
      </c>
      <c r="B18" s="18" t="s">
        <v>48</v>
      </c>
      <c r="C18" s="19" t="s">
        <v>54</v>
      </c>
      <c r="D18" s="20"/>
      <c r="E18" s="26">
        <v>0</v>
      </c>
      <c r="F18" s="21"/>
      <c r="G18" s="24">
        <v>0</v>
      </c>
      <c r="H18" s="18" t="s">
        <v>41</v>
      </c>
      <c r="I18" s="22"/>
      <c r="L18" s="11"/>
      <c r="M18" s="18"/>
      <c r="P18" s="1"/>
      <c r="Q18" s="1"/>
      <c r="R18" s="1"/>
    </row>
    <row r="19" spans="1:18" x14ac:dyDescent="0.25">
      <c r="A19">
        <v>12</v>
      </c>
      <c r="B19" s="18" t="s">
        <v>53</v>
      </c>
      <c r="C19" s="19" t="s">
        <v>28</v>
      </c>
      <c r="D19" s="20"/>
      <c r="E19" s="26">
        <v>0</v>
      </c>
      <c r="F19" s="21"/>
      <c r="G19" s="24"/>
      <c r="H19" s="18" t="s">
        <v>56</v>
      </c>
      <c r="I19" s="22"/>
      <c r="L19" s="11"/>
      <c r="M19" s="18"/>
      <c r="P19" s="1"/>
      <c r="Q19" s="1"/>
      <c r="R19" s="1"/>
    </row>
    <row r="20" spans="1:18" x14ac:dyDescent="0.25">
      <c r="A20">
        <v>13</v>
      </c>
      <c r="B20" s="18" t="s">
        <v>49</v>
      </c>
      <c r="C20" s="19" t="s">
        <v>54</v>
      </c>
      <c r="D20" s="20"/>
      <c r="E20" s="26">
        <v>36210</v>
      </c>
      <c r="F20" s="21"/>
      <c r="G20" s="24"/>
      <c r="H20" s="18" t="s">
        <v>41</v>
      </c>
      <c r="I20" s="22"/>
      <c r="L20" s="11"/>
      <c r="M20" s="18"/>
      <c r="P20" s="1"/>
      <c r="Q20" s="1"/>
      <c r="R20" s="1"/>
    </row>
    <row r="21" spans="1:18" x14ac:dyDescent="0.25">
      <c r="A21">
        <v>14</v>
      </c>
      <c r="B21" s="18" t="s">
        <v>50</v>
      </c>
      <c r="C21" s="19" t="s">
        <v>42</v>
      </c>
      <c r="D21" s="20"/>
      <c r="E21" s="26">
        <v>203105.21</v>
      </c>
      <c r="F21" s="21"/>
      <c r="G21" s="24">
        <v>203105</v>
      </c>
      <c r="H21" s="18" t="s">
        <v>43</v>
      </c>
      <c r="I21" s="22"/>
      <c r="L21" s="11"/>
      <c r="M21" s="18"/>
      <c r="P21" s="1"/>
      <c r="Q21" s="1"/>
      <c r="R21" s="1"/>
    </row>
    <row r="22" spans="1:18" x14ac:dyDescent="0.25">
      <c r="A22">
        <v>15</v>
      </c>
      <c r="B22" s="18" t="s">
        <v>32</v>
      </c>
      <c r="C22" s="19" t="s">
        <v>28</v>
      </c>
      <c r="D22" s="20"/>
      <c r="E22" s="26">
        <v>42317</v>
      </c>
      <c r="F22" s="21"/>
      <c r="G22" s="24">
        <v>42317</v>
      </c>
      <c r="H22" s="18" t="s">
        <v>33</v>
      </c>
      <c r="I22" s="22"/>
      <c r="L22" s="11"/>
      <c r="M22" s="18"/>
      <c r="P22" s="1"/>
      <c r="Q22" s="1"/>
      <c r="R22" s="1"/>
    </row>
    <row r="23" spans="1:18" x14ac:dyDescent="0.25">
      <c r="A23">
        <v>16</v>
      </c>
      <c r="B23" s="18" t="s">
        <v>36</v>
      </c>
      <c r="C23" s="19" t="s">
        <v>35</v>
      </c>
      <c r="D23" s="20"/>
      <c r="E23" s="26">
        <v>173302</v>
      </c>
      <c r="F23" s="21"/>
      <c r="G23" s="24">
        <v>173302</v>
      </c>
      <c r="H23" s="18" t="s">
        <v>23</v>
      </c>
      <c r="I23" s="22"/>
      <c r="L23" s="11"/>
      <c r="M23" s="18"/>
      <c r="P23" s="1"/>
      <c r="Q23" s="1"/>
      <c r="R23" s="1"/>
    </row>
    <row r="24" spans="1:18" x14ac:dyDescent="0.25">
      <c r="A24" s="35">
        <v>17</v>
      </c>
      <c r="B24" s="36" t="s">
        <v>51</v>
      </c>
      <c r="C24" s="37" t="s">
        <v>28</v>
      </c>
      <c r="D24" s="23"/>
      <c r="E24" s="34">
        <v>2054264.17</v>
      </c>
      <c r="F24" s="38"/>
      <c r="G24" s="39">
        <v>2054234</v>
      </c>
      <c r="H24" s="36" t="s">
        <v>57</v>
      </c>
      <c r="I24" s="40"/>
      <c r="J24" s="35"/>
      <c r="K24" s="35"/>
      <c r="L24" s="41"/>
      <c r="M24" s="18"/>
      <c r="P24" s="1"/>
      <c r="Q24" s="1"/>
      <c r="R24" s="1"/>
    </row>
    <row r="25" spans="1:18" x14ac:dyDescent="0.25">
      <c r="A25">
        <v>18</v>
      </c>
      <c r="B25" s="18" t="s">
        <v>52</v>
      </c>
      <c r="C25" s="19" t="s">
        <v>42</v>
      </c>
      <c r="D25" s="20"/>
      <c r="E25" s="26">
        <v>152024.65</v>
      </c>
      <c r="F25" s="21"/>
      <c r="G25" s="24">
        <v>152025</v>
      </c>
      <c r="H25" s="18" t="s">
        <v>57</v>
      </c>
      <c r="I25" s="22"/>
      <c r="L25" s="11"/>
      <c r="M25" s="18"/>
      <c r="P25" s="1"/>
      <c r="Q25" s="1"/>
      <c r="R25" s="1"/>
    </row>
    <row r="26" spans="1:18" ht="15.75" thickBot="1" x14ac:dyDescent="0.3">
      <c r="A26">
        <v>19</v>
      </c>
      <c r="B26" s="18"/>
      <c r="C26" s="19"/>
      <c r="D26" s="23"/>
      <c r="E26" s="27"/>
      <c r="F26" s="18"/>
      <c r="G26" s="25"/>
      <c r="H26" s="22"/>
      <c r="I26" s="22"/>
      <c r="J26" s="22"/>
      <c r="K26" s="22"/>
      <c r="L26" s="1"/>
      <c r="M26" s="1"/>
      <c r="N26" s="1"/>
      <c r="O26" s="1"/>
      <c r="P26" s="1"/>
      <c r="Q26" s="1"/>
      <c r="R26" s="1"/>
    </row>
    <row r="27" spans="1:18" ht="15.75" thickTop="1" x14ac:dyDescent="0.25">
      <c r="A27">
        <v>20</v>
      </c>
      <c r="B27" s="1" t="s">
        <v>14</v>
      </c>
      <c r="C27" s="1"/>
      <c r="D27" s="1"/>
      <c r="E27" s="30">
        <f>SUM(E7:E26)</f>
        <v>14908023.43</v>
      </c>
      <c r="F27" s="31"/>
      <c r="G27" s="30">
        <f>SUM(G7:G26)</f>
        <v>11488613.42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28" customFormat="1" x14ac:dyDescent="0.25">
      <c r="B28" s="1"/>
      <c r="C28" s="1"/>
      <c r="D28" s="1"/>
      <c r="E28" s="11"/>
      <c r="F28" s="1"/>
      <c r="G28" s="1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28" customFormat="1" x14ac:dyDescent="0.25">
      <c r="B29" s="1"/>
      <c r="C29" s="1"/>
      <c r="D29" s="1"/>
      <c r="E29" s="11"/>
      <c r="F29" s="1"/>
      <c r="G29" s="1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1" spans="1:18" x14ac:dyDescent="0.25">
      <c r="A31" s="28">
        <v>28</v>
      </c>
      <c r="B31" s="28" t="s">
        <v>4</v>
      </c>
      <c r="C31" s="28" t="s">
        <v>83</v>
      </c>
      <c r="E31" s="12">
        <f>+E27</f>
        <v>14908023.43</v>
      </c>
      <c r="F31" s="28"/>
      <c r="G31" s="28"/>
      <c r="H31" s="28"/>
    </row>
    <row r="32" spans="1:18" x14ac:dyDescent="0.25">
      <c r="A32" s="28"/>
      <c r="B32" s="28"/>
      <c r="C32" s="28"/>
      <c r="E32" s="28"/>
      <c r="F32" s="28"/>
      <c r="G32" s="28"/>
      <c r="H32" s="28"/>
    </row>
    <row r="33" spans="1:16" x14ac:dyDescent="0.25">
      <c r="A33" s="28">
        <v>29</v>
      </c>
      <c r="B33" s="28" t="s">
        <v>5</v>
      </c>
      <c r="C33" s="28" t="s">
        <v>84</v>
      </c>
      <c r="E33" s="29">
        <f>+E31*0.0258</f>
        <v>384627.00449399999</v>
      </c>
      <c r="F33" s="29"/>
      <c r="G33" s="29">
        <f>+E33</f>
        <v>384627.00449399999</v>
      </c>
      <c r="H33" s="28"/>
    </row>
    <row r="34" spans="1:16" x14ac:dyDescent="0.25">
      <c r="A34" s="28">
        <v>30</v>
      </c>
      <c r="B34" s="28" t="s">
        <v>7</v>
      </c>
      <c r="C34" s="28" t="s">
        <v>85</v>
      </c>
      <c r="E34" s="29">
        <f>+E33/2+E33</f>
        <v>576940.50674099999</v>
      </c>
      <c r="F34" s="29"/>
      <c r="G34" s="29"/>
      <c r="H34" s="28"/>
    </row>
    <row r="35" spans="1:16" x14ac:dyDescent="0.25">
      <c r="A35" s="28">
        <v>31</v>
      </c>
      <c r="B35" s="28" t="s">
        <v>86</v>
      </c>
      <c r="C35" s="28" t="s">
        <v>87</v>
      </c>
      <c r="E35" s="29">
        <f>+H55</f>
        <v>1097155.9843308502</v>
      </c>
      <c r="F35" s="29"/>
      <c r="G35" s="29"/>
      <c r="H35" s="28"/>
    </row>
    <row r="36" spans="1:16" x14ac:dyDescent="0.25">
      <c r="A36" s="28">
        <v>32</v>
      </c>
      <c r="B36" s="28" t="s">
        <v>88</v>
      </c>
      <c r="C36" s="28" t="s">
        <v>89</v>
      </c>
      <c r="E36" s="29">
        <f>(+E35-E34)*0.35</f>
        <v>182075.41715644757</v>
      </c>
      <c r="F36" s="29"/>
      <c r="G36" s="29"/>
      <c r="H36" s="28"/>
    </row>
    <row r="37" spans="1:16" x14ac:dyDescent="0.25">
      <c r="A37" s="28">
        <v>33</v>
      </c>
      <c r="B37" s="28" t="s">
        <v>90</v>
      </c>
      <c r="C37" s="28"/>
      <c r="E37" s="29"/>
      <c r="F37" s="29"/>
      <c r="G37" s="29">
        <f>+E39*0.02648*0.35</f>
        <v>131133.00156655847</v>
      </c>
      <c r="H37" s="28"/>
    </row>
    <row r="38" spans="1:16" x14ac:dyDescent="0.25">
      <c r="A38" s="28">
        <v>34</v>
      </c>
      <c r="B38" s="28" t="s">
        <v>11</v>
      </c>
      <c r="C38" s="28" t="s">
        <v>91</v>
      </c>
      <c r="E38" s="29"/>
      <c r="F38" s="29"/>
      <c r="G38" s="29">
        <f>+G33*0.35</f>
        <v>134619.4515729</v>
      </c>
      <c r="H38" s="28"/>
    </row>
    <row r="39" spans="1:16" x14ac:dyDescent="0.25">
      <c r="A39" s="28">
        <v>35</v>
      </c>
      <c r="B39" s="28" t="s">
        <v>9</v>
      </c>
      <c r="C39" s="28"/>
      <c r="D39" s="28"/>
      <c r="E39" s="29">
        <f>+E27-E36-E34</f>
        <v>14149007.506102553</v>
      </c>
      <c r="F39" s="29"/>
      <c r="G39" s="29"/>
      <c r="H39" s="28"/>
    </row>
    <row r="40" spans="1:16" x14ac:dyDescent="0.25">
      <c r="A40" s="28">
        <v>36</v>
      </c>
      <c r="B40" s="28" t="s">
        <v>63</v>
      </c>
      <c r="C40" s="28"/>
      <c r="E40" s="5">
        <v>7.3499999999999996E-2</v>
      </c>
      <c r="F40" s="28"/>
      <c r="G40" s="28"/>
      <c r="H40" s="28"/>
    </row>
    <row r="41" spans="1:16" x14ac:dyDescent="0.25">
      <c r="A41" s="28"/>
      <c r="B41" s="28"/>
      <c r="C41" s="28"/>
      <c r="E41" s="28"/>
      <c r="F41" s="28"/>
      <c r="G41" s="28"/>
      <c r="H41" s="28"/>
    </row>
    <row r="42" spans="1:16" x14ac:dyDescent="0.25">
      <c r="A42" s="28">
        <v>37</v>
      </c>
      <c r="B42" s="28" t="s">
        <v>10</v>
      </c>
      <c r="C42" s="28" t="s">
        <v>92</v>
      </c>
      <c r="E42" s="14">
        <f>+E39*E40</f>
        <v>1039952.0516985375</v>
      </c>
      <c r="F42" s="14"/>
      <c r="G42" s="14">
        <f>+G33-G38-G37</f>
        <v>118874.55135454153</v>
      </c>
      <c r="H42" s="28"/>
    </row>
    <row r="43" spans="1:16" x14ac:dyDescent="0.25">
      <c r="A43" s="28">
        <v>38</v>
      </c>
      <c r="B43" s="28" t="s">
        <v>12</v>
      </c>
      <c r="C43" s="28" t="s">
        <v>93</v>
      </c>
      <c r="E43" s="14"/>
      <c r="F43" s="14"/>
      <c r="G43" s="14">
        <f>+G42+E42</f>
        <v>1158826.603053079</v>
      </c>
      <c r="H43" s="28"/>
    </row>
    <row r="44" spans="1:16" x14ac:dyDescent="0.25">
      <c r="A44" s="28">
        <v>39</v>
      </c>
      <c r="B44" s="28" t="s">
        <v>101</v>
      </c>
      <c r="C44" s="28"/>
      <c r="E44" s="28"/>
      <c r="F44" s="28"/>
      <c r="G44" s="28">
        <v>0.62095</v>
      </c>
      <c r="H44" s="28"/>
    </row>
    <row r="45" spans="1:16" x14ac:dyDescent="0.25">
      <c r="A45" s="28">
        <v>40</v>
      </c>
      <c r="B45" s="28" t="s">
        <v>94</v>
      </c>
      <c r="C45" s="28" t="s">
        <v>95</v>
      </c>
      <c r="E45" s="28"/>
      <c r="F45" s="28"/>
      <c r="G45" s="42">
        <f>+G43/G44</f>
        <v>1866215.642246685</v>
      </c>
      <c r="H45" s="28"/>
    </row>
    <row r="46" spans="1:16" x14ac:dyDescent="0.25">
      <c r="A46" s="28"/>
      <c r="B46" s="28"/>
      <c r="C46" s="28"/>
      <c r="E46" s="28"/>
      <c r="F46" s="28"/>
      <c r="G46" s="14"/>
      <c r="H46" s="28"/>
      <c r="I46" s="14"/>
      <c r="J46" s="14"/>
      <c r="K46" s="14"/>
      <c r="L46" s="14"/>
      <c r="M46" s="14"/>
      <c r="N46" s="14"/>
      <c r="O46" s="14"/>
      <c r="P46" s="14"/>
    </row>
    <row r="47" spans="1:16" x14ac:dyDescent="0.25">
      <c r="A47" s="28"/>
      <c r="B47" s="28"/>
      <c r="C47" s="28"/>
      <c r="E47" s="28"/>
      <c r="F47" s="28"/>
      <c r="G47" s="14"/>
      <c r="H47" s="28"/>
      <c r="I47" s="14"/>
      <c r="J47" s="14"/>
      <c r="K47" s="14"/>
      <c r="L47" s="14"/>
      <c r="M47" s="14"/>
      <c r="N47" s="14"/>
      <c r="O47" s="14"/>
      <c r="P47" s="14"/>
    </row>
    <row r="48" spans="1:16" x14ac:dyDescent="0.25">
      <c r="A48" s="28"/>
      <c r="B48" s="28"/>
      <c r="C48" s="28"/>
      <c r="E48" s="28"/>
      <c r="F48" s="28"/>
      <c r="G48" s="29"/>
      <c r="H48" s="28"/>
      <c r="I48" s="14"/>
      <c r="J48" s="14"/>
      <c r="K48" s="14"/>
      <c r="L48" s="14"/>
      <c r="M48" s="14"/>
      <c r="N48" s="14"/>
      <c r="O48" s="14"/>
      <c r="P48" s="14"/>
    </row>
    <row r="49" spans="1:16" x14ac:dyDescent="0.25">
      <c r="A49" s="28"/>
      <c r="B49" s="28"/>
      <c r="C49" s="28"/>
      <c r="E49" s="28"/>
      <c r="F49" s="28"/>
      <c r="G49" s="29"/>
      <c r="H49" s="28" t="s">
        <v>96</v>
      </c>
      <c r="I49" s="14"/>
      <c r="J49" s="14"/>
      <c r="K49" s="14"/>
      <c r="L49" s="14"/>
      <c r="M49" s="14"/>
      <c r="N49" s="14"/>
      <c r="O49" s="14"/>
      <c r="P49" s="14"/>
    </row>
    <row r="50" spans="1:16" x14ac:dyDescent="0.25">
      <c r="A50" s="28"/>
      <c r="B50" s="28"/>
      <c r="C50" s="28"/>
      <c r="E50" s="28"/>
      <c r="F50" s="28"/>
      <c r="G50" s="29"/>
      <c r="H50" s="28"/>
      <c r="I50" s="14" t="e">
        <f>+$E$48*#REF!</f>
        <v>#REF!</v>
      </c>
      <c r="J50" s="14"/>
      <c r="K50" s="14"/>
      <c r="L50" s="14"/>
      <c r="M50" s="14"/>
      <c r="N50" s="14"/>
      <c r="O50" s="14"/>
      <c r="P50" s="14"/>
    </row>
    <row r="51" spans="1:16" x14ac:dyDescent="0.25">
      <c r="A51" s="28"/>
      <c r="B51" s="28"/>
      <c r="C51" s="28" t="s">
        <v>97</v>
      </c>
      <c r="E51" s="28"/>
      <c r="F51" s="28"/>
      <c r="G51" s="29">
        <v>0</v>
      </c>
      <c r="H51" s="29">
        <f>+G51</f>
        <v>0</v>
      </c>
      <c r="I51" s="13">
        <v>0</v>
      </c>
      <c r="J51" s="13"/>
      <c r="K51" s="13"/>
      <c r="L51" s="13"/>
      <c r="M51" s="13"/>
      <c r="N51" s="13"/>
      <c r="O51" s="13"/>
      <c r="P51" s="13"/>
    </row>
    <row r="52" spans="1:16" x14ac:dyDescent="0.25">
      <c r="A52" s="28"/>
      <c r="B52" s="28" t="s">
        <v>98</v>
      </c>
      <c r="C52" s="28" t="s">
        <v>99</v>
      </c>
      <c r="E52" s="43">
        <v>3.7499999999999999E-2</v>
      </c>
      <c r="F52" s="28"/>
      <c r="G52" s="29">
        <f>+E31*E52</f>
        <v>559050.87862500001</v>
      </c>
      <c r="H52" s="29">
        <f>+G52</f>
        <v>559050.87862500001</v>
      </c>
      <c r="I52" s="13"/>
      <c r="J52" s="13"/>
      <c r="K52" s="13"/>
      <c r="L52" s="13"/>
      <c r="M52" s="13"/>
      <c r="N52" s="13"/>
      <c r="O52" s="13"/>
      <c r="P52" s="13"/>
    </row>
    <row r="53" spans="1:16" x14ac:dyDescent="0.25">
      <c r="A53" s="28"/>
      <c r="B53" s="28"/>
      <c r="C53" s="28" t="s">
        <v>100</v>
      </c>
      <c r="E53" s="43">
        <v>7.2190000000000004E-2</v>
      </c>
      <c r="F53" s="28"/>
      <c r="G53" s="29">
        <f>+E31*E53</f>
        <v>1076210.2114117001</v>
      </c>
      <c r="H53" s="29">
        <f>+G53/2</f>
        <v>538105.10570585006</v>
      </c>
      <c r="I53" s="13"/>
      <c r="J53" s="13"/>
      <c r="K53" s="13"/>
      <c r="L53" s="13"/>
      <c r="M53" s="13"/>
      <c r="N53" s="13"/>
      <c r="O53" s="13"/>
      <c r="P53" s="13"/>
    </row>
    <row r="54" spans="1:16" x14ac:dyDescent="0.25">
      <c r="E54" s="28"/>
      <c r="F54" s="28"/>
      <c r="G54" s="29"/>
      <c r="H54" s="29"/>
      <c r="I54" s="8"/>
      <c r="J54" s="8"/>
      <c r="K54" s="8"/>
      <c r="L54" s="8"/>
      <c r="M54" s="8"/>
      <c r="N54" s="8"/>
      <c r="O54" s="8"/>
      <c r="P54" s="8"/>
    </row>
    <row r="55" spans="1:16" x14ac:dyDescent="0.25">
      <c r="E55" s="28"/>
      <c r="F55" s="28"/>
      <c r="G55" s="29"/>
      <c r="H55" s="29">
        <f>+H52+H53+H51</f>
        <v>1097155.9843308502</v>
      </c>
    </row>
    <row r="56" spans="1:16" x14ac:dyDescent="0.25">
      <c r="G56" s="14"/>
    </row>
    <row r="57" spans="1:16" x14ac:dyDescent="0.25">
      <c r="G57" s="5"/>
    </row>
    <row r="60" spans="1:16" x14ac:dyDescent="0.25">
      <c r="G60" s="12"/>
    </row>
  </sheetData>
  <pageMargins left="0.45" right="0.45" top="0.25" bottom="0.25" header="0" footer="0"/>
  <pageSetup scale="5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2017-05-31T07:00:00+00:00</OpenedDate>
    <Date1 xmlns="dc463f71-b30c-4ab2-9473-d307f9d35888">2017-09-26T07:00:00+00:00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170674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38A63273BF7DD4B9B88CABF56E3202E" ma:contentTypeVersion="104" ma:contentTypeDescription="" ma:contentTypeScope="" ma:versionID="2efaccc823959c49e81f89e3934eb0e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BCBEE1-0D9C-4B82-B39F-1D62DAEE4631}">
  <ds:schemaRefs>
    <ds:schemaRef ds:uri="http://schemas.microsoft.com/office/2006/metadata/properties"/>
    <ds:schemaRef ds:uri="6a7bd91e-004b-490a-8704-e368d63d59a0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409B188-F896-4EE2-B461-04859A48E7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B1BADB-0590-4D95-9507-6DC74D011140}"/>
</file>

<file path=customXml/itemProps4.xml><?xml version="1.0" encoding="utf-8"?>
<ds:datastoreItem xmlns:ds="http://schemas.openxmlformats.org/officeDocument/2006/customXml" ds:itemID="{A6B96730-C603-49CE-A58D-4695A5E1ED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Rate Calculation</vt:lpstr>
      <vt:lpstr>2016 Rate Calculation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michael.parvinen</dc:creator>
  <cp:lastModifiedBy>Huey, Lorilyn (UTC)</cp:lastModifiedBy>
  <cp:lastPrinted>2017-09-25T18:08:53Z</cp:lastPrinted>
  <dcterms:created xsi:type="dcterms:W3CDTF">2013-05-14T16:54:39Z</dcterms:created>
  <dcterms:modified xsi:type="dcterms:W3CDTF">2017-09-26T15:18:24Z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0x0101006E56B4D1795A2E4DB2F0B01679ED314A00138A63273BF7DD4B9B88CABF56E3202E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