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8.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3.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customProperty13.bin" ContentType="application/vnd.openxmlformats-officedocument.spreadsheetml.customProperty"/>
  <Override PartName="/xl/externalLinks/externalLink1.xml" ContentType="application/vnd.openxmlformats-officedocument.spreadsheetml.externalLink+xml"/>
  <Override PartName="/xl/customProperty12.bin" ContentType="application/vnd.openxmlformats-officedocument.spreadsheetml.customProperty"/>
  <Override PartName="/xl/externalLinks/externalLink7.xml" ContentType="application/vnd.openxmlformats-officedocument.spreadsheetml.externalLink+xml"/>
  <Override PartName="/xl/comments2.xml" ContentType="application/vnd.openxmlformats-officedocument.spreadsheetml.comments+xml"/>
  <Override PartName="/xl/customProperty5.bin" ContentType="application/vnd.openxmlformats-officedocument.spreadsheetml.customProperty"/>
  <Override PartName="/xl/customProperty6.bin" ContentType="application/vnd.openxmlformats-officedocument.spreadsheetml.customProperty"/>
  <Override PartName="/xl/customProperty1.bin" ContentType="application/vnd.openxmlformats-officedocument.spreadsheetml.customProperty"/>
  <Override PartName="/xl/customProperty4.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7.bin" ContentType="application/vnd.openxmlformats-officedocument.spreadsheetml.customProperty"/>
  <Override PartName="/xl/comments3.xml" ContentType="application/vnd.openxmlformats-officedocument.spreadsheetml.comments+xml"/>
  <Override PartName="/xl/customProperty10.bin" ContentType="application/vnd.openxmlformats-officedocument.spreadsheetml.customProperty"/>
  <Override PartName="/xl/customProperty11.bin" ContentType="application/vnd.openxmlformats-officedocument.spreadsheetml.customProperty"/>
  <Override PartName="/xl/customProperty9.bin" ContentType="application/vnd.openxmlformats-officedocument.spreadsheetml.customProperty"/>
  <Override PartName="/xl/customProperty8.bin" ContentType="application/vnd.openxmlformats-officedocument.spreadsheetml.customProperty"/>
  <Override PartName="/xl/externalLinks/externalLink8.xml" ContentType="application/vnd.openxmlformats-officedocument.spreadsheetml.externalLink+xml"/>
  <Override PartName="/xl/comments4.xml" ContentType="application/vnd.openxmlformats-officedocument.spreadsheetml.comments+xml"/>
  <Override PartName="/xl/comments5.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80" yWindow="465" windowWidth="19455" windowHeight="11610" tabRatio="735" firstSheet="2" activeTab="2"/>
  </bookViews>
  <sheets>
    <sheet name="GAAP BS" sheetId="4" state="hidden" r:id="rId1"/>
    <sheet name="GAAP BS PE" sheetId="16" state="hidden" r:id="rId2"/>
    <sheet name="BS-PSE &amp; PE" sheetId="6" r:id="rId3"/>
    <sheet name="Adj" sheetId="15" state="hidden" r:id="rId4"/>
    <sheet name="PWI" sheetId="7" state="hidden" r:id="rId5"/>
    <sheet name="PWI II" sheetId="10" state="hidden" r:id="rId6"/>
    <sheet name="SAP-PSE" sheetId="2" state="hidden" r:id="rId7"/>
    <sheet name="SAP-PE" sheetId="14" state="hidden" r:id="rId8"/>
    <sheet name="PE Cap Sum" sheetId="17" state="hidden" r:id="rId9"/>
    <sheet name="Approval History" sheetId="3" state="hidden" r:id="rId10"/>
    <sheet name="Compatibility Report" sheetId="11" state="hidden" r:id="rId11"/>
    <sheet name="Consolidation Adj" sheetId="12" state="hidden" r:id="rId12"/>
    <sheet name="FERC Adj" sheetId="13"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3">Adj!$A$1:$O$38</definedName>
    <definedName name="_xlnm.Print_Area" localSheetId="2">'BS-PSE &amp; PE'!$A$1:$S$99</definedName>
    <definedName name="_xlnm.Print_Area" localSheetId="0">'GAAP BS'!$A$1:$G$80</definedName>
    <definedName name="_xlnm.Print_Area" localSheetId="1">'GAAP BS PE'!$A$1:$G$74</definedName>
    <definedName name="_xlnm.Print_Area" localSheetId="4">PWI!$A$1:$I$92</definedName>
    <definedName name="_xlnm.Print_Area" localSheetId="7">'SAP-PE'!$A$1:$E$147</definedName>
    <definedName name="_xlnm.Print_Area" localSheetId="6">'SAP-PSE'!$A$1:$D$133</definedName>
    <definedName name="_xlnm.Print_Titles" localSheetId="3">Adj!$A:$A</definedName>
    <definedName name="_xlnm.Print_Titles" localSheetId="2">'BS-PSE &amp; PE'!$A:$A</definedName>
    <definedName name="_xlnm.Print_Titles" localSheetId="4">PWI!$1:$2</definedName>
    <definedName name="_xlnm.Print_Titles" localSheetId="7">'SAP-PE'!$1:$4</definedName>
    <definedName name="_xlnm.Print_Titles" localSheetId="6">'SAP-PSE'!$1:$3</definedName>
  </definedNames>
  <calcPr calcId="145621" fullCalcOnLoad="1" fullPrecision="0"/>
</workbook>
</file>

<file path=xl/calcChain.xml><?xml version="1.0" encoding="utf-8"?>
<calcChain xmlns="http://schemas.openxmlformats.org/spreadsheetml/2006/main">
  <c r="F69" i="6" l="1"/>
  <c r="F21" i="6"/>
  <c r="F34" i="6" s="1"/>
  <c r="F55" i="6"/>
  <c r="N8" i="6"/>
  <c r="L11" i="6"/>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7" i="14"/>
  <c r="D108" i="14"/>
  <c r="D109" i="14"/>
  <c r="D110" i="14"/>
  <c r="D5" i="14"/>
  <c r="C64" i="6"/>
  <c r="C82" i="6"/>
  <c r="C31" i="6"/>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5" i="2"/>
  <c r="L63" i="6"/>
  <c r="L66" i="6"/>
  <c r="L67" i="6" s="1"/>
  <c r="G70" i="4"/>
  <c r="G64" i="16"/>
  <c r="G70" i="16"/>
  <c r="G71" i="16"/>
  <c r="N71" i="4"/>
  <c r="I136" i="6"/>
  <c r="T148" i="6" s="1"/>
  <c r="T166" i="6" s="1"/>
  <c r="I134" i="6"/>
  <c r="I132" i="6"/>
  <c r="I128" i="6"/>
  <c r="I126" i="6"/>
  <c r="I122" i="6"/>
  <c r="M160" i="6" s="1"/>
  <c r="I120" i="6"/>
  <c r="I118" i="6"/>
  <c r="I116" i="6"/>
  <c r="I114" i="6"/>
  <c r="H160" i="6" s="1"/>
  <c r="I109" i="6"/>
  <c r="I107" i="6"/>
  <c r="I105" i="6"/>
  <c r="C171" i="6" s="1"/>
  <c r="E5" i="17"/>
  <c r="L93" i="6"/>
  <c r="E37" i="10"/>
  <c r="E36" i="10"/>
  <c r="D32" i="10"/>
  <c r="D39" i="10"/>
  <c r="D41" i="10"/>
  <c r="B32" i="10"/>
  <c r="E30" i="10"/>
  <c r="E29" i="10"/>
  <c r="E32" i="10"/>
  <c r="D26" i="10"/>
  <c r="B26" i="10"/>
  <c r="B39" i="10"/>
  <c r="B41" i="10"/>
  <c r="E24" i="10"/>
  <c r="E23" i="10"/>
  <c r="E26" i="10"/>
  <c r="D20" i="10"/>
  <c r="B20" i="10"/>
  <c r="E19" i="10"/>
  <c r="E18" i="10"/>
  <c r="E17" i="10"/>
  <c r="E16" i="10"/>
  <c r="E15" i="10"/>
  <c r="E14" i="10"/>
  <c r="E13" i="10"/>
  <c r="E12" i="10"/>
  <c r="E11" i="10"/>
  <c r="E20" i="10"/>
  <c r="E80" i="10"/>
  <c r="D79" i="10"/>
  <c r="D82" i="10"/>
  <c r="D84" i="10"/>
  <c r="B79" i="10"/>
  <c r="B82" i="10"/>
  <c r="E78" i="10"/>
  <c r="E77" i="10"/>
  <c r="D73" i="10"/>
  <c r="D71" i="10"/>
  <c r="B71" i="10"/>
  <c r="B73" i="10"/>
  <c r="E70" i="10"/>
  <c r="E69" i="10"/>
  <c r="E68" i="10"/>
  <c r="E67" i="10"/>
  <c r="E71" i="10"/>
  <c r="E73" i="10"/>
  <c r="E66" i="10"/>
  <c r="D62" i="10"/>
  <c r="B62" i="10"/>
  <c r="E61" i="10"/>
  <c r="E60" i="10"/>
  <c r="E59" i="10"/>
  <c r="E58" i="10"/>
  <c r="E62" i="10"/>
  <c r="E57" i="10"/>
  <c r="K12" i="17"/>
  <c r="I12" i="17"/>
  <c r="C12" i="17"/>
  <c r="K11" i="17"/>
  <c r="I11" i="17"/>
  <c r="C11" i="17"/>
  <c r="K9" i="17"/>
  <c r="I9" i="17"/>
  <c r="C9" i="17"/>
  <c r="K8" i="17"/>
  <c r="I8" i="17"/>
  <c r="C8" i="17"/>
  <c r="K7" i="17"/>
  <c r="I7" i="17"/>
  <c r="C7" i="17"/>
  <c r="I5" i="17"/>
  <c r="J71" i="16"/>
  <c r="G69" i="16"/>
  <c r="G68" i="16"/>
  <c r="G67" i="16"/>
  <c r="G66" i="16"/>
  <c r="G65" i="16"/>
  <c r="G61" i="16"/>
  <c r="G60" i="16"/>
  <c r="G59" i="16"/>
  <c r="G58" i="16"/>
  <c r="G57" i="16"/>
  <c r="G56" i="16"/>
  <c r="G55" i="16"/>
  <c r="G53" i="16"/>
  <c r="G52" i="16"/>
  <c r="G51" i="16"/>
  <c r="G49" i="16"/>
  <c r="E49" i="16"/>
  <c r="G46" i="16"/>
  <c r="G45" i="16"/>
  <c r="G42" i="16"/>
  <c r="G43" i="16"/>
  <c r="G48" i="16"/>
  <c r="G36" i="16"/>
  <c r="G35" i="16"/>
  <c r="G34" i="16"/>
  <c r="G33" i="16"/>
  <c r="G32" i="16"/>
  <c r="G31" i="16"/>
  <c r="G30" i="16"/>
  <c r="G29" i="16"/>
  <c r="G28" i="16"/>
  <c r="E28" i="16"/>
  <c r="G25" i="16"/>
  <c r="G24" i="16"/>
  <c r="G23" i="16"/>
  <c r="G22" i="16"/>
  <c r="G21" i="16"/>
  <c r="G20" i="16"/>
  <c r="G19" i="16"/>
  <c r="G18" i="16"/>
  <c r="G17" i="16"/>
  <c r="G16" i="16"/>
  <c r="G15" i="16"/>
  <c r="G14" i="16"/>
  <c r="G11" i="16"/>
  <c r="G10" i="16"/>
  <c r="G7" i="16"/>
  <c r="G6" i="16"/>
  <c r="G5" i="16"/>
  <c r="G4" i="16"/>
  <c r="D70" i="15"/>
  <c r="D76" i="15"/>
  <c r="D77" i="15"/>
  <c r="Z75" i="15"/>
  <c r="X74" i="15"/>
  <c r="X76" i="15"/>
  <c r="N74" i="15"/>
  <c r="N76" i="15"/>
  <c r="L74" i="15"/>
  <c r="L76" i="15"/>
  <c r="D74" i="15"/>
  <c r="Z73" i="15"/>
  <c r="Z71" i="15"/>
  <c r="O70" i="15"/>
  <c r="O76" i="15"/>
  <c r="I70" i="15"/>
  <c r="I76" i="15"/>
  <c r="Z68" i="15"/>
  <c r="W66" i="15"/>
  <c r="Z66" i="15"/>
  <c r="D76" i="6"/>
  <c r="F64" i="15"/>
  <c r="Z64" i="15"/>
  <c r="D73" i="6"/>
  <c r="F63" i="15"/>
  <c r="Z63" i="15"/>
  <c r="D63" i="6"/>
  <c r="F61" i="15"/>
  <c r="D61" i="15"/>
  <c r="X60" i="15"/>
  <c r="X61" i="15"/>
  <c r="N60" i="15"/>
  <c r="N61" i="15"/>
  <c r="V59" i="15"/>
  <c r="V74" i="15"/>
  <c r="V76" i="15"/>
  <c r="U59" i="15"/>
  <c r="U61" i="15"/>
  <c r="S59" i="15"/>
  <c r="S74" i="15"/>
  <c r="S76" i="15"/>
  <c r="L59" i="15"/>
  <c r="L61" i="15"/>
  <c r="Z58" i="15"/>
  <c r="D48" i="6"/>
  <c r="I48" i="6" s="1"/>
  <c r="R56" i="15"/>
  <c r="R74" i="15"/>
  <c r="Z55" i="15"/>
  <c r="W53" i="15"/>
  <c r="Z53" i="15"/>
  <c r="D30" i="6"/>
  <c r="Z52" i="15"/>
  <c r="D29" i="6"/>
  <c r="Z51" i="15"/>
  <c r="D25" i="6"/>
  <c r="Z50" i="15"/>
  <c r="D23" i="6"/>
  <c r="O49" i="15"/>
  <c r="Z49" i="15"/>
  <c r="D22" i="6"/>
  <c r="Z48" i="15"/>
  <c r="D21" i="6"/>
  <c r="Y47" i="15"/>
  <c r="Y65" i="15"/>
  <c r="I47" i="15"/>
  <c r="I61" i="15"/>
  <c r="I77" i="15"/>
  <c r="R68" i="6"/>
  <c r="R61" i="6"/>
  <c r="Q94" i="6"/>
  <c r="Q83" i="6"/>
  <c r="Q66" i="6"/>
  <c r="Q60" i="6"/>
  <c r="Q54" i="6"/>
  <c r="Q34" i="6"/>
  <c r="Q17" i="6"/>
  <c r="Q18" i="6"/>
  <c r="Q12" i="6"/>
  <c r="P22" i="6"/>
  <c r="P34" i="6" s="1"/>
  <c r="O94" i="6"/>
  <c r="O83" i="6"/>
  <c r="O66" i="6"/>
  <c r="O60" i="6"/>
  <c r="O67" i="6"/>
  <c r="O95" i="6" s="1"/>
  <c r="O54" i="6"/>
  <c r="O34" i="6"/>
  <c r="O17" i="6"/>
  <c r="O18" i="6" s="1"/>
  <c r="O55" i="6" s="1"/>
  <c r="O12" i="6"/>
  <c r="P94" i="6"/>
  <c r="P83" i="6"/>
  <c r="P66" i="6"/>
  <c r="P54" i="6"/>
  <c r="P12" i="6"/>
  <c r="N92" i="6"/>
  <c r="N91" i="6"/>
  <c r="N81" i="6"/>
  <c r="N51" i="6"/>
  <c r="N37" i="6"/>
  <c r="M94" i="6"/>
  <c r="M76" i="6"/>
  <c r="M83" i="6"/>
  <c r="M66" i="6"/>
  <c r="M60" i="6"/>
  <c r="M67" i="6" s="1"/>
  <c r="M95" i="6"/>
  <c r="M48" i="6"/>
  <c r="M37" i="6"/>
  <c r="R37" i="6" s="1"/>
  <c r="M21" i="6"/>
  <c r="M18" i="6"/>
  <c r="M12" i="6"/>
  <c r="L92" i="6"/>
  <c r="R92" i="6"/>
  <c r="E68" i="16"/>
  <c r="L91" i="6"/>
  <c r="R91" i="6" s="1"/>
  <c r="E67" i="16" s="1"/>
  <c r="L90" i="6"/>
  <c r="L86" i="6"/>
  <c r="L85" i="6"/>
  <c r="L65" i="6"/>
  <c r="L69" i="6"/>
  <c r="L78" i="6"/>
  <c r="L79" i="6"/>
  <c r="L81" i="6"/>
  <c r="L83" i="6"/>
  <c r="L58" i="6"/>
  <c r="L60" i="6"/>
  <c r="L47" i="6"/>
  <c r="L48" i="6"/>
  <c r="L50" i="6"/>
  <c r="L51" i="6"/>
  <c r="R51" i="6"/>
  <c r="E35" i="16" s="1"/>
  <c r="L53" i="6"/>
  <c r="R53" i="6" s="1"/>
  <c r="E36" i="16" s="1"/>
  <c r="L38" i="6"/>
  <c r="L32" i="6"/>
  <c r="L29" i="6"/>
  <c r="L28" i="6"/>
  <c r="R28" i="6" s="1"/>
  <c r="E21" i="16" s="1"/>
  <c r="L22" i="6"/>
  <c r="L20" i="6"/>
  <c r="L15" i="6"/>
  <c r="L9" i="6"/>
  <c r="L10" i="6"/>
  <c r="L8" i="6"/>
  <c r="I47" i="6"/>
  <c r="N47" i="6"/>
  <c r="I32" i="6"/>
  <c r="N32" i="6" s="1"/>
  <c r="I15" i="6"/>
  <c r="N15" i="6"/>
  <c r="D12" i="6"/>
  <c r="C26" i="6"/>
  <c r="N12" i="15" s="1"/>
  <c r="K56" i="15"/>
  <c r="C93" i="6"/>
  <c r="C90" i="6"/>
  <c r="C87" i="6"/>
  <c r="C86" i="6"/>
  <c r="I86" i="6"/>
  <c r="N86" i="6" s="1"/>
  <c r="E71" i="4"/>
  <c r="C85" i="6"/>
  <c r="C80" i="6"/>
  <c r="C79" i="6"/>
  <c r="C78" i="6"/>
  <c r="I78" i="6" s="1"/>
  <c r="E64" i="4" s="1"/>
  <c r="N78" i="6"/>
  <c r="R78" i="6" s="1"/>
  <c r="E58" i="16" s="1"/>
  <c r="C77" i="6"/>
  <c r="I77" i="6"/>
  <c r="N77" i="6" s="1"/>
  <c r="R77" i="6" s="1"/>
  <c r="E57" i="16" s="1"/>
  <c r="C76" i="6"/>
  <c r="I76" i="6" s="1"/>
  <c r="C75" i="6"/>
  <c r="C73" i="6"/>
  <c r="I73" i="6" s="1"/>
  <c r="N73" i="6" s="1"/>
  <c r="R73" i="6" s="1"/>
  <c r="E53" i="16" s="1"/>
  <c r="G12" i="17" s="1"/>
  <c r="C72" i="6"/>
  <c r="C71" i="6"/>
  <c r="I71" i="6"/>
  <c r="C70" i="6"/>
  <c r="I70" i="6" s="1"/>
  <c r="N70" i="6" s="1"/>
  <c r="R70" i="6" s="1"/>
  <c r="C69" i="6"/>
  <c r="C63" i="6"/>
  <c r="C62" i="6"/>
  <c r="C66" i="6" s="1"/>
  <c r="C59" i="6"/>
  <c r="I59" i="6" s="1"/>
  <c r="N59" i="6" s="1"/>
  <c r="R59" i="6" s="1"/>
  <c r="C58" i="6"/>
  <c r="I58" i="6" s="1"/>
  <c r="C53" i="6"/>
  <c r="C50" i="6"/>
  <c r="I50" i="6"/>
  <c r="C48" i="6"/>
  <c r="C40" i="6"/>
  <c r="C54" i="6" s="1"/>
  <c r="C38" i="6"/>
  <c r="I130" i="6"/>
  <c r="C33" i="6"/>
  <c r="I33" i="6"/>
  <c r="N33" i="6" s="1"/>
  <c r="R33" i="6" s="1"/>
  <c r="C30" i="6"/>
  <c r="I30" i="6"/>
  <c r="N30" i="6" s="1"/>
  <c r="C29" i="6"/>
  <c r="I29" i="6"/>
  <c r="E23" i="4" s="1"/>
  <c r="C28" i="6"/>
  <c r="C27" i="6"/>
  <c r="I27" i="6"/>
  <c r="E21" i="4" s="1"/>
  <c r="C25" i="6"/>
  <c r="I25" i="6" s="1"/>
  <c r="N25" i="6" s="1"/>
  <c r="R25" i="6" s="1"/>
  <c r="E18" i="16" s="1"/>
  <c r="C24" i="6"/>
  <c r="I24" i="6" s="1"/>
  <c r="E18" i="4" s="1"/>
  <c r="C23" i="6"/>
  <c r="C22" i="6"/>
  <c r="I22" i="6" s="1"/>
  <c r="E16" i="4" s="1"/>
  <c r="C21" i="6"/>
  <c r="C20" i="6"/>
  <c r="I20" i="6" s="1"/>
  <c r="N20" i="6" s="1"/>
  <c r="C18" i="6"/>
  <c r="C17" i="6"/>
  <c r="C11" i="6"/>
  <c r="I11" i="6" s="1"/>
  <c r="C10" i="6"/>
  <c r="C9" i="6"/>
  <c r="C12" i="6" s="1"/>
  <c r="C8" i="6"/>
  <c r="I12" i="6"/>
  <c r="I8" i="6"/>
  <c r="C36" i="7"/>
  <c r="U151" i="6"/>
  <c r="U169" i="6"/>
  <c r="U172" i="6"/>
  <c r="U174" i="6"/>
  <c r="U176" i="6"/>
  <c r="U152" i="6"/>
  <c r="U153" i="6"/>
  <c r="U156" i="6"/>
  <c r="U159" i="6"/>
  <c r="U149" i="6"/>
  <c r="F12" i="6"/>
  <c r="C78" i="7"/>
  <c r="C75" i="7"/>
  <c r="E76" i="7"/>
  <c r="C70" i="7"/>
  <c r="E88" i="7"/>
  <c r="C68" i="7"/>
  <c r="C63" i="7"/>
  <c r="C64" i="7"/>
  <c r="C65" i="7"/>
  <c r="E56" i="7"/>
  <c r="G57" i="7"/>
  <c r="G76" i="4"/>
  <c r="G75" i="4"/>
  <c r="G72" i="4"/>
  <c r="G71" i="4"/>
  <c r="G67" i="4"/>
  <c r="G65" i="4"/>
  <c r="G64" i="4"/>
  <c r="G63" i="4"/>
  <c r="G62" i="4"/>
  <c r="G61" i="4"/>
  <c r="G59" i="4"/>
  <c r="G58" i="4"/>
  <c r="G57" i="4"/>
  <c r="G55" i="4"/>
  <c r="G51" i="4"/>
  <c r="G48" i="4"/>
  <c r="G45" i="4"/>
  <c r="G39" i="4"/>
  <c r="G38" i="4"/>
  <c r="G37" i="4"/>
  <c r="G30" i="4"/>
  <c r="G28" i="4"/>
  <c r="G25" i="4"/>
  <c r="G23" i="4"/>
  <c r="G22" i="4"/>
  <c r="G21" i="4"/>
  <c r="G20" i="4"/>
  <c r="G19" i="4"/>
  <c r="G17" i="4"/>
  <c r="G16" i="4"/>
  <c r="G15" i="4"/>
  <c r="G14" i="4"/>
  <c r="G11" i="4"/>
  <c r="G7" i="4"/>
  <c r="G6" i="4"/>
  <c r="G5" i="4"/>
  <c r="G4" i="4"/>
  <c r="G8" i="4"/>
  <c r="G24" i="4"/>
  <c r="I79" i="6"/>
  <c r="I112" i="6"/>
  <c r="I10" i="6"/>
  <c r="E6" i="4" s="1"/>
  <c r="C62" i="7"/>
  <c r="F83" i="6"/>
  <c r="O160" i="6"/>
  <c r="O175" i="6" s="1"/>
  <c r="O177" i="6" s="1"/>
  <c r="G46" i="4"/>
  <c r="A3" i="10"/>
  <c r="A47" i="10"/>
  <c r="B2" i="7"/>
  <c r="E11" i="7"/>
  <c r="I89" i="6"/>
  <c r="E74" i="4" s="1"/>
  <c r="I88" i="6"/>
  <c r="N88" i="6" s="1"/>
  <c r="R88" i="6" s="1"/>
  <c r="I74" i="6"/>
  <c r="N74" i="6"/>
  <c r="R74" i="6" s="1"/>
  <c r="I49" i="6"/>
  <c r="N49" i="6" s="1"/>
  <c r="R49" i="6"/>
  <c r="I46" i="6"/>
  <c r="I45" i="6"/>
  <c r="N45" i="6"/>
  <c r="R45" i="6"/>
  <c r="I44" i="6"/>
  <c r="N44" i="6" s="1"/>
  <c r="R44" i="6" s="1"/>
  <c r="E34" i="4"/>
  <c r="I43" i="6"/>
  <c r="I42" i="6"/>
  <c r="I41" i="6"/>
  <c r="N41" i="6" s="1"/>
  <c r="R41" i="6"/>
  <c r="I39" i="6"/>
  <c r="I16" i="6"/>
  <c r="N16" i="6"/>
  <c r="R16" i="6"/>
  <c r="I14" i="6"/>
  <c r="I13" i="6"/>
  <c r="F66" i="6"/>
  <c r="F60" i="6"/>
  <c r="F67" i="6" s="1"/>
  <c r="F18" i="6"/>
  <c r="E79" i="7"/>
  <c r="G93" i="6"/>
  <c r="G94" i="6" s="1"/>
  <c r="C61" i="7"/>
  <c r="C43" i="7"/>
  <c r="G44" i="7"/>
  <c r="C37" i="7"/>
  <c r="C35" i="7"/>
  <c r="E39" i="7"/>
  <c r="G31" i="6"/>
  <c r="I31" i="6"/>
  <c r="C29" i="7"/>
  <c r="E30" i="7"/>
  <c r="G22" i="6"/>
  <c r="C25" i="7"/>
  <c r="E26" i="7"/>
  <c r="G21" i="6"/>
  <c r="G34" i="6" s="1"/>
  <c r="C22" i="7"/>
  <c r="C21" i="7"/>
  <c r="C19" i="7"/>
  <c r="E14" i="7"/>
  <c r="E13" i="7"/>
  <c r="E12" i="7"/>
  <c r="E10" i="7"/>
  <c r="E33" i="7"/>
  <c r="G74" i="4"/>
  <c r="G73" i="4"/>
  <c r="G66" i="4"/>
  <c r="G56" i="4"/>
  <c r="G50" i="4"/>
  <c r="G49" i="4"/>
  <c r="G52" i="4"/>
  <c r="G36" i="4"/>
  <c r="G34" i="4"/>
  <c r="G32" i="4"/>
  <c r="G29" i="4"/>
  <c r="G18" i="4"/>
  <c r="G26" i="4"/>
  <c r="I72" i="6"/>
  <c r="E58" i="4" s="1"/>
  <c r="E56" i="4"/>
  <c r="E66" i="4"/>
  <c r="D164" i="6"/>
  <c r="U164" i="6" s="1"/>
  <c r="F171" i="6"/>
  <c r="F177" i="6"/>
  <c r="P160" i="6"/>
  <c r="P175" i="6" s="1"/>
  <c r="P177" i="6" s="1"/>
  <c r="D165" i="6"/>
  <c r="U165" i="6" s="1"/>
  <c r="R167" i="6"/>
  <c r="R177" i="6" s="1"/>
  <c r="R178" i="6" s="1"/>
  <c r="U167" i="6"/>
  <c r="H175" i="6"/>
  <c r="H177" i="6" s="1"/>
  <c r="L157" i="6"/>
  <c r="L162" i="6" s="1"/>
  <c r="L175" i="6"/>
  <c r="L177" i="6" s="1"/>
  <c r="L178" i="6" s="1"/>
  <c r="M175" i="6"/>
  <c r="M177" i="6" s="1"/>
  <c r="R154" i="6"/>
  <c r="U154" i="6"/>
  <c r="U150" i="6"/>
  <c r="H162" i="6"/>
  <c r="F148" i="6"/>
  <c r="D162" i="6"/>
  <c r="C162" i="6"/>
  <c r="E31" i="4"/>
  <c r="E35" i="4"/>
  <c r="I61" i="6"/>
  <c r="D18" i="6"/>
  <c r="H34" i="6"/>
  <c r="E55" i="6"/>
  <c r="D60" i="6"/>
  <c r="E60" i="6"/>
  <c r="E95" i="6" s="1"/>
  <c r="E96" i="6" s="1"/>
  <c r="E66" i="6"/>
  <c r="H66" i="6"/>
  <c r="E83" i="6"/>
  <c r="H83" i="6"/>
  <c r="E94" i="6"/>
  <c r="C175" i="6"/>
  <c r="F54" i="6"/>
  <c r="F93" i="6"/>
  <c r="F94" i="6" s="1"/>
  <c r="F95" i="6"/>
  <c r="F96" i="6" s="1"/>
  <c r="D177" i="6"/>
  <c r="D178" i="6" s="1"/>
  <c r="G35" i="4"/>
  <c r="G33" i="4"/>
  <c r="G31" i="4"/>
  <c r="G77" i="4"/>
  <c r="G12" i="4"/>
  <c r="G63" i="6"/>
  <c r="G65" i="6"/>
  <c r="M162" i="6"/>
  <c r="G15" i="7"/>
  <c r="G17" i="6"/>
  <c r="G18" i="6" s="1"/>
  <c r="G76" i="6"/>
  <c r="E23" i="7"/>
  <c r="G52" i="6"/>
  <c r="H52" i="6"/>
  <c r="H54" i="6" s="1"/>
  <c r="F162" i="6"/>
  <c r="F178" i="6" s="1"/>
  <c r="Q155" i="6"/>
  <c r="U155" i="6" s="1"/>
  <c r="Q170" i="6"/>
  <c r="Q177" i="6" s="1"/>
  <c r="U170" i="6"/>
  <c r="Q55" i="6"/>
  <c r="K61" i="15"/>
  <c r="Z60" i="15"/>
  <c r="R61" i="15"/>
  <c r="V61" i="15"/>
  <c r="Y61" i="15"/>
  <c r="Z70" i="15"/>
  <c r="D82" i="6"/>
  <c r="I82" i="6" s="1"/>
  <c r="U74" i="15"/>
  <c r="U76" i="15"/>
  <c r="U77" i="15"/>
  <c r="F76" i="15"/>
  <c r="F77" i="15"/>
  <c r="W76" i="15"/>
  <c r="Z47" i="15"/>
  <c r="D20" i="6"/>
  <c r="Z59" i="15"/>
  <c r="D53" i="6"/>
  <c r="I53" i="6"/>
  <c r="E39" i="4" s="1"/>
  <c r="S61" i="15"/>
  <c r="L17" i="6"/>
  <c r="L18" i="6" s="1"/>
  <c r="I38" i="6"/>
  <c r="E28" i="4" s="1"/>
  <c r="I64" i="6"/>
  <c r="C98" i="6" s="1"/>
  <c r="N64" i="6"/>
  <c r="R64" i="6" s="1"/>
  <c r="L98" i="6" s="1"/>
  <c r="N72" i="6"/>
  <c r="R72" i="6" s="1"/>
  <c r="E41" i="10"/>
  <c r="E39" i="10"/>
  <c r="G40" i="7"/>
  <c r="G46" i="7"/>
  <c r="G80" i="7"/>
  <c r="E89" i="7"/>
  <c r="E90" i="7"/>
  <c r="G85" i="6"/>
  <c r="B84" i="10"/>
  <c r="E53" i="7"/>
  <c r="E79" i="10"/>
  <c r="E82" i="10"/>
  <c r="E84" i="10"/>
  <c r="G66" i="6"/>
  <c r="E66" i="7"/>
  <c r="E71" i="7"/>
  <c r="G69" i="6"/>
  <c r="G83" i="6" s="1"/>
  <c r="G72" i="7"/>
  <c r="H85" i="6"/>
  <c r="H94" i="6"/>
  <c r="H95" i="6" s="1"/>
  <c r="G54" i="6"/>
  <c r="G20" i="6"/>
  <c r="I15" i="17"/>
  <c r="I10" i="17"/>
  <c r="I13" i="17"/>
  <c r="I16" i="17"/>
  <c r="C10" i="17"/>
  <c r="C13" i="17"/>
  <c r="C16" i="17"/>
  <c r="K10" i="17"/>
  <c r="K13" i="17"/>
  <c r="K16" i="17"/>
  <c r="G47" i="16"/>
  <c r="G62" i="16"/>
  <c r="G8" i="16"/>
  <c r="G12" i="16"/>
  <c r="G26" i="16"/>
  <c r="G37" i="16"/>
  <c r="G38" i="16"/>
  <c r="N38" i="6"/>
  <c r="R38" i="6" s="1"/>
  <c r="E30" i="16" s="1"/>
  <c r="G58" i="6"/>
  <c r="H58" i="6"/>
  <c r="H17" i="6" s="1"/>
  <c r="H18" i="6" s="1"/>
  <c r="H55" i="6" s="1"/>
  <c r="H96" i="6" s="1"/>
  <c r="G54" i="7"/>
  <c r="G82" i="7"/>
  <c r="G85" i="7"/>
  <c r="I85" i="6"/>
  <c r="K15" i="17"/>
  <c r="C15" i="17"/>
  <c r="C17" i="17"/>
  <c r="G60" i="6"/>
  <c r="H60" i="6"/>
  <c r="H67" i="6" s="1"/>
  <c r="T162" i="6"/>
  <c r="W61" i="15"/>
  <c r="W77" i="15"/>
  <c r="G40" i="4"/>
  <c r="G41" i="4"/>
  <c r="G68" i="4"/>
  <c r="G53" i="4"/>
  <c r="L12" i="6"/>
  <c r="R81" i="6"/>
  <c r="E60" i="16"/>
  <c r="L77" i="15"/>
  <c r="N77" i="15"/>
  <c r="S77" i="15"/>
  <c r="V77" i="15"/>
  <c r="X77" i="15"/>
  <c r="N53" i="6"/>
  <c r="Y76" i="15"/>
  <c r="Z65" i="15"/>
  <c r="D69" i="6"/>
  <c r="E24" i="4"/>
  <c r="R76" i="15"/>
  <c r="R77" i="15"/>
  <c r="Z74" i="15"/>
  <c r="D93" i="6"/>
  <c r="D66" i="6"/>
  <c r="D65" i="6"/>
  <c r="D67" i="6"/>
  <c r="O61" i="15"/>
  <c r="O77" i="15"/>
  <c r="I21" i="6"/>
  <c r="E15" i="4" s="1"/>
  <c r="I23" i="6"/>
  <c r="M34" i="6"/>
  <c r="M55" i="6" s="1"/>
  <c r="R162" i="6"/>
  <c r="M30" i="6"/>
  <c r="R30" i="6" s="1"/>
  <c r="E23" i="16" s="1"/>
  <c r="M54" i="6"/>
  <c r="Z69" i="15"/>
  <c r="D80" i="6"/>
  <c r="N24" i="6"/>
  <c r="R24" i="6" s="1"/>
  <c r="Q162" i="6"/>
  <c r="Q178" i="6" s="1"/>
  <c r="N27" i="6"/>
  <c r="R27" i="6" s="1"/>
  <c r="E20" i="16"/>
  <c r="E63" i="4"/>
  <c r="Z54" i="15"/>
  <c r="I80" i="6"/>
  <c r="N80" i="6"/>
  <c r="R80" i="6"/>
  <c r="Z56" i="15"/>
  <c r="D26" i="6" s="1"/>
  <c r="I26" i="6" s="1"/>
  <c r="E20" i="4" s="1"/>
  <c r="D34" i="6"/>
  <c r="N11" i="6"/>
  <c r="R11" i="6" s="1"/>
  <c r="E7" i="16" s="1"/>
  <c r="E7" i="4"/>
  <c r="E14" i="4"/>
  <c r="N22" i="6"/>
  <c r="E4" i="4"/>
  <c r="N10" i="6"/>
  <c r="R10" i="6" s="1"/>
  <c r="K67" i="15"/>
  <c r="I28" i="6"/>
  <c r="N28" i="6" s="1"/>
  <c r="C65" i="6"/>
  <c r="I65" i="6" s="1"/>
  <c r="E51" i="4"/>
  <c r="E9" i="17" s="1"/>
  <c r="I63" i="6"/>
  <c r="N71" i="6"/>
  <c r="R71" i="6" s="1"/>
  <c r="E52" i="16" s="1"/>
  <c r="G11" i="17" s="1"/>
  <c r="E57" i="4"/>
  <c r="E22" i="4"/>
  <c r="E11" i="17"/>
  <c r="N63" i="6"/>
  <c r="N66" i="6" s="1"/>
  <c r="C97" i="6"/>
  <c r="C99" i="6"/>
  <c r="E6" i="16"/>
  <c r="R63" i="6"/>
  <c r="L97" i="6" s="1"/>
  <c r="L99" i="6" s="1"/>
  <c r="G78" i="4"/>
  <c r="J78" i="4"/>
  <c r="N21" i="6"/>
  <c r="R21" i="6" s="1"/>
  <c r="E15" i="16" s="1"/>
  <c r="M178" i="6" l="1"/>
  <c r="Z67" i="15"/>
  <c r="K76" i="15"/>
  <c r="K77" i="15"/>
  <c r="E45" i="4"/>
  <c r="N58" i="6"/>
  <c r="I60" i="6"/>
  <c r="H178" i="6"/>
  <c r="I18" i="6"/>
  <c r="R20" i="6"/>
  <c r="E29" i="4"/>
  <c r="N39" i="6"/>
  <c r="N79" i="6"/>
  <c r="R79" i="6" s="1"/>
  <c r="E59" i="16" s="1"/>
  <c r="E65" i="4"/>
  <c r="I93" i="6"/>
  <c r="C34" i="6"/>
  <c r="R22" i="6"/>
  <c r="E16" i="16" s="1"/>
  <c r="C83" i="6"/>
  <c r="E59" i="4"/>
  <c r="E12" i="17" s="1"/>
  <c r="O162" i="6"/>
  <c r="O178" i="6" s="1"/>
  <c r="R15" i="6"/>
  <c r="N29" i="6"/>
  <c r="R29" i="6" s="1"/>
  <c r="E22" i="16" s="1"/>
  <c r="E70" i="4"/>
  <c r="N85" i="6"/>
  <c r="E25" i="4"/>
  <c r="E26" i="4" s="1"/>
  <c r="N31" i="6"/>
  <c r="R31" i="6" s="1"/>
  <c r="E24" i="16" s="1"/>
  <c r="I62" i="6"/>
  <c r="I9" i="6"/>
  <c r="E62" i="4"/>
  <c r="N76" i="6"/>
  <c r="R76" i="6" s="1"/>
  <c r="E56" i="16" s="1"/>
  <c r="R8" i="6"/>
  <c r="R47" i="6"/>
  <c r="E32" i="16" s="1"/>
  <c r="L54" i="6"/>
  <c r="Q67" i="6"/>
  <c r="Q95" i="6" s="1"/>
  <c r="E37" i="4"/>
  <c r="N48" i="6"/>
  <c r="R48" i="6" s="1"/>
  <c r="E33" i="16" s="1"/>
  <c r="U160" i="6"/>
  <c r="S175" i="6"/>
  <c r="S177" i="6" s="1"/>
  <c r="S161" i="6"/>
  <c r="S162" i="6" s="1"/>
  <c r="R66" i="6"/>
  <c r="E46" i="16" s="1"/>
  <c r="G9" i="17" s="1"/>
  <c r="G95" i="6"/>
  <c r="G67" i="6"/>
  <c r="N42" i="6"/>
  <c r="R42" i="6" s="1"/>
  <c r="E32" i="4"/>
  <c r="G168" i="6"/>
  <c r="G157" i="6"/>
  <c r="L94" i="6"/>
  <c r="L95" i="6" s="1"/>
  <c r="R86" i="6"/>
  <c r="E65" i="16" s="1"/>
  <c r="I69" i="6"/>
  <c r="E67" i="4"/>
  <c r="N82" i="6"/>
  <c r="R82" i="6" s="1"/>
  <c r="E61" i="16" s="1"/>
  <c r="N43" i="6"/>
  <c r="R43" i="6" s="1"/>
  <c r="E33" i="4"/>
  <c r="I124" i="6"/>
  <c r="N158" i="6" s="1"/>
  <c r="N24" i="15"/>
  <c r="T57" i="15" s="1"/>
  <c r="N26" i="6"/>
  <c r="R26" i="6" s="1"/>
  <c r="E19" i="16" s="1"/>
  <c r="E19" i="4"/>
  <c r="E17" i="4"/>
  <c r="N23" i="6"/>
  <c r="R23" i="6" s="1"/>
  <c r="E17" i="16" s="1"/>
  <c r="G55" i="6"/>
  <c r="G96" i="6" s="1"/>
  <c r="N46" i="6"/>
  <c r="R46" i="6" s="1"/>
  <c r="E36" i="4"/>
  <c r="C55" i="6"/>
  <c r="I34" i="6"/>
  <c r="E38" i="4"/>
  <c r="N50" i="6"/>
  <c r="R50" i="6" s="1"/>
  <c r="E34" i="16" s="1"/>
  <c r="C60" i="6"/>
  <c r="C67" i="6" s="1"/>
  <c r="C95" i="6" s="1"/>
  <c r="I90" i="6"/>
  <c r="C94" i="6"/>
  <c r="C177" i="6"/>
  <c r="C178" i="6" s="1"/>
  <c r="U171" i="6"/>
  <c r="I175" i="6"/>
  <c r="I177" i="6" s="1"/>
  <c r="I161" i="6"/>
  <c r="U166" i="6"/>
  <c r="T177" i="6"/>
  <c r="I52" i="6"/>
  <c r="N52" i="6" s="1"/>
  <c r="R52" i="6" s="1"/>
  <c r="P162" i="6"/>
  <c r="P178" i="6" s="1"/>
  <c r="N89" i="6"/>
  <c r="R89" i="6" s="1"/>
  <c r="I17" i="6"/>
  <c r="L34" i="6"/>
  <c r="R32" i="6"/>
  <c r="E25" i="16" s="1"/>
  <c r="U148" i="6"/>
  <c r="U162" i="6" s="1"/>
  <c r="S178" i="6" l="1"/>
  <c r="E14" i="16"/>
  <c r="E26" i="16" s="1"/>
  <c r="R34" i="6"/>
  <c r="P58" i="6"/>
  <c r="R58" i="6"/>
  <c r="N60" i="6"/>
  <c r="N173" i="6"/>
  <c r="N162" i="6"/>
  <c r="U158" i="6"/>
  <c r="U157" i="6"/>
  <c r="G162" i="6"/>
  <c r="E5" i="4"/>
  <c r="E8" i="4" s="1"/>
  <c r="N9" i="6"/>
  <c r="R85" i="6"/>
  <c r="R39" i="6"/>
  <c r="E46" i="4"/>
  <c r="E7" i="17"/>
  <c r="I162" i="6"/>
  <c r="I178" i="6" s="1"/>
  <c r="U161" i="6"/>
  <c r="N69" i="6"/>
  <c r="E55" i="4"/>
  <c r="G177" i="6"/>
  <c r="U168" i="6"/>
  <c r="U177" i="6" s="1"/>
  <c r="U178" i="6" s="1"/>
  <c r="E4" i="16"/>
  <c r="E48" i="4"/>
  <c r="N62" i="6"/>
  <c r="R62" i="6" s="1"/>
  <c r="E45" i="16" s="1"/>
  <c r="I66" i="6"/>
  <c r="N93" i="6"/>
  <c r="R93" i="6" s="1"/>
  <c r="E69" i="16" s="1"/>
  <c r="E76" i="4"/>
  <c r="U175" i="6"/>
  <c r="N17" i="6"/>
  <c r="E11" i="4"/>
  <c r="E12" i="4" s="1"/>
  <c r="C96" i="6"/>
  <c r="T72" i="15"/>
  <c r="Z57" i="15"/>
  <c r="Z61" i="15" s="1"/>
  <c r="T61" i="15"/>
  <c r="L55" i="6"/>
  <c r="L96" i="6" s="1"/>
  <c r="E75" i="4"/>
  <c r="N90" i="6"/>
  <c r="R90" i="6" s="1"/>
  <c r="E66" i="16" s="1"/>
  <c r="E10" i="16"/>
  <c r="N34" i="6"/>
  <c r="I67" i="6"/>
  <c r="D75" i="6"/>
  <c r="T77" i="15" l="1"/>
  <c r="N18" i="6"/>
  <c r="E8" i="17"/>
  <c r="E10" i="17" s="1"/>
  <c r="E13" i="17" s="1"/>
  <c r="E52" i="4"/>
  <c r="R9" i="6"/>
  <c r="N12" i="6"/>
  <c r="N67" i="6"/>
  <c r="T76" i="15"/>
  <c r="Z72" i="15"/>
  <c r="E42" i="16"/>
  <c r="R60" i="6"/>
  <c r="R67" i="6" s="1"/>
  <c r="D83" i="6"/>
  <c r="I75" i="6"/>
  <c r="G178" i="6"/>
  <c r="U173" i="6"/>
  <c r="N177" i="6"/>
  <c r="N178" i="6" s="1"/>
  <c r="P60" i="6"/>
  <c r="P67" i="6" s="1"/>
  <c r="P95" i="6" s="1"/>
  <c r="P17" i="6"/>
  <c r="P18" i="6" s="1"/>
  <c r="P55" i="6" s="1"/>
  <c r="G8" i="17"/>
  <c r="E47" i="16"/>
  <c r="R69" i="6"/>
  <c r="E53" i="4"/>
  <c r="E64" i="16"/>
  <c r="E70" i="16" s="1"/>
  <c r="E16" i="17" l="1"/>
  <c r="E15" i="17"/>
  <c r="E17" i="17" s="1"/>
  <c r="E51" i="16"/>
  <c r="R17" i="6"/>
  <c r="E43" i="16"/>
  <c r="E48" i="16" s="1"/>
  <c r="G7" i="17"/>
  <c r="D40" i="6"/>
  <c r="D87" i="6"/>
  <c r="Z76" i="15"/>
  <c r="Z77" i="15" s="1"/>
  <c r="E5" i="16"/>
  <c r="E8" i="16" s="1"/>
  <c r="R12" i="6"/>
  <c r="N75" i="6"/>
  <c r="E61" i="4"/>
  <c r="E68" i="4" s="1"/>
  <c r="I83" i="6"/>
  <c r="R75" i="6" l="1"/>
  <c r="N83" i="6"/>
  <c r="D94" i="6"/>
  <c r="D95" i="6" s="1"/>
  <c r="I87" i="6"/>
  <c r="I40" i="6"/>
  <c r="D54" i="6"/>
  <c r="D55" i="6" s="1"/>
  <c r="D96" i="6" s="1"/>
  <c r="G10" i="17"/>
  <c r="G13" i="17" s="1"/>
  <c r="G16" i="17" s="1"/>
  <c r="G15" i="17"/>
  <c r="G17" i="17" s="1"/>
  <c r="E11" i="16"/>
  <c r="E12" i="16" s="1"/>
  <c r="R18" i="6"/>
  <c r="I94" i="6" l="1"/>
  <c r="I95" i="6" s="1"/>
  <c r="N87" i="6"/>
  <c r="E72" i="4"/>
  <c r="E77" i="4" s="1"/>
  <c r="E78" i="4" s="1"/>
  <c r="N40" i="6"/>
  <c r="E30" i="4"/>
  <c r="E40" i="4" s="1"/>
  <c r="E41" i="4" s="1"/>
  <c r="I54" i="6"/>
  <c r="I55" i="6" s="1"/>
  <c r="I96" i="6" s="1"/>
  <c r="E55" i="16"/>
  <c r="E62" i="16" s="1"/>
  <c r="E71" i="16" s="1"/>
  <c r="R83" i="6"/>
  <c r="R87" i="6" l="1"/>
  <c r="R94" i="6" s="1"/>
  <c r="R95" i="6" s="1"/>
  <c r="N94" i="6"/>
  <c r="N95" i="6" s="1"/>
  <c r="I78" i="4"/>
  <c r="R40" i="6"/>
  <c r="N54" i="6"/>
  <c r="N55" i="6" s="1"/>
  <c r="E31" i="16" l="1"/>
  <c r="E37" i="16" s="1"/>
  <c r="E38" i="16" s="1"/>
  <c r="I71" i="16" s="1"/>
  <c r="R54" i="6"/>
  <c r="R55" i="6" s="1"/>
</calcChain>
</file>

<file path=xl/comments1.xml><?xml version="1.0" encoding="utf-8"?>
<comments xmlns="http://schemas.openxmlformats.org/spreadsheetml/2006/main">
  <authors>
    <author>Scott McDunnah, ext. 81-2115</author>
    <author>Puget Sound Energy</author>
    <author>A satisfied Microsoft Office user</author>
    <author>Scott McDunnah</author>
    <author>sblaga</author>
  </authors>
  <commentList>
    <comment ref="D3" authorId="0">
      <text>
        <r>
          <rPr>
            <b/>
            <sz val="12"/>
            <color indexed="81"/>
            <rFont val="Arial"/>
            <family val="2"/>
          </rPr>
          <t>Scott McDunnah, ext. 81-2115:</t>
        </r>
        <r>
          <rPr>
            <sz val="12"/>
            <color indexed="81"/>
            <rFont val="Arial"/>
            <family val="2"/>
          </rPr>
          <t xml:space="preserve">
this colum is linked to the Adjustments section and automatically populated
</t>
        </r>
      </text>
    </comment>
    <comment ref="A21" authorId="1">
      <text>
        <r>
          <rPr>
            <b/>
            <sz val="12"/>
            <color indexed="81"/>
            <rFont val="Tahoma"/>
            <family val="2"/>
          </rPr>
          <t xml:space="preserve">Acct 13100771 </t>
        </r>
        <r>
          <rPr>
            <sz val="8"/>
            <color indexed="81"/>
            <rFont val="Tahoma"/>
            <family val="2"/>
          </rPr>
          <t xml:space="preserve">
</t>
        </r>
      </text>
    </comment>
    <comment ref="A25" authorId="2">
      <text>
        <r>
          <rPr>
            <sz val="14"/>
            <color indexed="81"/>
            <rFont val="Tahoma"/>
            <family val="2"/>
          </rPr>
          <t xml:space="preserve">Subtotal 173 in Accts. Receivable
Enter in Adj. JE#9, not in PSE column.
</t>
        </r>
      </text>
    </comment>
    <comment ref="G63" authorId="3">
      <text>
        <r>
          <rPr>
            <b/>
            <sz val="12"/>
            <color indexed="81"/>
            <rFont val="Arial"/>
            <family val="2"/>
          </rPr>
          <t>Scott McDunnah:</t>
        </r>
        <r>
          <rPr>
            <sz val="12"/>
            <color indexed="81"/>
            <rFont val="Arial"/>
            <family val="2"/>
          </rPr>
          <t xml:space="preserve">
PWI Land - 8/12 purchase from Chehalis Runyon  protperty
</t>
        </r>
      </text>
    </comment>
    <comment ref="C83" authorId="4">
      <text>
        <r>
          <rPr>
            <b/>
            <sz val="9"/>
            <color indexed="81"/>
            <rFont val="Tahoma"/>
            <family val="2"/>
          </rPr>
          <t>sblaga:</t>
        </r>
        <r>
          <rPr>
            <sz val="9"/>
            <color indexed="81"/>
            <rFont val="Tahoma"/>
            <family val="2"/>
          </rPr>
          <t xml:space="preserve">
</t>
        </r>
      </text>
    </comment>
    <comment ref="G85" authorId="3">
      <text>
        <r>
          <rPr>
            <b/>
            <sz val="12"/>
            <color indexed="81"/>
            <rFont val="Arial"/>
            <family val="2"/>
          </rPr>
          <t>Scott McDunnah:</t>
        </r>
        <r>
          <rPr>
            <sz val="12"/>
            <color indexed="81"/>
            <rFont val="Arial"/>
            <family val="2"/>
          </rPr>
          <t xml:space="preserve">
Income Tax
</t>
        </r>
      </text>
    </comment>
    <comment ref="I105" authorId="1">
      <text>
        <r>
          <rPr>
            <sz val="12"/>
            <color indexed="81"/>
            <rFont val="Arial"/>
            <family val="2"/>
          </rPr>
          <t xml:space="preserve">Julia:
Expected Employer Contributions during the year of 2009. Use Milliman actuarial report as of 12/31/YY. </t>
        </r>
      </text>
    </comment>
    <comment ref="C116" authorId="3">
      <text>
        <r>
          <rPr>
            <b/>
            <sz val="16"/>
            <color indexed="81"/>
            <rFont val="Tahoma"/>
            <family val="2"/>
          </rPr>
          <t>Scott McDunnah:</t>
        </r>
        <r>
          <rPr>
            <sz val="16"/>
            <color indexed="81"/>
            <rFont val="Tahoma"/>
            <family val="2"/>
          </rPr>
          <t xml:space="preserve">
18230361 Blocked for posting 3/12
</t>
        </r>
      </text>
    </comment>
  </commentList>
</comments>
</file>

<file path=xl/comments2.xml><?xml version="1.0" encoding="utf-8"?>
<comments xmlns="http://schemas.openxmlformats.org/spreadsheetml/2006/main">
  <authors>
    <author>Puget Sound Energy</author>
    <author>Scott McDunnah</author>
    <author>sblaga</author>
  </authors>
  <commentList>
    <comment ref="N5" authorId="0">
      <text>
        <r>
          <rPr>
            <sz val="12"/>
            <color indexed="81"/>
            <rFont val="Arial"/>
            <family val="2"/>
          </rPr>
          <t xml:space="preserve">Julia:
Expected Employer Contributions during the year of 2009. Use Milliman actuarial report as of 12/31/YY. </t>
        </r>
      </text>
    </comment>
    <comment ref="D16" authorId="1">
      <text>
        <r>
          <rPr>
            <b/>
            <sz val="16"/>
            <color indexed="81"/>
            <rFont val="Tahoma"/>
            <family val="2"/>
          </rPr>
          <t>Scott McDunnah:</t>
        </r>
        <r>
          <rPr>
            <sz val="16"/>
            <color indexed="81"/>
            <rFont val="Tahoma"/>
            <family val="2"/>
          </rPr>
          <t xml:space="preserve">
18230361 Blocked for posting 3/12
</t>
        </r>
      </text>
    </comment>
    <comment ref="N30" authorId="2">
      <text>
        <r>
          <rPr>
            <b/>
            <sz val="16"/>
            <color indexed="81"/>
            <rFont val="Tahoma"/>
            <family val="2"/>
          </rPr>
          <t>sblaga:</t>
        </r>
        <r>
          <rPr>
            <sz val="16"/>
            <color indexed="81"/>
            <rFont val="Tahoma"/>
            <family val="2"/>
          </rPr>
          <t xml:space="preserve">
run only after taxes 
341,874   positive in November 2015</t>
        </r>
      </text>
    </comment>
  </commentList>
</comments>
</file>

<file path=xl/comments3.xml><?xml version="1.0" encoding="utf-8"?>
<comments xmlns="http://schemas.openxmlformats.org/spreadsheetml/2006/main">
  <authors>
    <author>Ikue Kanemori</author>
  </authors>
  <commentList>
    <comment ref="A1" authorId="0">
      <text>
        <r>
          <rPr>
            <b/>
            <sz val="8"/>
            <color indexed="81"/>
            <rFont val="Tahoma"/>
            <family val="2"/>
          </rPr>
          <t>Ikue Kanemori:</t>
        </r>
        <r>
          <rPr>
            <sz val="8"/>
            <color indexed="81"/>
            <rFont val="Tahoma"/>
            <family val="2"/>
          </rPr>
          <t xml:space="preserve">
Make sure to export the SAP balance sheet as "Table" with the ".dat" file format.</t>
        </r>
      </text>
    </comment>
  </commentList>
</comments>
</file>

<file path=xl/comments4.xml><?xml version="1.0" encoding="utf-8"?>
<comments xmlns="http://schemas.openxmlformats.org/spreadsheetml/2006/main">
  <authors>
    <author>Ikue Kanemori</author>
  </authors>
  <commentList>
    <comment ref="A1" authorId="0">
      <text>
        <r>
          <rPr>
            <b/>
            <sz val="8"/>
            <color indexed="81"/>
            <rFont val="Tahoma"/>
            <family val="2"/>
          </rPr>
          <t>Ikue Kanemori:</t>
        </r>
        <r>
          <rPr>
            <sz val="8"/>
            <color indexed="81"/>
            <rFont val="Tahoma"/>
            <family val="2"/>
          </rPr>
          <t xml:space="preserve">
Make sure to export the SAP balance sheet as "Table" with the ".dat" file format.</t>
        </r>
      </text>
    </comment>
  </commentList>
</comments>
</file>

<file path=xl/comments5.xml><?xml version="1.0" encoding="utf-8"?>
<comments xmlns="http://schemas.openxmlformats.org/spreadsheetml/2006/main">
  <authors>
    <author>Scott McDunnah</author>
  </authors>
  <commentList>
    <comment ref="E16" authorId="0">
      <text>
        <r>
          <rPr>
            <b/>
            <sz val="8"/>
            <color indexed="81"/>
            <rFont val="Tahoma"/>
            <family val="2"/>
          </rPr>
          <t>Scott McDunnah:</t>
        </r>
        <r>
          <rPr>
            <sz val="8"/>
            <color indexed="81"/>
            <rFont val="Tahoma"/>
            <family val="2"/>
          </rPr>
          <t xml:space="preserve">
18230361 Blocked for posting 3/12
</t>
        </r>
      </text>
    </comment>
  </commentList>
</comments>
</file>

<file path=xl/sharedStrings.xml><?xml version="1.0" encoding="utf-8"?>
<sst xmlns="http://schemas.openxmlformats.org/spreadsheetml/2006/main" count="1226" uniqueCount="692">
  <si>
    <t>ASSETS:</t>
  </si>
  <si>
    <t>Utility Plant:</t>
  </si>
  <si>
    <t xml:space="preserve">    Electric</t>
  </si>
  <si>
    <t xml:space="preserve">    Common</t>
  </si>
  <si>
    <t>Less: Accumulated deprec and amort</t>
  </si>
  <si>
    <t>Net Plant</t>
  </si>
  <si>
    <t>Other Property and Investments:</t>
  </si>
  <si>
    <t xml:space="preserve">    Investment in Bonneville Exchange Power Contract</t>
  </si>
  <si>
    <t xml:space="preserve">      Total Other Property and Investments</t>
  </si>
  <si>
    <t>Current Assets:</t>
  </si>
  <si>
    <t xml:space="preserve">    Cash </t>
  </si>
  <si>
    <t xml:space="preserve">    Restricted cash</t>
  </si>
  <si>
    <t xml:space="preserve">    Accounts Receivable (Rpt Node)</t>
  </si>
  <si>
    <t xml:space="preserve">    Less allowance for doubtful accounts</t>
  </si>
  <si>
    <t xml:space="preserve">    Secure Pledged Accounts Receivable</t>
  </si>
  <si>
    <t xml:space="preserve">    Unbilled revenues</t>
  </si>
  <si>
    <t xml:space="preserve">    Materials and Supplies</t>
  </si>
  <si>
    <t xml:space="preserve">    Fuel and Gas Inventory</t>
  </si>
  <si>
    <t xml:space="preserve">    Current Portion FAS 133 Unrealized Gain/Loss (ST)</t>
  </si>
  <si>
    <t xml:space="preserve">    Prepaid Expense and other</t>
  </si>
  <si>
    <t xml:space="preserve">    Taxes Receivable</t>
  </si>
  <si>
    <t xml:space="preserve">    Current Portion of Deferred Income Taxes</t>
  </si>
  <si>
    <t xml:space="preserve">      Total Current Assets</t>
  </si>
  <si>
    <t>Long-Term and Regulatory Assets:</t>
  </si>
  <si>
    <t>Regulatory assets:</t>
  </si>
  <si>
    <t xml:space="preserve">    Regulatory asset for deferred income taxes </t>
  </si>
  <si>
    <t xml:space="preserve">    Regulatory asset for PURPA buyout costs</t>
  </si>
  <si>
    <t xml:space="preserve">    Other Regulatory Assets</t>
  </si>
  <si>
    <t>Long-Term Assets:</t>
  </si>
  <si>
    <t xml:space="preserve">    Other Long-Term Assets</t>
  </si>
  <si>
    <t>Total Long-Term and Regulatory Assets</t>
  </si>
  <si>
    <t>TOTAL ASSETS</t>
  </si>
  <si>
    <t>Capitalization:</t>
  </si>
  <si>
    <t>CAPITALIZATION AND LIABILITIES:</t>
  </si>
  <si>
    <t xml:space="preserve">    Common equity</t>
  </si>
  <si>
    <t xml:space="preserve">    Preferred Stock</t>
  </si>
  <si>
    <t>Total shareholders' equity</t>
  </si>
  <si>
    <t xml:space="preserve">    Preferred stock subject to mandatory redemption</t>
  </si>
  <si>
    <t xml:space="preserve">Junior subordinated notes </t>
  </si>
  <si>
    <t>Total capitalization</t>
  </si>
  <si>
    <t>Current Liabilities:</t>
  </si>
  <si>
    <t xml:space="preserve">    Accounts Payable</t>
  </si>
  <si>
    <t xml:space="preserve">    Notes Payable</t>
  </si>
  <si>
    <t xml:space="preserve">    Short-term Debt</t>
  </si>
  <si>
    <t xml:space="preserve">    Short Term Debt Owed to Puget Energy</t>
  </si>
  <si>
    <t xml:space="preserve">    Current maturities of Long-Term Debt</t>
  </si>
  <si>
    <t xml:space="preserve">    Accrued Expenses:</t>
  </si>
  <si>
    <t xml:space="preserve">       Purchased gas liability</t>
  </si>
  <si>
    <t xml:space="preserve">       Taxes</t>
  </si>
  <si>
    <t xml:space="preserve">       Salaries and wages</t>
  </si>
  <si>
    <t xml:space="preserve">       Interest</t>
  </si>
  <si>
    <t xml:space="preserve">      Total current liabilities</t>
  </si>
  <si>
    <t>Long-Term Liabilities:</t>
  </si>
  <si>
    <t xml:space="preserve">    Deferred income taxes</t>
  </si>
  <si>
    <t xml:space="preserve">    FAS 133 Unrealized Gain/Loss (LT)</t>
  </si>
  <si>
    <t>Power Cost Adjustment Mechanism</t>
  </si>
  <si>
    <t xml:space="preserve">    Other Deferred Credits</t>
  </si>
  <si>
    <t xml:space="preserve">   Total long-term liabilities</t>
  </si>
  <si>
    <t>TOTAL CAPITALIZATION AND LIABILITIES:</t>
  </si>
  <si>
    <t>ADJUSTMENTS</t>
  </si>
  <si>
    <t>Cash</t>
  </si>
  <si>
    <t>Restricted Cash</t>
  </si>
  <si>
    <t>Accounts Receivable</t>
  </si>
  <si>
    <t>Allowance for Doubtful Accounts</t>
  </si>
  <si>
    <t>Unbilled Revenues</t>
  </si>
  <si>
    <t>Current Asset FAS 133</t>
  </si>
  <si>
    <t>Prepayments and Other</t>
  </si>
  <si>
    <t>Current Portion of Deferred Income Taxes</t>
  </si>
  <si>
    <t>FAS 133 Unrealized Gain/Loss - Long Term Asset</t>
  </si>
  <si>
    <t>Purchased Gas Receivable</t>
  </si>
  <si>
    <t>Other Regulatory Assets</t>
  </si>
  <si>
    <t xml:space="preserve">Long Term Asset </t>
  </si>
  <si>
    <t>Long Term Asset - Other</t>
  </si>
  <si>
    <t>Long Term Debt</t>
  </si>
  <si>
    <t>Current Maturities of Long Term Debt</t>
  </si>
  <si>
    <t>Accounts Payable</t>
  </si>
  <si>
    <t>Accrued Taxes</t>
  </si>
  <si>
    <t>Purchased Gas Liability</t>
  </si>
  <si>
    <t>FAS 133 Current Portion Unrealized Gain/Loss</t>
  </si>
  <si>
    <t>Other Current Liabilities</t>
  </si>
  <si>
    <t>FIT Payable</t>
  </si>
  <si>
    <t>Regulatory liability</t>
  </si>
  <si>
    <t>Other Deferred Credits</t>
  </si>
  <si>
    <t>FAS 133 Long Term Unrealized Gain/Loss</t>
  </si>
  <si>
    <t>(1000)</t>
  </si>
  <si>
    <t>(1004)</t>
  </si>
  <si>
    <t>PSE</t>
  </si>
  <si>
    <t>Puget</t>
  </si>
  <si>
    <t>TOTAL</t>
  </si>
  <si>
    <t>Western</t>
  </si>
  <si>
    <t>Subtotal</t>
  </si>
  <si>
    <t>Total</t>
  </si>
  <si>
    <t>#1</t>
  </si>
  <si>
    <t>Adjustments to B/S:</t>
  </si>
  <si>
    <t>Account</t>
  </si>
  <si>
    <t xml:space="preserve">Description </t>
  </si>
  <si>
    <t>Debit</t>
  </si>
  <si>
    <t>Credit</t>
  </si>
  <si>
    <t>22100000 - 22199999</t>
  </si>
  <si>
    <t>Update Qtrly from Treasury</t>
  </si>
  <si>
    <t>Cash Credit Balances</t>
  </si>
  <si>
    <t>Amount is ZERO if not a quarter end month.</t>
  </si>
  <si>
    <t>PTC - Int on Def Tax</t>
  </si>
  <si>
    <t>JO1 Job Orders Temporary Facilities</t>
  </si>
  <si>
    <t>Unamortized Energy Cons Costs</t>
  </si>
  <si>
    <t>18239000 - 18239999</t>
  </si>
  <si>
    <t>Low Income Program Costs</t>
  </si>
  <si>
    <t>Residential Exchange - Oth Def Cr</t>
  </si>
  <si>
    <t>Residential Exchange - Oth LT Asset</t>
  </si>
  <si>
    <t>19xxxxxx &amp; 283xxxxx</t>
  </si>
  <si>
    <t>236xxxxx</t>
  </si>
  <si>
    <t>Land Transportation Clearing</t>
  </si>
  <si>
    <t>#4</t>
  </si>
  <si>
    <t>#7</t>
  </si>
  <si>
    <t>#9</t>
  </si>
  <si>
    <t>#10</t>
  </si>
  <si>
    <t>#11</t>
  </si>
  <si>
    <t>#12</t>
  </si>
  <si>
    <t>#14</t>
  </si>
  <si>
    <t>#15</t>
  </si>
  <si>
    <t>Balance Sheet from SAP</t>
  </si>
  <si>
    <t>Report ZFR00017</t>
  </si>
  <si>
    <t>Remarks:</t>
  </si>
  <si>
    <t>1)</t>
  </si>
  <si>
    <t>Save this file as a "Table" &amp; .dat file</t>
  </si>
  <si>
    <t>2)</t>
  </si>
  <si>
    <t>When print the balance sheet from SAP, change the Report page to 70.</t>
  </si>
  <si>
    <t>Current</t>
  </si>
  <si>
    <t>Date</t>
  </si>
  <si>
    <t>Preparer</t>
  </si>
  <si>
    <t>Reviewer</t>
  </si>
  <si>
    <t>Comment</t>
  </si>
  <si>
    <t>CM</t>
  </si>
  <si>
    <t>JK</t>
  </si>
  <si>
    <t>Initial Approval</t>
  </si>
  <si>
    <t>IK</t>
  </si>
  <si>
    <t>Inserted a new worksheet called SAP, which contains Balance Sheet raw data being exported from SAP (T-Code: ZFR00017) for the current month.</t>
  </si>
  <si>
    <t>Inserted a new column B and put in Balance Sheet item descriptions.</t>
  </si>
  <si>
    <t>Put in VLOOKUP formulas in the PSE column (column C), which are used to populate the Balance Sheet amount into that column from the SAP worksheet.</t>
  </si>
  <si>
    <t>Added two lines above Non-Utility Property (line 16&amp;17), which are used to get to the total Non-Utility Property amount.</t>
  </si>
  <si>
    <t>Added two lines above Other (line 40&amp;41) under the Long-Term Asset section, which are used to get to the total Other amount.</t>
  </si>
  <si>
    <t>Added a line above Other Deferred Credit (line 73) under the Long-Term Liabilities section, which is used to get to the total Other Deferred Credit amount.</t>
  </si>
  <si>
    <t>Deleted October Adjust from column AH under the ADJUSTMENTS section..</t>
  </si>
  <si>
    <t>Added an adjustment item 8b -- Reclass FAS 133 PGA Net Unrealized Gain/(Loss) to other deferred credits (an adjustment will be made only if the G/L account 18600512 shows credit balance).</t>
  </si>
  <si>
    <t>"Current Portion of Deferred Income Taxes" was added under the Current Assets and Current Liabilities sections, along with a corresponding adjustment item "Reclass net liability of current deferred taxes".</t>
  </si>
  <si>
    <t>GP Acquisition Corp (1015) and LP Acquisition Corp (1016) columns were eliminated due to the merger of Encogen in May 2005.</t>
  </si>
  <si>
    <t>jk</t>
  </si>
  <si>
    <t>An adjustment line (13b) was added to "Reclass credit Residential Exchange balance to a credit.".</t>
  </si>
  <si>
    <t>JB</t>
  </si>
  <si>
    <t>RBM/NH</t>
  </si>
  <si>
    <t xml:space="preserve">Updated spreadsheet to accommodate reporting regulatory assets and liabilities.  Renamed one section from long term assets to long term assets and regulatory assets.  Created regulatory liabilties in long term liability section.  </t>
  </si>
  <si>
    <t>SAP Report:</t>
  </si>
  <si>
    <t xml:space="preserve">    Power Cost Adjustment Mechanism (PCA)</t>
  </si>
  <si>
    <t xml:space="preserve">    Purchased Gas Adjustment Receivable (PGA)</t>
  </si>
  <si>
    <t>22100063-22101053 - MTN Due within a year</t>
  </si>
  <si>
    <t xml:space="preserve">    Other current liabilities</t>
  </si>
  <si>
    <t>Elimination</t>
  </si>
  <si>
    <t>Reclasses</t>
  </si>
  <si>
    <t>Additional</t>
  </si>
  <si>
    <t>Adjustments</t>
  </si>
  <si>
    <t>PGA FAS 133 Derivative</t>
  </si>
  <si>
    <t>Displayed in</t>
  </si>
  <si>
    <t xml:space="preserve">    Deferred Tax Asset</t>
  </si>
  <si>
    <t xml:space="preserve"> </t>
  </si>
  <si>
    <t>Electric</t>
  </si>
  <si>
    <t>Common</t>
  </si>
  <si>
    <r>
      <t>Less:</t>
    </r>
    <r>
      <rPr>
        <sz val="10"/>
        <rFont val="Arial"/>
        <family val="2"/>
      </rPr>
      <t xml:space="preserve"> Accumulated Depreciation and Amortization</t>
    </r>
  </si>
  <si>
    <t>Net Utility Plant</t>
  </si>
  <si>
    <t>Other property and investments</t>
  </si>
  <si>
    <t>Other Property and Investments</t>
  </si>
  <si>
    <t>Total other property and investments</t>
  </si>
  <si>
    <t>Cash &amp; Cash Equivalent</t>
  </si>
  <si>
    <t>Less: Allowance for Doubtful Accounts</t>
  </si>
  <si>
    <t>Secure Pledged Accounts Receivable</t>
  </si>
  <si>
    <t>Purchased Gas Adjustment Receivable</t>
  </si>
  <si>
    <t>Materials and Supplies</t>
  </si>
  <si>
    <t>Fuel and Gas Inventory</t>
  </si>
  <si>
    <t xml:space="preserve">Unrealized Gain on Derivative Instruments </t>
  </si>
  <si>
    <t>Prepaid expenses and other</t>
  </si>
  <si>
    <t>Taxes Receivable</t>
  </si>
  <si>
    <t>Deferred Income Taxes</t>
  </si>
  <si>
    <t>Total current assets</t>
  </si>
  <si>
    <t>Other long-term and regulatory assets:</t>
  </si>
  <si>
    <t>Regulatory Asset for Deferred Income Taxes</t>
  </si>
  <si>
    <t>Regulatory Asset for PURPA buyout costs</t>
  </si>
  <si>
    <t>Unrealized Gain on Derivative Instruments</t>
  </si>
  <si>
    <t>Other</t>
  </si>
  <si>
    <t>Total other long-term and regulatory assets</t>
  </si>
  <si>
    <t>Common Equity</t>
  </si>
  <si>
    <t>Total shareholder's equity</t>
  </si>
  <si>
    <t>Long-Term Debt</t>
  </si>
  <si>
    <t xml:space="preserve">    Junior Subordinated Notes</t>
  </si>
  <si>
    <t xml:space="preserve">Junior Subordinated Note Payable to a Subsidiary Trust </t>
  </si>
  <si>
    <t>Holding Mandatorily Redeemable Preferred Securities</t>
  </si>
  <si>
    <t xml:space="preserve">    Long-Term Debt</t>
  </si>
  <si>
    <t>Total long-term debt</t>
  </si>
  <si>
    <t>Current liabilities:</t>
  </si>
  <si>
    <t>Dividends Declared - Common Stock</t>
  </si>
  <si>
    <t>Short-Term Debt</t>
  </si>
  <si>
    <t>Current Maturities of Long-Term Debt</t>
  </si>
  <si>
    <t>Accrued expenses:</t>
  </si>
  <si>
    <t xml:space="preserve">  Taxes</t>
  </si>
  <si>
    <t xml:space="preserve">  Salaries and Wages</t>
  </si>
  <si>
    <t xml:space="preserve">  Interest</t>
  </si>
  <si>
    <t>Total current liabilities</t>
  </si>
  <si>
    <t>Long-term liabilities and regulatory liabilities:</t>
  </si>
  <si>
    <t>Unrealized Loss on Derivative Instruments</t>
  </si>
  <si>
    <t>Regulatory Liabilities</t>
  </si>
  <si>
    <t>Total long-term liabilities and regulatory liabilities</t>
  </si>
  <si>
    <t>TOTAL CAPITALIZATION AND LIABILITIES</t>
  </si>
  <si>
    <t>Legend:</t>
  </si>
  <si>
    <t>b)  Reclass to Liability</t>
  </si>
  <si>
    <t>a) Eliminate Investment in Subsidiary</t>
  </si>
  <si>
    <t xml:space="preserve">    Storm Damage Costs</t>
  </si>
  <si>
    <t xml:space="preserve">    Environmental Remediation</t>
  </si>
  <si>
    <t xml:space="preserve">    Contract Initiation</t>
  </si>
  <si>
    <t xml:space="preserve">    WUTC AFUDC</t>
  </si>
  <si>
    <t xml:space="preserve">    Baker Lake License</t>
  </si>
  <si>
    <t xml:space="preserve">    Purchase Gas Adjustment Deferral</t>
  </si>
  <si>
    <t xml:space="preserve">    Regulatory Liabilities:</t>
  </si>
  <si>
    <t xml:space="preserve">        Cost of Removal</t>
  </si>
  <si>
    <t>Storm Damage Costs</t>
  </si>
  <si>
    <t xml:space="preserve">Environmental Remediation </t>
  </si>
  <si>
    <t>Contract Initiation</t>
  </si>
  <si>
    <t>WUTC AFUDC</t>
  </si>
  <si>
    <t>Purchase Gas Adjustment Deferral</t>
  </si>
  <si>
    <t>Baker Lake License</t>
  </si>
  <si>
    <t xml:space="preserve">   Cost of Removal</t>
  </si>
  <si>
    <t>#5</t>
  </si>
  <si>
    <t>#6</t>
  </si>
  <si>
    <t>#8</t>
  </si>
  <si>
    <t>#13</t>
  </si>
  <si>
    <t>F.01 Variant #4</t>
  </si>
  <si>
    <t xml:space="preserve">Source: Excel Spreadsheet from Treasury </t>
  </si>
  <si>
    <t>F.08 Variant #10</t>
  </si>
  <si>
    <t>F.08 Variant #11</t>
  </si>
  <si>
    <t>Balance Sheet (GAAP version)</t>
  </si>
  <si>
    <t>ASSETS</t>
  </si>
  <si>
    <t>Utility Plant</t>
  </si>
  <si>
    <t>Electric Plant</t>
  </si>
  <si>
    <t>Gas Plant</t>
  </si>
  <si>
    <t>Common Plant</t>
  </si>
  <si>
    <t>Investment in BEP contract</t>
  </si>
  <si>
    <t>Other Investments</t>
  </si>
  <si>
    <t>Current Assets</t>
  </si>
  <si>
    <t>Accounts Receivable (Rpt Node)</t>
  </si>
  <si>
    <t>Unbilled Revenue</t>
  </si>
  <si>
    <t>Purchased Gas Adjustment</t>
  </si>
  <si>
    <t>Unrealized Gain on Derivative Instruments(ST)</t>
  </si>
  <si>
    <t>Long-Term and Regulatory Assets</t>
  </si>
  <si>
    <t>Regulatory Assets</t>
  </si>
  <si>
    <t>Regulatory Asset for Deferred Income Tax</t>
  </si>
  <si>
    <t>PURPA Regulatory Assets</t>
  </si>
  <si>
    <t>Unrealized Gain on Derivative Instruments(LT)</t>
  </si>
  <si>
    <t>Other Long-Term Assets</t>
  </si>
  <si>
    <t>CAPITALIZATION AND LIABILITIES</t>
  </si>
  <si>
    <t>Current Liabilities</t>
  </si>
  <si>
    <t>Subtotal 231</t>
  </si>
  <si>
    <t>Subtotal 233</t>
  </si>
  <si>
    <t>Accrued Salaries and Wages</t>
  </si>
  <si>
    <t>Accrued Interest</t>
  </si>
  <si>
    <t>Unrealized Loss Derivative Instruments (ST)</t>
  </si>
  <si>
    <t>Long-Term Liabilities</t>
  </si>
  <si>
    <t>Deferred Taxes</t>
  </si>
  <si>
    <t>Unrealized Loss Derivative Instruments (LT)</t>
  </si>
  <si>
    <t>Other Deferred Credits (Rpt Node)</t>
  </si>
  <si>
    <t>Capitalization</t>
  </si>
  <si>
    <t>Shareholder's Equity</t>
  </si>
  <si>
    <t>Redeemable Securities and Long-Term Debt</t>
  </si>
  <si>
    <t>CONVERSION ACCOUNTS</t>
  </si>
  <si>
    <t>PSE COA Income Accounts</t>
  </si>
  <si>
    <t>Net Income</t>
  </si>
  <si>
    <t>Prepaid Income Taxes</t>
  </si>
  <si>
    <t>Preferred Stock</t>
  </si>
  <si>
    <t>Preferred Stock - Mandatorily Redeemable</t>
  </si>
  <si>
    <t>Subtotal 221 Junior Subordinated Debt</t>
  </si>
  <si>
    <t>Subtotal 221</t>
  </si>
  <si>
    <t>Subtotal 226</t>
  </si>
  <si>
    <t>Notes Payable</t>
  </si>
  <si>
    <t>(IF NEGATIVE BAL)</t>
  </si>
  <si>
    <t>(IF POSITIVE BAL)</t>
  </si>
  <si>
    <t>Long-term Debt</t>
  </si>
  <si>
    <t>Less:  Accumulated Depreciation and Amortizat</t>
  </si>
  <si>
    <t>SERP Retiree Benefits</t>
  </si>
  <si>
    <t>Investment in Power Contract</t>
  </si>
  <si>
    <t>Short-Term Debt Owed to Parent</t>
  </si>
  <si>
    <t xml:space="preserve">    Other Property and Investments</t>
  </si>
  <si>
    <t>PSE Accrued Taxes + PWI Inter-Co FIT Payable to PSE</t>
  </si>
  <si>
    <t>1.  Xfr payment portion -- recalculate each Dec, using Nov's pymnt amt</t>
  </si>
  <si>
    <t>2. Move from LT Debt to Current Mat. of LTD</t>
  </si>
  <si>
    <t>4. Reclass PGA receivable credit balance to a liability</t>
  </si>
  <si>
    <t>5. Reclass FAS 133 PCA Derivative to Regulatory Liability</t>
  </si>
  <si>
    <t>6. Reclass PTC - Int on Def Tax to Regulatory Liability</t>
  </si>
  <si>
    <t>7. Reclass negative balance in 185 Damage Claim accounts to other current liabilities</t>
  </si>
  <si>
    <t>8. Reclass negative (credit) balance in Unamort Energy Costs to Oth Def Credits</t>
  </si>
  <si>
    <t>9. Reclass negative (credit) balance in Low Income Program Costs</t>
  </si>
  <si>
    <t>10. Reclass PCA receivable credit balance to a liability</t>
  </si>
  <si>
    <t>11. Reclass debit Residential Exchange balance to an Regulatory Asset</t>
  </si>
  <si>
    <t>12. Reclass credit Residential Exchange balance to a Regulatory Liability</t>
  </si>
  <si>
    <t>13. Reclass net liability of current deferred taxes</t>
  </si>
  <si>
    <t>14. Reclass debit accrued taxes balance to Prepaid Account</t>
  </si>
  <si>
    <t xml:space="preserve">15. Reclass Land Transportation Clearing receivable negative (credit) balance to a liability </t>
  </si>
  <si>
    <t>#2</t>
  </si>
  <si>
    <t>#3</t>
  </si>
  <si>
    <t>C</t>
  </si>
  <si>
    <r>
      <t xml:space="preserve">3. Increase Other Current Liabilities and Cash </t>
    </r>
    <r>
      <rPr>
        <sz val="14"/>
        <color indexed="10"/>
        <rFont val="Arial"/>
        <family val="2"/>
      </rPr>
      <t>(Quarterly adjustment)</t>
    </r>
  </si>
  <si>
    <t>formula, no manual input for this item.</t>
  </si>
  <si>
    <r>
      <t xml:space="preserve">Deferred Income Taxes </t>
    </r>
    <r>
      <rPr>
        <b/>
        <u/>
        <sz val="14"/>
        <color indexed="12"/>
        <rFont val="Arial"/>
        <family val="2"/>
      </rPr>
      <t>(formula, no manual input for this item)</t>
    </r>
  </si>
  <si>
    <t>F.08 Variant JE #15C</t>
  </si>
  <si>
    <t>Petty Cash</t>
  </si>
  <si>
    <t>Schwab Account</t>
  </si>
  <si>
    <t>Cash - Money Market</t>
  </si>
  <si>
    <t>Cash in Bank</t>
  </si>
  <si>
    <t>Cash - MMkt Snoqualmie</t>
  </si>
  <si>
    <t>Prepaid Rent</t>
  </si>
  <si>
    <t>Prepaid Insurance</t>
  </si>
  <si>
    <t>Prepaid Property Tax</t>
  </si>
  <si>
    <t>Total Current Assets</t>
  </si>
  <si>
    <t>Notes Receivable</t>
  </si>
  <si>
    <t>Investment in Kinetic Ventures</t>
  </si>
  <si>
    <t>Commercial Land</t>
  </si>
  <si>
    <t>Project Development</t>
  </si>
  <si>
    <t>Deferred Tax Asset-Kinetic</t>
  </si>
  <si>
    <t>PUGET WESTERN, INC.</t>
  </si>
  <si>
    <t>CURRENT ASSETS</t>
  </si>
  <si>
    <t>CURRENT LIABILITIES</t>
  </si>
  <si>
    <t>Future Property Obligations</t>
  </si>
  <si>
    <t>Accounts Payable Accruals</t>
  </si>
  <si>
    <t>Intercompany Payable to Parent-FIT</t>
  </si>
  <si>
    <t>LONG-TERM LIABILITIES</t>
  </si>
  <si>
    <t>Deferred FIT</t>
  </si>
  <si>
    <t>Unearned Income</t>
  </si>
  <si>
    <t>Total Long-Term Liabilities</t>
  </si>
  <si>
    <t>A</t>
  </si>
  <si>
    <t>2) Enter amounts listed on PWI's B/S in the gray boxes of this worksheet</t>
  </si>
  <si>
    <t>1) The green shaded items are PWI's B/S line item titles</t>
  </si>
  <si>
    <t>4) PWI items on the BS-PSE worksheet are auto populated by links to this workbook</t>
  </si>
  <si>
    <t>Miscellaneous Notes:</t>
  </si>
  <si>
    <t>3) Verify data entered is accurate</t>
  </si>
  <si>
    <t>SM</t>
  </si>
  <si>
    <t>Added PWI worksheet to automtaically group PWI B/S items to match PSE's consolidated line item format. The PWI amounts in the BS-PSE worksheet are autopoplulated to the new PWI worksheet.</t>
  </si>
  <si>
    <t>In-Balance check</t>
  </si>
  <si>
    <t>Long-term Debt (acct 226 - Unamortized Debt Discount)</t>
  </si>
  <si>
    <t xml:space="preserve">182.3, 186 </t>
  </si>
  <si>
    <t>Long-term Debt (Total of lines 59 &amp; 60)</t>
  </si>
  <si>
    <t>Total redeemable securities and long-term debt (Grand Total)</t>
  </si>
  <si>
    <r>
      <t>Note:</t>
    </r>
    <r>
      <rPr>
        <u/>
        <sz val="14"/>
        <color indexed="8"/>
        <rFont val="Arial"/>
        <family val="2"/>
      </rPr>
      <t xml:space="preserve"> The Adjustments section (below) are automatically populated by formulas linked to the Adjustments to B/S section (above).</t>
    </r>
  </si>
  <si>
    <t>Earnest Money Payable</t>
  </si>
  <si>
    <t>Long-Term Assets</t>
  </si>
  <si>
    <t>7A</t>
  </si>
  <si>
    <t>Furniture &amp; Fixtures</t>
  </si>
  <si>
    <t>Property Tax Payable</t>
  </si>
  <si>
    <t>PERIOD ENDED</t>
  </si>
  <si>
    <t>$ CHANGE FROM</t>
  </si>
  <si>
    <t>PRIOR YEAR END</t>
  </si>
  <si>
    <t>Accum Depr FF&amp;E</t>
  </si>
  <si>
    <t xml:space="preserve">  Sub-total</t>
  </si>
  <si>
    <t>Investments</t>
  </si>
  <si>
    <t>Sub-total</t>
  </si>
  <si>
    <t>Land Held for Sale or Development</t>
  </si>
  <si>
    <t xml:space="preserve">  Total Long-Term Assets</t>
  </si>
  <si>
    <t xml:space="preserve">                     Puget Western, Inc.</t>
  </si>
  <si>
    <t xml:space="preserve">                    BALANCE SHEET</t>
  </si>
  <si>
    <t>Interest Payable</t>
  </si>
  <si>
    <t>Total Current Liabilities</t>
  </si>
  <si>
    <t>TOTAL LIABILITIES</t>
  </si>
  <si>
    <t>EQUITY</t>
  </si>
  <si>
    <t>Common Stock</t>
  </si>
  <si>
    <t>Additional Paid-In-Capital</t>
  </si>
  <si>
    <t>Retained Earnings</t>
  </si>
  <si>
    <t>Y-T-D Net Profit (Loss)</t>
  </si>
  <si>
    <t>TOTAL EQUITY</t>
  </si>
  <si>
    <t>TOTAL LIABILITIES &amp; EQUITY</t>
  </si>
  <si>
    <t>OTHER PROPERTY AND INVESTMENTS</t>
  </si>
  <si>
    <t>Sub-total Long-Term Assets</t>
  </si>
  <si>
    <t xml:space="preserve">     Total Other Property and Investments</t>
  </si>
  <si>
    <t xml:space="preserve">     Total Cash</t>
  </si>
  <si>
    <t>B</t>
  </si>
  <si>
    <t xml:space="preserve">     Total Restricted Cash</t>
  </si>
  <si>
    <t>Interest Receivable</t>
  </si>
  <si>
    <t>Accounts Receivable - Other</t>
  </si>
  <si>
    <t xml:space="preserve">     Total Accounts Receivable (Rpt Node)</t>
  </si>
  <si>
    <t>D</t>
  </si>
  <si>
    <t>Uncollected Acct Reserve</t>
  </si>
  <si>
    <t xml:space="preserve">     Total Allowance for Doubtful Accounts</t>
  </si>
  <si>
    <t>E</t>
  </si>
  <si>
    <t>Prepaid Escrow Deposits</t>
  </si>
  <si>
    <t xml:space="preserve">     Total Prepaid Expense and Other</t>
  </si>
  <si>
    <t>F</t>
  </si>
  <si>
    <t>G</t>
  </si>
  <si>
    <t>LONG-TERM ASSETS</t>
  </si>
  <si>
    <t>H</t>
  </si>
  <si>
    <t xml:space="preserve">     Total Deferred Tax Asset</t>
  </si>
  <si>
    <t>I</t>
  </si>
  <si>
    <t>J</t>
  </si>
  <si>
    <t>Total Equity</t>
  </si>
  <si>
    <t xml:space="preserve">     Common Equity</t>
  </si>
  <si>
    <t>L-T Notes Payable</t>
  </si>
  <si>
    <t xml:space="preserve">     Long Term-Debt</t>
  </si>
  <si>
    <t>Property Taxes Payable</t>
  </si>
  <si>
    <t>B &amp; O Taxes Payable</t>
  </si>
  <si>
    <t xml:space="preserve">     Accrued Expenses: Taxes</t>
  </si>
  <si>
    <t>R1</t>
  </si>
  <si>
    <t xml:space="preserve">     Deferred Income Taxes</t>
  </si>
  <si>
    <t>R2</t>
  </si>
  <si>
    <t xml:space="preserve">     Other Deferred Credits</t>
  </si>
  <si>
    <t xml:space="preserve">          Total Deferred Income Taxes</t>
  </si>
  <si>
    <t>Interst Pyable</t>
  </si>
  <si>
    <t>Standard</t>
  </si>
  <si>
    <t>Post Close</t>
  </si>
  <si>
    <t>("Top Side Entries")</t>
  </si>
  <si>
    <t>Entries</t>
  </si>
  <si>
    <t>K</t>
  </si>
  <si>
    <t>L</t>
  </si>
  <si>
    <t>M</t>
  </si>
  <si>
    <t>N</t>
  </si>
  <si>
    <t>O</t>
  </si>
  <si>
    <t>P</t>
  </si>
  <si>
    <t>Q</t>
  </si>
  <si>
    <t>R</t>
  </si>
  <si>
    <t>S</t>
  </si>
  <si>
    <t>T</t>
  </si>
  <si>
    <t>(print only after taxes have posted all ME entries)</t>
  </si>
  <si>
    <t>Annual</t>
  </si>
  <si>
    <t>Taxes</t>
  </si>
  <si>
    <t xml:space="preserve">    Taxes</t>
  </si>
  <si>
    <t>25300541 / 25300650/ 25300651</t>
  </si>
  <si>
    <t>x</t>
  </si>
  <si>
    <t>Compatibility Report for BS-PSE October 2014.xls</t>
  </si>
  <si>
    <t>Run on 11/7/2014 11:58</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</si>
  <si>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</si>
  <si>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</si>
  <si>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</si>
  <si>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</si>
  <si>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formulas in this workbook are linked to other workbooks that are closed. When these formulas are recalculated in earlier versions of Excel without opening the linked workbooks, characters beyond the 255-character limit cannot be returned.</t>
  </si>
  <si>
    <t>GAAP BS'!G4:G7</t>
  </si>
  <si>
    <t>GAAP BS'!G11</t>
  </si>
  <si>
    <t>GAAP BS'!G14:G27</t>
  </si>
  <si>
    <t>GAAP BS'!G30:G41</t>
  </si>
  <si>
    <t>GAAP BS'!G47</t>
  </si>
  <si>
    <t>GAAP BS'!G50:G53</t>
  </si>
  <si>
    <t>GAAP BS'!G57:G61</t>
  </si>
  <si>
    <t>GAAP BS'!G63:G69</t>
  </si>
  <si>
    <t>GAAP BS'!G72:G78</t>
  </si>
  <si>
    <t>Excel 97-2003</t>
  </si>
  <si>
    <t>Some cells or styles in this workbook contain formatting that is not supported by the selected file format. These formats will be converted to the closest format available.</t>
  </si>
  <si>
    <t>Long-term Debt Total</t>
  </si>
  <si>
    <t>Subtotal 121</t>
  </si>
  <si>
    <t>Subtotal 122</t>
  </si>
  <si>
    <t>Subtotal 123.1</t>
  </si>
  <si>
    <t>Subtotal 124</t>
  </si>
  <si>
    <t>Unrealized Loss on Energy Derivatives (LT)</t>
  </si>
  <si>
    <t>Enter amount as negative</t>
  </si>
  <si>
    <t>enter negative amount just as is on F.01 report</t>
  </si>
  <si>
    <t>enter negative amount just as is on FS10N report</t>
  </si>
  <si>
    <t>enter amount as positive for adj above</t>
  </si>
  <si>
    <t>enter amount as negative just as shown on FS10N</t>
  </si>
  <si>
    <t>+1 plugged here to balance</t>
  </si>
  <si>
    <t>Salary &amp; Wage Accrual</t>
  </si>
  <si>
    <t>-1 plugged here if needed</t>
  </si>
  <si>
    <t>-1 plugged hereif needed</t>
  </si>
  <si>
    <t xml:space="preserve">  Purchased Gas Adjustment Liability</t>
  </si>
  <si>
    <t xml:space="preserve">  Unrealized Loss on Derivative Instruments </t>
  </si>
  <si>
    <t xml:space="preserve">  Other</t>
  </si>
  <si>
    <t>+1 and other can plugg here</t>
  </si>
  <si>
    <t>Details / How</t>
  </si>
  <si>
    <t>Source</t>
  </si>
  <si>
    <t>Report from Milliman (this # changes only once a year in January)</t>
  </si>
  <si>
    <t xml:space="preserve">From Other Deferred Credits to Other Current Liabilities  </t>
  </si>
  <si>
    <t>Items due within One Year 22100000 - 22199999</t>
  </si>
  <si>
    <t xml:space="preserve">SAP Report F.01 and manually add up items due within one year </t>
  </si>
  <si>
    <t>Excel spreadsheet from Treasury</t>
  </si>
  <si>
    <t>Reclass PGA receivable credit balance to a liability</t>
  </si>
  <si>
    <t>SAP FS10N report</t>
  </si>
  <si>
    <t>Reclass PTC - Int on Def Tax to Regulatory Liability</t>
  </si>
  <si>
    <t>Reclass negative balance in 185 Damage Claim accounts to other current liabilities</t>
  </si>
  <si>
    <t>Reclass negative (credit) balance in Unamort Energy Costs to Oth Def Credits</t>
  </si>
  <si>
    <t>SAP F.08 variant Consolidation Adj #10</t>
  </si>
  <si>
    <t>No reclass if positive balance</t>
  </si>
  <si>
    <t>Reclass negative (credit) balance in Low Income Program Costs</t>
  </si>
  <si>
    <t>SAP F.08 variant LC ADJ #11</t>
  </si>
  <si>
    <t>Reclass if Negative balance</t>
  </si>
  <si>
    <t>If PCA mechanism is less than zero, than we move it to a Liability Account</t>
  </si>
  <si>
    <t>Reclass PCA receivable credit balance to a liability</t>
  </si>
  <si>
    <t>Reclass debit Residential Exchange balance to an Regulatory Asset</t>
  </si>
  <si>
    <t>25300651,  25300541  no adjustment if negative balance</t>
  </si>
  <si>
    <t>Reclass credit Residential Exchange balance to a Regulatory Liability</t>
  </si>
  <si>
    <t>Reclass net liability of current deferred taxes</t>
  </si>
  <si>
    <t>If Current portion of Deferred Income Taxes is negative, than we move it to a liability account</t>
  </si>
  <si>
    <t>SAP F.08 variant JE#15C - Can be run only after taxes are posted</t>
  </si>
  <si>
    <t xml:space="preserve">Reclass Land Transportation Clearing receivable negative (credit) balance to a liability </t>
  </si>
  <si>
    <t xml:space="preserve">Balance Sheet Standard Adjustments </t>
  </si>
  <si>
    <t>Balance Sheet Top Side Entries</t>
  </si>
  <si>
    <t>SAP FS10N report and report from Business Objects</t>
  </si>
  <si>
    <t>14200203 and negative balance from business objects</t>
  </si>
  <si>
    <t>13500153 and 13500201 reclass if negative balance (cr balance)</t>
  </si>
  <si>
    <t>excel spreadsheet from Puget Western</t>
  </si>
  <si>
    <t>Balance Sheet Elimination Entries</t>
  </si>
  <si>
    <t>Remove Puget Western Common Equity from Other Property and Investments</t>
  </si>
  <si>
    <t>all the numbers on the BS</t>
  </si>
  <si>
    <t xml:space="preserve">Formula </t>
  </si>
  <si>
    <t>Credit common equity amount on PWI books</t>
  </si>
  <si>
    <t>Credit Deferred tax asset amount on PWI books</t>
  </si>
  <si>
    <t>Reclass Workers Comp and Ferndale cash advance to liability (AP)</t>
  </si>
  <si>
    <t>FERC Balance Sheet</t>
  </si>
  <si>
    <t>No top side adjustments, no standard adjustments</t>
  </si>
  <si>
    <t>Note: we do grab the Total Equity number off of PWI books rather than SAP</t>
  </si>
  <si>
    <t>Reclass employer portion of SERP Retieree Benefits from long term liabilities to current liabilities</t>
  </si>
  <si>
    <t>why</t>
  </si>
  <si>
    <t>Reclass Current Maturities from long term debt to current maturities</t>
  </si>
  <si>
    <t>If PGA is less than Zero than it becomes a liability and we move it to a Liability Account</t>
  </si>
  <si>
    <t>Reclass FAS 133 PCA Derivative to Regulatory Liability --&gt; to move a Cr balance in an asset account to a liability account</t>
  </si>
  <si>
    <t>to reclass a Credit balance in an asset account to a liability account</t>
  </si>
  <si>
    <t>Manual entry from SAP report ZFR00017</t>
  </si>
  <si>
    <t>to reclass a Credit balance from a regulatory asset account to a liability account</t>
  </si>
  <si>
    <t>Reclass Debit balance in a liability account to an asset account</t>
  </si>
  <si>
    <t>to reclass a Credit balance from an asset account to a liability account</t>
  </si>
  <si>
    <t>Reclass debit balance in accrued taxes to Prepaid Account</t>
  </si>
  <si>
    <t>no adjustment if Credit balance, move debit balances only</t>
  </si>
  <si>
    <t>to reclass debit balance in a liability account to asset account</t>
  </si>
  <si>
    <t>Reclass current portion from long term liabilities to current liabilities</t>
  </si>
  <si>
    <t>reclass current portion from long term to current liabilities</t>
  </si>
  <si>
    <t>to reclass a credit balance in an asset account to a liability account</t>
  </si>
  <si>
    <t>Record Cust AR Unapplied Credits -- Credit balances in electric and gas accounts are in unapplied credit account in the A/R section of the balance sheet.</t>
  </si>
  <si>
    <t xml:space="preserve">Record PWI Balance Sheet </t>
  </si>
  <si>
    <t>To remove previously recorded Equity in PWI from our books to avoid double booking.  (booked to 123.1 other property and investments on the BS)</t>
  </si>
  <si>
    <t>to record Puget Western Financials in the proper section in our Consolidated financials</t>
  </si>
  <si>
    <t>To net Deferred tax assets and liability together</t>
  </si>
  <si>
    <t>to reclass negative receivable balance in an asset account  to a liability account (purchased gas liability)</t>
  </si>
  <si>
    <t>to reclass Credit balance in an asset account to a liability account</t>
  </si>
  <si>
    <t>to reclass negative receivable balance in an asset account to a liability account</t>
  </si>
  <si>
    <t xml:space="preserve">reduce deferred tax liability by deferred tax asset and report them as one number </t>
  </si>
  <si>
    <t xml:space="preserve"> Reclass Liability adj portion of Cash to Other Current Liabilities (Quarterly adjustment)</t>
  </si>
  <si>
    <t>to reclass a lability from an asset account to a liability account</t>
  </si>
  <si>
    <t xml:space="preserve">     Total Current Liabilities</t>
  </si>
  <si>
    <t>SB</t>
  </si>
  <si>
    <t>MM</t>
  </si>
  <si>
    <t>Changed PWI title from "Total Accounts Payable" to "Total Current Liabilities"</t>
  </si>
  <si>
    <t>Natural Gas</t>
  </si>
  <si>
    <t xml:space="preserve">SB </t>
  </si>
  <si>
    <t>Added backup support for adj #3, Cash balances with a credit balance should be reclassed to other current liabilites.  Previously we did not gather support for this item, and the page number was N/A.    We added backup support and renumbered the pages for the backup to reflect the newly added support.</t>
  </si>
  <si>
    <t>1 USD</t>
  </si>
  <si>
    <t xml:space="preserve">3. Increase Other Current Liabilities and Cash </t>
  </si>
  <si>
    <t>Adj #3 took out the word "Quarterly".  We will check the cash balance on a monthly basis.</t>
  </si>
  <si>
    <t>Created Variant "BS ADJ #5-7" under transaction code f.08.  This allows one transaction to pull more than one account.  Renumbered the pages accordingly.</t>
  </si>
  <si>
    <t>16A</t>
  </si>
  <si>
    <t>Created Variant "BS ADJ #11-12" under transaction code f.08.  This allows one transaction to pull more than one account.  Renumbered the pages accordingly.</t>
  </si>
  <si>
    <t>Made Customer Unapplied credits a standard adjustment.  Added it to the standard adjustment table and removed formula from "top side Entries" column.  Renumbered the pages accordingly.</t>
  </si>
  <si>
    <t>Made Workers comp and Ferdale cash a standard adjustment.  Added it to the Standard adjustment table and removed formula from "top side entries" column.  Renumberd pages accordingly.</t>
  </si>
  <si>
    <t>Moved Customer Unapplied credits from standard adjustment column to "top side entries" column.   As a result I removed adjustment #17 from the standard adjustment table as adjutment is now included in the "top side entries" column.</t>
  </si>
  <si>
    <t>Moved Workers comp and Ferdale cash from standard adjustment column to "top side entries" column.  As a result I removed adjustment #16 from the standard adjustment table as adjutment is now included in the "top side entries" column.</t>
  </si>
  <si>
    <t>Removed the "FERC BS" tab as it is no longer used.  It used to be part of the Monthly Financial Package but it has not been used since 2009.  Removing tab to eliminate confusion this tab could potentially create.   Also removing "FERC Adj" tab as it is not applicable to our GAAP BS.</t>
  </si>
  <si>
    <t>Update Monthly from Treasury</t>
  </si>
  <si>
    <t>F.08  Variant "BS ADJ #5-7 12"</t>
  </si>
  <si>
    <t>F.08  Variant "BS ADJ #11-12"</t>
  </si>
  <si>
    <r>
      <t xml:space="preserve">for Adj #3 I took out the reference </t>
    </r>
    <r>
      <rPr>
        <sz val="12"/>
        <color indexed="10"/>
        <rFont val="Times New Roman"/>
        <family val="1"/>
      </rPr>
      <t>"Amount is ZERO if not a quarter end month."</t>
    </r>
    <r>
      <rPr>
        <sz val="12"/>
        <rFont val="Times New Roman"/>
        <family val="1"/>
      </rPr>
      <t>.  We will be performing this adjustment 'IF Necessary' monthly since CF performs this adjustment monthly as well.  I checked with Mike Stranik and he agreed this adjustment should be performed monthly.</t>
    </r>
  </si>
  <si>
    <t>Monthly</t>
  </si>
  <si>
    <t>plugged 11/5/15</t>
  </si>
  <si>
    <t xml:space="preserve">    Natural Gas</t>
  </si>
  <si>
    <t>22100063-22101053 - Note Due within a year</t>
  </si>
  <si>
    <t>16. Reclass workers comp and ferndale cash credit balance to current liabilities (AP)</t>
  </si>
  <si>
    <t>Moved Workers comp and Ferdale cash from "top side entries" column to standard adjustments.  As a result I added adjustment #16 to the standard adjustment table.</t>
  </si>
  <si>
    <t>13500153 &amp; 13500201</t>
  </si>
  <si>
    <t>Workers comp and Ferndale cash</t>
  </si>
  <si>
    <t>#16</t>
  </si>
  <si>
    <t>Environmental Remediation</t>
  </si>
  <si>
    <t>Property Tax Tracker</t>
  </si>
  <si>
    <t>Subtotal WUTC AFUDC</t>
  </si>
  <si>
    <t>Subtotal Virtual Right of Way-Tree Watch</t>
  </si>
  <si>
    <t>PGA FAS 133 - Pur Gas Adj Deferral</t>
  </si>
  <si>
    <t>Subtotal Major Maintenance</t>
  </si>
  <si>
    <t>Baker Deferral</t>
  </si>
  <si>
    <t>Colstrip</t>
  </si>
  <si>
    <t>Ferndale Deferral</t>
  </si>
  <si>
    <t>Electron Regulatory Assets</t>
  </si>
  <si>
    <t>Lower Snake River Deferral</t>
  </si>
  <si>
    <t>Lower Snake River BPA Transmission</t>
  </si>
  <si>
    <t>Mint Farm Deferral</t>
  </si>
  <si>
    <t>Snoqualmie Deferral</t>
  </si>
  <si>
    <t>White River Regulatory Assets</t>
  </si>
  <si>
    <t>Various Other Regulatory</t>
  </si>
  <si>
    <t>Subtotal Gas Rider &amp; Tracker Conservation</t>
  </si>
  <si>
    <t>Subtotal Elec Rider &amp; Tracker Conservation</t>
  </si>
  <si>
    <t>Subtotal Decoupling (Over)/Under Collections</t>
  </si>
  <si>
    <t>Miscellaneous</t>
  </si>
  <si>
    <t>Subtotal 183</t>
  </si>
  <si>
    <t>Subtotal 187 Property Loss</t>
  </si>
  <si>
    <t>Subtotal 189</t>
  </si>
  <si>
    <t>Subtotal 128</t>
  </si>
  <si>
    <t>Subtotal 143</t>
  </si>
  <si>
    <t>Subtotal 165</t>
  </si>
  <si>
    <t>Subtotal 184</t>
  </si>
  <si>
    <t>Subtotal 186</t>
  </si>
  <si>
    <t>Deferred Debt Costs</t>
  </si>
  <si>
    <t>Subtotal 181</t>
  </si>
  <si>
    <t>LTD</t>
  </si>
  <si>
    <t>Investment in PSE, PSE Tax Windfall</t>
  </si>
  <si>
    <t>Investment in PSE</t>
  </si>
  <si>
    <t>OCI - Investment in PSE</t>
  </si>
  <si>
    <t>Puget Energy Goodwill</t>
  </si>
  <si>
    <t>Subtotal 145</t>
  </si>
  <si>
    <t>Subtotal 171</t>
  </si>
  <si>
    <t>Power Contracts Fair Value (ST)</t>
  </si>
  <si>
    <t>Regulatory Assets Related to Power Contracts</t>
  </si>
  <si>
    <t>Subtotal Powers Contract Fair Value</t>
  </si>
  <si>
    <t>Accounts Payable-Subsidiaries</t>
  </si>
  <si>
    <t>A/P-Other</t>
  </si>
  <si>
    <t>A/P - Associated Companies</t>
  </si>
  <si>
    <t>Subtotal 237</t>
  </si>
  <si>
    <t>Accrued Interest Expense PE Barclays Term Loa</t>
  </si>
  <si>
    <t>Accrued Interest Exp PE JP Morgan Credit Agre</t>
  </si>
  <si>
    <t>Accrued Interest Exp - Int Rt Swaps</t>
  </si>
  <si>
    <t>Accrued Interest 6.5% due 12/15/20</t>
  </si>
  <si>
    <t>Accrued Interest $400 MM 3.65% due 2025</t>
  </si>
  <si>
    <t>6.0% Sr Notes Due 9/1/2021 - Accrued Int</t>
  </si>
  <si>
    <t>Accrued Interest - 5.625% SR Note 7/22</t>
  </si>
  <si>
    <t>Subtotal 242</t>
  </si>
  <si>
    <t>Power Contracts-Current Liab</t>
  </si>
  <si>
    <t>Reg Liabilities Related to Power Contracts</t>
  </si>
  <si>
    <t>Power Contracts Fair Value (LT)</t>
  </si>
  <si>
    <t>SUBS COA Income Accounts</t>
  </si>
  <si>
    <t>(0500)</t>
  </si>
  <si>
    <t>Puget Energy</t>
  </si>
  <si>
    <t>Grand Total</t>
  </si>
  <si>
    <t xml:space="preserve">    Goodwill</t>
  </si>
  <si>
    <t xml:space="preserve">    Power Contract Acquisition adjustment gain</t>
  </si>
  <si>
    <t xml:space="preserve">    Regulatory assets related to power contracts</t>
  </si>
  <si>
    <t xml:space="preserve">   Power Contract Acquisition adjustment Loss</t>
  </si>
  <si>
    <t xml:space="preserve">    Liabilities Related to Power Contracts</t>
  </si>
  <si>
    <t xml:space="preserve">    Power Contract Acquisition Adjustment Loss</t>
  </si>
  <si>
    <t>Adjustment</t>
  </si>
  <si>
    <t xml:space="preserve">    Restricted Cash</t>
  </si>
  <si>
    <t>Puget Sound Energy</t>
  </si>
  <si>
    <t>PE</t>
  </si>
  <si>
    <t xml:space="preserve">Combined PSE and PE in one file to improve process.  Moved PE workpapers and SAP backup to the PSE file.  </t>
  </si>
  <si>
    <t>Moved the adjustments to a separate tab</t>
  </si>
  <si>
    <t>Tie to PSE BS</t>
  </si>
  <si>
    <t>Goodwill</t>
  </si>
  <si>
    <t>Total Other Property and Investments</t>
  </si>
  <si>
    <t>Less Allowance for Doubtful Accounts</t>
  </si>
  <si>
    <t>Prepaid Expense and Other</t>
  </si>
  <si>
    <t>Power Contract Acquisition Adjustment Gain</t>
  </si>
  <si>
    <t>+2 plugged here if needed</t>
  </si>
  <si>
    <t>Total Long-Term Assets</t>
  </si>
  <si>
    <t>Total Shareholders' Equity</t>
  </si>
  <si>
    <t>-1 plug on 10/6/2015</t>
  </si>
  <si>
    <t>Total Long-Term Debt</t>
  </si>
  <si>
    <t>Total Capitalization</t>
  </si>
  <si>
    <t>Minority Interest in Discontinued Operations</t>
  </si>
  <si>
    <t xml:space="preserve">   Purchased Gas Adjustment Liability</t>
  </si>
  <si>
    <t xml:space="preserve">   Taxes</t>
  </si>
  <si>
    <t xml:space="preserve">   Salaries and Wages</t>
  </si>
  <si>
    <t xml:space="preserve">   Interest</t>
  </si>
  <si>
    <t xml:space="preserve">Unrealized Loss on Derivative Instruments </t>
  </si>
  <si>
    <t>Power Contract Acquisition Adjustment Loss</t>
  </si>
  <si>
    <t xml:space="preserve">Regulatory Liabilities Related to Power Contracts </t>
  </si>
  <si>
    <t>Junior Subordinated Notes</t>
  </si>
  <si>
    <t>Short Term Debt</t>
  </si>
  <si>
    <t>Total Capitalization and Short Term Debt</t>
  </si>
  <si>
    <t>Equity Ratio</t>
  </si>
  <si>
    <t>Debt Ratio</t>
  </si>
  <si>
    <t>Salary &amp; Wage Accruals</t>
  </si>
  <si>
    <t>6 A</t>
  </si>
  <si>
    <t>6 B</t>
  </si>
  <si>
    <t>15A</t>
  </si>
  <si>
    <t>19A</t>
  </si>
  <si>
    <t>19B</t>
  </si>
  <si>
    <t>19C</t>
  </si>
  <si>
    <t>19D</t>
  </si>
  <si>
    <t>19E</t>
  </si>
  <si>
    <t>19F</t>
  </si>
  <si>
    <t>21A</t>
  </si>
  <si>
    <t>23A</t>
  </si>
  <si>
    <t>25A</t>
  </si>
  <si>
    <t>27C</t>
  </si>
  <si>
    <t>Remove Adj #13 which creates a reclass if the Current portion of Deferred Income Taxes is negative, than we move it to a liability account. Renumbered adjustments accordingly.</t>
  </si>
  <si>
    <t>13. Reclass debit accrued taxes balance to Prepaid Account</t>
  </si>
  <si>
    <t xml:space="preserve">14. Reclass Land Transportation Clearing receivable negative (credit) balance to a liability </t>
  </si>
  <si>
    <t>15. Reclass workers comp and ferndale cash credit balance to current liabilities (AP)</t>
  </si>
  <si>
    <t>PSE has adopted ASU 2015-17, Balance Sheet Classification of Deferred Taxes, for December 2015 close.  The update requires deferred tas liabilities and assets be classified as noncurrent on the balance sheet.  To implement this ASU, Finacial Systems updated the BS hirerachy on the SAP report by moving the "current portion of deferred income taxes" from the assets section, to the liability  section.  As a result, I deleted "Current Portion of Deferred Income Taxes" line from the current asset section since we no longer have this row in our SAP report.  For 2014 numbers we moved the current portion from the asset section and netted it with the liability section.</t>
  </si>
  <si>
    <t>Subtotal 146</t>
  </si>
  <si>
    <t>41A</t>
  </si>
  <si>
    <t xml:space="preserve">42A + 43A </t>
  </si>
  <si>
    <t>43A</t>
  </si>
  <si>
    <t xml:space="preserve">Before Pension </t>
  </si>
  <si>
    <t xml:space="preserve">After Pension </t>
  </si>
  <si>
    <t>Difference</t>
  </si>
  <si>
    <t>9A</t>
  </si>
  <si>
    <t>After Milliman</t>
  </si>
  <si>
    <t>Before Pension</t>
  </si>
  <si>
    <t>13A &amp; 14A</t>
  </si>
  <si>
    <t>Disc</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</si>
</sst>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_);\(&quot;&quot;#,##0.00\)"/>
    <numFmt numFmtId="165" formatCode="_(* #,##0_);_(* \(#,##0\);_(* &quot;-&quot;??_);_(@_)"/>
    <numFmt numFmtId="171" formatCode="&quot;&quot;#,##0_);\(&quot;&quot;#,##0\)"/>
    <numFmt numFmtId="173" formatCode="mmmm\ d\,\ yyyy"/>
    <numFmt numFmtId="176" formatCode="_(&quot;$&quot;* #,##0_);_(&quot;$&quot;* \(#,##0\);_(&quot;$&quot;* &quot;-&quot;??_);_(@_)"/>
    <numFmt numFmtId="180" formatCode="[$-409]mmmm\ d\,\ yyyy;@"/>
    <numFmt numFmtId="181" formatCode="0_);\(0\)"/>
    <numFmt numFmtId="183" formatCode="0.00_)"/>
    <numFmt numFmtId="186" formatCode="0.0%"/>
  </numFmts>
  <fonts count="76" x14ac:knownFonts="1">
    <font>
      <sz val="10"/>
      <name val="Arial"/>
    </font>
    <font>
      <sz val="10"/>
      <name val="Arial"/>
    </font>
    <font>
      <sz val="8"/>
      <name val="Arial"/>
      <family val="2"/>
    </font>
    <font>
      <sz val="10"/>
      <color indexed="8"/>
      <name val="MS Sans Serif"/>
      <family val="2"/>
    </font>
    <font>
      <sz val="10"/>
      <name val="Bookman Old Style"/>
      <family val="1"/>
    </font>
    <font>
      <b/>
      <sz val="12"/>
      <color indexed="81"/>
      <name val="Tahoma"/>
      <family val="2"/>
    </font>
    <font>
      <sz val="8"/>
      <color indexed="81"/>
      <name val="Tahoma"/>
      <family val="2"/>
    </font>
    <font>
      <sz val="14"/>
      <color indexed="81"/>
      <name val="Tahoma"/>
      <family val="2"/>
    </font>
    <font>
      <sz val="12"/>
      <name val="MS Serif"/>
      <family val="1"/>
    </font>
    <font>
      <sz val="12"/>
      <name val="Times New Roman"/>
      <family val="1"/>
    </font>
    <font>
      <sz val="12"/>
      <color indexed="8"/>
      <name val="Times New Roman"/>
      <family val="1"/>
    </font>
    <font>
      <b/>
      <sz val="12"/>
      <name val="Times New Roman"/>
      <family val="1"/>
    </font>
    <font>
      <b/>
      <sz val="10"/>
      <name val="Arial"/>
      <family val="2"/>
    </font>
    <font>
      <b/>
      <sz val="10"/>
      <color indexed="10"/>
      <name val="Arial"/>
      <family val="2"/>
    </font>
    <font>
      <b/>
      <sz val="8"/>
      <color indexed="81"/>
      <name val="Tahoma"/>
      <family val="2"/>
    </font>
    <font>
      <sz val="14"/>
      <name val="Arial"/>
      <family val="2"/>
    </font>
    <font>
      <sz val="14"/>
      <color indexed="10"/>
      <name val="Arial"/>
      <family val="2"/>
    </font>
    <font>
      <sz val="14"/>
      <color indexed="8"/>
      <name val="Arial"/>
      <family val="2"/>
    </font>
    <font>
      <b/>
      <u/>
      <sz val="14"/>
      <name val="Arial"/>
      <family val="2"/>
    </font>
    <font>
      <b/>
      <sz val="14"/>
      <name val="Arial"/>
      <family val="2"/>
    </font>
    <font>
      <b/>
      <sz val="14"/>
      <color indexed="8"/>
      <name val="Arial"/>
      <family val="2"/>
    </font>
    <font>
      <sz val="14"/>
      <color indexed="12"/>
      <name val="Arial"/>
      <family val="2"/>
    </font>
    <font>
      <u/>
      <sz val="14"/>
      <name val="Arial"/>
      <family val="2"/>
    </font>
    <font>
      <sz val="16"/>
      <color indexed="10"/>
      <name val="Arial"/>
      <family val="2"/>
    </font>
    <font>
      <sz val="16"/>
      <name val="Arial"/>
      <family val="2"/>
    </font>
    <font>
      <b/>
      <sz val="16"/>
      <color indexed="10"/>
      <name val="Arial"/>
      <family val="2"/>
    </font>
    <font>
      <b/>
      <sz val="16"/>
      <name val="Arial"/>
      <family val="2"/>
    </font>
    <font>
      <sz val="16"/>
      <color indexed="8"/>
      <name val="Arial"/>
      <family val="2"/>
    </font>
    <font>
      <b/>
      <sz val="16"/>
      <color indexed="8"/>
      <name val="Arial"/>
      <family val="2"/>
    </font>
    <font>
      <u/>
      <sz val="10"/>
      <color indexed="12"/>
      <name val="Arial"/>
      <family val="2"/>
    </font>
    <font>
      <b/>
      <sz val="16"/>
      <color indexed="12"/>
      <name val="Arial"/>
      <family val="2"/>
    </font>
    <font>
      <sz val="14"/>
      <color indexed="8"/>
      <name val="Bell MT"/>
      <family val="1"/>
    </font>
    <font>
      <b/>
      <sz val="14"/>
      <color indexed="8"/>
      <name val="Bell MT"/>
      <family val="1"/>
    </font>
    <font>
      <sz val="14"/>
      <name val="Bell MT"/>
      <family val="1"/>
    </font>
    <font>
      <b/>
      <sz val="14"/>
      <name val="Bell MT"/>
      <family val="1"/>
    </font>
    <font>
      <u/>
      <sz val="14"/>
      <name val="Bell MT"/>
      <family val="1"/>
    </font>
    <font>
      <b/>
      <u/>
      <sz val="14"/>
      <name val="Bell MT"/>
      <family val="1"/>
    </font>
    <font>
      <b/>
      <sz val="12"/>
      <color indexed="81"/>
      <name val="Arial"/>
      <family val="2"/>
    </font>
    <font>
      <sz val="12"/>
      <color indexed="81"/>
      <name val="Arial"/>
      <family val="2"/>
    </font>
    <font>
      <sz val="10"/>
      <name val="Arial"/>
      <family val="2"/>
    </font>
    <font>
      <b/>
      <sz val="14"/>
      <color indexed="10"/>
      <name val="Arial"/>
      <family val="2"/>
    </font>
    <font>
      <b/>
      <u/>
      <sz val="14"/>
      <color indexed="8"/>
      <name val="Arial"/>
      <family val="2"/>
    </font>
    <font>
      <u/>
      <sz val="14"/>
      <color indexed="8"/>
      <name val="Arial"/>
      <family val="2"/>
    </font>
    <font>
      <b/>
      <u/>
      <sz val="14"/>
      <color indexed="12"/>
      <name val="Arial"/>
      <family val="2"/>
    </font>
    <font>
      <u/>
      <sz val="14"/>
      <color indexed="12"/>
      <name val="Arial"/>
      <family val="2"/>
    </font>
    <font>
      <sz val="10"/>
      <name val="Arial"/>
      <family val="2"/>
    </font>
    <font>
      <sz val="9"/>
      <color indexed="81"/>
      <name val="Tahoma"/>
      <family val="2"/>
    </font>
    <font>
      <b/>
      <sz val="9"/>
      <color indexed="81"/>
      <name val="Tahoma"/>
      <family val="2"/>
    </font>
    <font>
      <b/>
      <sz val="16"/>
      <color indexed="81"/>
      <name val="Tahoma"/>
      <family val="2"/>
    </font>
    <font>
      <sz val="16"/>
      <color indexed="81"/>
      <name val="Tahoma"/>
      <family val="2"/>
    </font>
    <font>
      <sz val="12"/>
      <color indexed="10"/>
      <name val="Times New Roman"/>
      <family val="1"/>
    </font>
    <font>
      <sz val="10"/>
      <name val="Arial"/>
      <family val="2"/>
    </font>
    <font>
      <b/>
      <i/>
      <sz val="16"/>
      <name val="Helv"/>
    </font>
    <font>
      <b/>
      <u/>
      <sz val="16"/>
      <name val="Arial"/>
      <family val="2"/>
    </font>
    <font>
      <sz val="12"/>
      <name val="Arial"/>
      <family val="2"/>
    </font>
    <font>
      <b/>
      <sz val="12"/>
      <name val="Arial"/>
      <family val="2"/>
    </font>
    <font>
      <b/>
      <sz val="12"/>
      <color indexed="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2"/>
      <color theme="1"/>
      <name val="Calibri"/>
      <family val="2"/>
      <scheme val="minor"/>
    </font>
    <font>
      <sz val="14"/>
      <color rgb="FFFF0000"/>
      <name val="Arial"/>
      <family val="2"/>
    </font>
  </fonts>
  <fills count="4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indexed="10"/>
        <bgColor indexed="64"/>
      </patternFill>
    </fill>
    <fill>
      <patternFill patternType="solid">
        <fgColor indexed="46"/>
        <bgColor indexed="64"/>
      </patternFill>
    </fill>
    <fill>
      <patternFill patternType="solid">
        <fgColor indexed="47"/>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8">
    <xf numFmtId="0" fontId="0" fillId="0" borderId="0"/>
    <xf numFmtId="0" fontId="57" fillId="10" borderId="0" applyNumberFormat="0" applyBorder="0" applyAlignment="0" applyProtection="0"/>
    <xf numFmtId="0" fontId="57" fillId="11"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8" fillId="22" borderId="0" applyNumberFormat="0" applyBorder="0" applyAlignment="0" applyProtection="0"/>
    <xf numFmtId="0" fontId="58" fillId="23" borderId="0" applyNumberFormat="0" applyBorder="0" applyAlignment="0" applyProtection="0"/>
    <xf numFmtId="0" fontId="58" fillId="24" borderId="0" applyNumberFormat="0" applyBorder="0" applyAlignment="0" applyProtection="0"/>
    <xf numFmtId="0" fontId="58" fillId="25" borderId="0" applyNumberFormat="0" applyBorder="0" applyAlignment="0" applyProtection="0"/>
    <xf numFmtId="0" fontId="58" fillId="26" borderId="0" applyNumberFormat="0" applyBorder="0" applyAlignment="0" applyProtection="0"/>
    <xf numFmtId="0" fontId="58" fillId="27" borderId="0" applyNumberFormat="0" applyBorder="0" applyAlignment="0" applyProtection="0"/>
    <xf numFmtId="0" fontId="58" fillId="28" borderId="0" applyNumberFormat="0" applyBorder="0" applyAlignment="0" applyProtection="0"/>
    <xf numFmtId="0" fontId="58" fillId="29" borderId="0" applyNumberFormat="0" applyBorder="0" applyAlignment="0" applyProtection="0"/>
    <xf numFmtId="0" fontId="58" fillId="30" borderId="0" applyNumberFormat="0" applyBorder="0" applyAlignment="0" applyProtection="0"/>
    <xf numFmtId="0" fontId="58" fillId="31" borderId="0" applyNumberFormat="0" applyBorder="0" applyAlignment="0" applyProtection="0"/>
    <xf numFmtId="0" fontId="58" fillId="32" borderId="0" applyNumberFormat="0" applyBorder="0" applyAlignment="0" applyProtection="0"/>
    <xf numFmtId="0" fontId="58" fillId="33" borderId="0" applyNumberFormat="0" applyBorder="0" applyAlignment="0" applyProtection="0"/>
    <xf numFmtId="0" fontId="59" fillId="34" borderId="0" applyNumberFormat="0" applyBorder="0" applyAlignment="0" applyProtection="0"/>
    <xf numFmtId="0" fontId="60" fillId="35" borderId="26" applyNumberFormat="0" applyAlignment="0" applyProtection="0"/>
    <xf numFmtId="0" fontId="61" fillId="36" borderId="27" applyNumberFormat="0" applyAlignment="0" applyProtection="0"/>
    <xf numFmtId="43" fontId="1" fillId="0" borderId="0" applyFont="0" applyFill="0" applyBorder="0" applyAlignment="0" applyProtection="0"/>
    <xf numFmtId="43" fontId="45" fillId="0" borderId="0" applyFont="0" applyFill="0" applyBorder="0" applyAlignment="0" applyProtection="0"/>
    <xf numFmtId="43" fontId="51" fillId="0" borderId="0" applyFont="0" applyFill="0" applyBorder="0" applyAlignment="0" applyProtection="0"/>
    <xf numFmtId="43" fontId="39" fillId="0" borderId="0" applyFont="0" applyFill="0" applyBorder="0" applyAlignment="0" applyProtection="0"/>
    <xf numFmtId="44" fontId="1" fillId="0" borderId="0" applyFont="0" applyFill="0" applyBorder="0" applyAlignment="0" applyProtection="0"/>
    <xf numFmtId="44" fontId="45" fillId="0" borderId="0" applyFont="0" applyFill="0" applyBorder="0" applyAlignment="0" applyProtection="0"/>
    <xf numFmtId="44" fontId="57" fillId="0" borderId="0" applyFont="0" applyFill="0" applyBorder="0" applyAlignment="0" applyProtection="0"/>
    <xf numFmtId="0" fontId="62" fillId="0" borderId="0" applyNumberFormat="0" applyFill="0" applyBorder="0" applyAlignment="0" applyProtection="0"/>
    <xf numFmtId="0" fontId="63" fillId="37" borderId="0" applyNumberFormat="0" applyBorder="0" applyAlignment="0" applyProtection="0"/>
    <xf numFmtId="38" fontId="2" fillId="2" borderId="0" applyNumberFormat="0" applyBorder="0" applyAlignment="0" applyProtection="0"/>
    <xf numFmtId="0" fontId="64" fillId="0" borderId="28" applyNumberFormat="0" applyFill="0" applyAlignment="0" applyProtection="0"/>
    <xf numFmtId="0" fontId="65" fillId="0" borderId="29" applyNumberFormat="0" applyFill="0" applyAlignment="0" applyProtection="0"/>
    <xf numFmtId="0" fontId="66" fillId="0" borderId="30" applyNumberFormat="0" applyFill="0" applyAlignment="0" applyProtection="0"/>
    <xf numFmtId="0" fontId="66" fillId="0" borderId="0" applyNumberFormat="0" applyFill="0" applyBorder="0" applyAlignment="0" applyProtection="0"/>
    <xf numFmtId="0" fontId="29" fillId="0" borderId="0" applyNumberFormat="0" applyFill="0" applyBorder="0" applyAlignment="0" applyProtection="0">
      <alignment vertical="top"/>
      <protection locked="0"/>
    </xf>
    <xf numFmtId="0" fontId="67" fillId="38" borderId="26" applyNumberFormat="0" applyAlignment="0" applyProtection="0"/>
    <xf numFmtId="10" fontId="2" fillId="3" borderId="1" applyNumberFormat="0" applyBorder="0" applyAlignment="0" applyProtection="0"/>
    <xf numFmtId="0" fontId="68" fillId="0" borderId="31" applyNumberFormat="0" applyFill="0" applyAlignment="0" applyProtection="0"/>
    <xf numFmtId="0" fontId="69" fillId="39" borderId="0" applyNumberFormat="0" applyBorder="0" applyAlignment="0" applyProtection="0"/>
    <xf numFmtId="183" fontId="52"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39"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8" fillId="0" borderId="0"/>
    <xf numFmtId="0" fontId="3" fillId="0" borderId="0" applyNumberFormat="0" applyFont="0" applyFill="0" applyBorder="0" applyAlignment="0" applyProtection="0"/>
    <xf numFmtId="0" fontId="4" fillId="0" borderId="0"/>
    <xf numFmtId="0" fontId="3" fillId="0" borderId="0" applyNumberFormat="0" applyFont="0" applyFill="0" applyBorder="0" applyAlignment="0" applyProtection="0"/>
    <xf numFmtId="0" fontId="57" fillId="40" borderId="32" applyNumberFormat="0" applyFont="0" applyAlignment="0" applyProtection="0"/>
    <xf numFmtId="0" fontId="70" fillId="35" borderId="33" applyNumberFormat="0" applyAlignment="0" applyProtection="0"/>
    <xf numFmtId="10" fontId="51" fillId="0" borderId="0" applyFont="0" applyFill="0" applyBorder="0" applyAlignment="0" applyProtection="0"/>
    <xf numFmtId="0" fontId="71" fillId="0" borderId="0" applyNumberFormat="0" applyFill="0" applyBorder="0" applyAlignment="0" applyProtection="0"/>
    <xf numFmtId="0" fontId="72" fillId="0" borderId="34" applyNumberFormat="0" applyFill="0" applyAlignment="0" applyProtection="0"/>
    <xf numFmtId="0" fontId="73" fillId="0" borderId="0" applyNumberFormat="0" applyFill="0" applyBorder="0" applyAlignment="0" applyProtection="0"/>
  </cellStyleXfs>
  <cellXfs count="499">
    <xf numFmtId="0" fontId="0" fillId="0" borderId="0" xfId="0"/>
    <xf numFmtId="0" fontId="9" fillId="0" borderId="0" xfId="0" applyFont="1"/>
    <xf numFmtId="0" fontId="11" fillId="0" borderId="2" xfId="0" applyFont="1" applyBorder="1" applyAlignment="1">
      <alignment horizontal="center"/>
    </xf>
    <xf numFmtId="14"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wrapText="1"/>
    </xf>
    <xf numFmtId="0" fontId="10" fillId="0" borderId="0" xfId="70" applyFont="1"/>
    <xf numFmtId="0" fontId="15" fillId="0" borderId="0" xfId="70" applyFont="1" applyProtection="1"/>
    <xf numFmtId="164" fontId="15" fillId="0" borderId="0" xfId="70" applyNumberFormat="1" applyFont="1" applyProtection="1"/>
    <xf numFmtId="0" fontId="17" fillId="0" borderId="0" xfId="70" applyFont="1" applyProtection="1"/>
    <xf numFmtId="0" fontId="17" fillId="0" borderId="0" xfId="70" applyFont="1" applyBorder="1" applyProtection="1"/>
    <xf numFmtId="0" fontId="18" fillId="0" borderId="0" xfId="70" applyFont="1" applyProtection="1"/>
    <xf numFmtId="0" fontId="15" fillId="0" borderId="0" xfId="70" applyFont="1" applyBorder="1" applyProtection="1"/>
    <xf numFmtId="0" fontId="17" fillId="0" borderId="0" xfId="70" applyFont="1" applyFill="1" applyBorder="1" applyProtection="1"/>
    <xf numFmtId="44" fontId="15" fillId="0" borderId="0" xfId="70" applyNumberFormat="1" applyFont="1" applyBorder="1" applyProtection="1"/>
    <xf numFmtId="6" fontId="15" fillId="0" borderId="0" xfId="70" applyNumberFormat="1" applyFont="1" applyBorder="1" applyProtection="1"/>
    <xf numFmtId="0" fontId="18" fillId="0" borderId="0" xfId="70" applyFont="1" applyFill="1" applyBorder="1" applyAlignment="1" applyProtection="1">
      <alignment horizontal="center"/>
    </xf>
    <xf numFmtId="0" fontId="18" fillId="0" borderId="0" xfId="70" applyFont="1" applyAlignment="1" applyProtection="1">
      <alignment horizontal="center"/>
    </xf>
    <xf numFmtId="0" fontId="15" fillId="0" borderId="0" xfId="0" applyFont="1"/>
    <xf numFmtId="0" fontId="15" fillId="0" borderId="0" xfId="0" applyFont="1" applyBorder="1"/>
    <xf numFmtId="0" fontId="15" fillId="0" borderId="0" xfId="0" applyFont="1" applyAlignment="1" applyProtection="1"/>
    <xf numFmtId="0" fontId="20" fillId="0" borderId="0" xfId="69" applyNumberFormat="1" applyFont="1" applyBorder="1" applyAlignment="1" applyProtection="1">
      <alignment horizontal="left" vertical="top" wrapText="1"/>
    </xf>
    <xf numFmtId="0" fontId="18" fillId="0" borderId="3" xfId="70" applyFont="1" applyBorder="1" applyAlignment="1" applyProtection="1">
      <alignment horizontal="center"/>
    </xf>
    <xf numFmtId="0" fontId="18" fillId="0" borderId="4" xfId="70" applyFont="1" applyFill="1" applyBorder="1" applyAlignment="1" applyProtection="1">
      <alignment horizontal="center"/>
    </xf>
    <xf numFmtId="0" fontId="15" fillId="0" borderId="0" xfId="70" applyFont="1" applyFill="1" applyBorder="1" applyProtection="1"/>
    <xf numFmtId="41" fontId="20" fillId="0" borderId="0" xfId="70" applyNumberFormat="1" applyFont="1" applyFill="1" applyBorder="1" applyProtection="1"/>
    <xf numFmtId="41" fontId="17" fillId="0" borderId="5" xfId="70" applyNumberFormat="1" applyFont="1" applyFill="1" applyBorder="1" applyProtection="1"/>
    <xf numFmtId="0" fontId="17" fillId="0" borderId="6" xfId="70" applyFont="1" applyBorder="1" applyProtection="1"/>
    <xf numFmtId="0" fontId="17" fillId="0" borderId="0" xfId="70" applyFont="1" applyBorder="1" applyAlignment="1" applyProtection="1">
      <alignment horizontal="left"/>
    </xf>
    <xf numFmtId="0" fontId="17" fillId="0" borderId="0" xfId="70" applyFont="1" applyFill="1" applyBorder="1" applyAlignment="1" applyProtection="1">
      <alignment horizontal="left"/>
    </xf>
    <xf numFmtId="41" fontId="17" fillId="0" borderId="0" xfId="70" applyNumberFormat="1" applyFont="1" applyBorder="1" applyProtection="1"/>
    <xf numFmtId="41" fontId="20" fillId="0" borderId="5" xfId="70" applyNumberFormat="1" applyFont="1" applyFill="1" applyBorder="1" applyProtection="1"/>
    <xf numFmtId="41" fontId="15" fillId="0" borderId="0" xfId="70" applyNumberFormat="1" applyFont="1" applyBorder="1" applyProtection="1"/>
    <xf numFmtId="0" fontId="17" fillId="4" borderId="6" xfId="70" applyFont="1" applyFill="1" applyBorder="1" applyProtection="1"/>
    <xf numFmtId="0" fontId="17" fillId="4" borderId="0" xfId="70" applyFont="1" applyFill="1" applyBorder="1" applyProtection="1"/>
    <xf numFmtId="41" fontId="20" fillId="4" borderId="5" xfId="70" applyNumberFormat="1" applyFont="1" applyFill="1" applyBorder="1" applyProtection="1"/>
    <xf numFmtId="0" fontId="16" fillId="0" borderId="0" xfId="70" applyFont="1" applyBorder="1" applyProtection="1"/>
    <xf numFmtId="0" fontId="17" fillId="0" borderId="6" xfId="70" applyFont="1" applyFill="1" applyBorder="1" applyProtection="1"/>
    <xf numFmtId="0" fontId="17" fillId="4" borderId="0" xfId="70" applyFont="1" applyFill="1" applyBorder="1" applyAlignment="1" applyProtection="1">
      <alignment horizontal="left"/>
    </xf>
    <xf numFmtId="0" fontId="21" fillId="0" borderId="0" xfId="70" applyFont="1" applyFill="1" applyBorder="1" applyProtection="1"/>
    <xf numFmtId="0" fontId="17" fillId="0" borderId="0" xfId="70" applyFont="1" applyFill="1" applyProtection="1"/>
    <xf numFmtId="0" fontId="17" fillId="0" borderId="0" xfId="69" applyNumberFormat="1" applyFont="1" applyBorder="1" applyAlignment="1" applyProtection="1">
      <alignment horizontal="left" vertical="top" wrapText="1"/>
    </xf>
    <xf numFmtId="0" fontId="22" fillId="0" borderId="7" xfId="70" applyFont="1" applyBorder="1" applyAlignment="1" applyProtection="1">
      <alignment horizontal="center"/>
    </xf>
    <xf numFmtId="0" fontId="24" fillId="0" borderId="0" xfId="70" applyFont="1" applyProtection="1"/>
    <xf numFmtId="3" fontId="24" fillId="0" borderId="0" xfId="70" applyNumberFormat="1" applyFont="1" applyProtection="1"/>
    <xf numFmtId="164" fontId="23" fillId="0" borderId="0" xfId="70" applyNumberFormat="1" applyFont="1" applyFill="1" applyProtection="1"/>
    <xf numFmtId="0" fontId="24" fillId="0" borderId="0" xfId="71" applyNumberFormat="1" applyFont="1" applyFill="1" applyBorder="1" applyAlignment="1" applyProtection="1">
      <alignment horizontal="center"/>
    </xf>
    <xf numFmtId="0" fontId="26" fillId="0" borderId="0" xfId="71" applyNumberFormat="1" applyFont="1" applyFill="1" applyBorder="1" applyAlignment="1" applyProtection="1">
      <alignment horizontal="center"/>
    </xf>
    <xf numFmtId="3" fontId="26" fillId="0" borderId="0" xfId="71" applyNumberFormat="1" applyFont="1" applyFill="1" applyBorder="1" applyAlignment="1" applyProtection="1">
      <alignment horizontal="center"/>
    </xf>
    <xf numFmtId="16" fontId="24" fillId="0" borderId="0" xfId="69" applyNumberFormat="1" applyFont="1" applyFill="1" applyBorder="1" applyAlignment="1" applyProtection="1"/>
    <xf numFmtId="16" fontId="26" fillId="0" borderId="0" xfId="69" applyNumberFormat="1" applyFont="1" applyFill="1" applyBorder="1" applyAlignment="1" applyProtection="1"/>
    <xf numFmtId="3" fontId="26" fillId="0" borderId="0" xfId="69" applyNumberFormat="1" applyFont="1" applyFill="1" applyBorder="1" applyAlignment="1" applyProtection="1">
      <alignment horizontal="center"/>
    </xf>
    <xf numFmtId="41" fontId="26" fillId="0" borderId="0" xfId="68" applyNumberFormat="1" applyFont="1" applyFill="1" applyBorder="1" applyAlignment="1" applyProtection="1">
      <alignment horizontal="center"/>
    </xf>
    <xf numFmtId="164" fontId="26" fillId="0" borderId="0" xfId="70" applyNumberFormat="1" applyFont="1" applyBorder="1" applyAlignment="1" applyProtection="1">
      <alignment horizontal="center"/>
    </xf>
    <xf numFmtId="16" fontId="24" fillId="0" borderId="8" xfId="69" applyNumberFormat="1" applyFont="1" applyFill="1" applyBorder="1" applyAlignment="1" applyProtection="1"/>
    <xf numFmtId="16" fontId="26" fillId="0" borderId="8" xfId="69" applyNumberFormat="1" applyFont="1" applyFill="1" applyBorder="1" applyAlignment="1" applyProtection="1"/>
    <xf numFmtId="3" fontId="26" fillId="0" borderId="8" xfId="69" applyNumberFormat="1" applyFont="1" applyFill="1" applyBorder="1" applyAlignment="1" applyProtection="1">
      <alignment horizontal="center"/>
    </xf>
    <xf numFmtId="41" fontId="26" fillId="0" borderId="8" xfId="68" applyNumberFormat="1" applyFont="1" applyFill="1" applyBorder="1" applyAlignment="1" applyProtection="1">
      <alignment horizontal="center"/>
    </xf>
    <xf numFmtId="164" fontId="26" fillId="0" borderId="8" xfId="70" applyNumberFormat="1" applyFont="1" applyBorder="1" applyAlignment="1" applyProtection="1">
      <alignment horizontal="center"/>
    </xf>
    <xf numFmtId="0" fontId="27" fillId="0" borderId="0" xfId="69" applyNumberFormat="1" applyFont="1" applyFill="1" applyBorder="1" applyAlignment="1" applyProtection="1"/>
    <xf numFmtId="41" fontId="24" fillId="0" borderId="0" xfId="0" applyNumberFormat="1" applyFont="1"/>
    <xf numFmtId="0" fontId="24" fillId="0" borderId="0" xfId="0" applyFont="1"/>
    <xf numFmtId="0" fontId="28" fillId="0" borderId="0" xfId="69" applyNumberFormat="1" applyFont="1" applyFill="1" applyBorder="1" applyAlignment="1" applyProtection="1"/>
    <xf numFmtId="0" fontId="27" fillId="0" borderId="0" xfId="69" applyNumberFormat="1" applyFont="1" applyFill="1" applyBorder="1" applyAlignment="1" applyProtection="1">
      <alignment horizontal="left" vertical="top" wrapText="1"/>
    </xf>
    <xf numFmtId="0" fontId="28" fillId="0" borderId="0" xfId="69" applyNumberFormat="1" applyFont="1" applyFill="1" applyBorder="1" applyAlignment="1" applyProtection="1">
      <alignment horizontal="left" vertical="top" wrapText="1"/>
    </xf>
    <xf numFmtId="49" fontId="28" fillId="0" borderId="0" xfId="69" quotePrefix="1" applyNumberFormat="1" applyFont="1" applyFill="1" applyBorder="1" applyAlignment="1" applyProtection="1">
      <alignment horizontal="left" vertical="top"/>
    </xf>
    <xf numFmtId="49" fontId="25" fillId="0" borderId="0" xfId="69" quotePrefix="1" applyNumberFormat="1" applyFont="1" applyFill="1" applyBorder="1" applyAlignment="1" applyProtection="1">
      <alignment horizontal="left" vertical="top"/>
    </xf>
    <xf numFmtId="41" fontId="23" fillId="0" borderId="0" xfId="0" applyNumberFormat="1" applyFont="1"/>
    <xf numFmtId="164" fontId="24" fillId="0" borderId="0" xfId="0" applyNumberFormat="1" applyFont="1"/>
    <xf numFmtId="41" fontId="23" fillId="0" borderId="9" xfId="0" applyNumberFormat="1" applyFont="1" applyBorder="1"/>
    <xf numFmtId="41" fontId="24" fillId="0" borderId="9" xfId="0" applyNumberFormat="1" applyFont="1" applyBorder="1"/>
    <xf numFmtId="41" fontId="24" fillId="0" borderId="0" xfId="0" applyNumberFormat="1" applyFont="1" applyFill="1"/>
    <xf numFmtId="49" fontId="28" fillId="0" borderId="9" xfId="69" quotePrefix="1" applyNumberFormat="1" applyFont="1" applyFill="1" applyBorder="1" applyAlignment="1" applyProtection="1">
      <alignment horizontal="left" vertical="top"/>
    </xf>
    <xf numFmtId="41" fontId="26" fillId="0" borderId="9" xfId="0" applyNumberFormat="1" applyFont="1" applyBorder="1"/>
    <xf numFmtId="41" fontId="24" fillId="0" borderId="0" xfId="0" applyNumberFormat="1" applyFont="1" applyBorder="1"/>
    <xf numFmtId="0" fontId="28" fillId="0" borderId="10" xfId="69" applyNumberFormat="1" applyFont="1" applyFill="1" applyBorder="1" applyAlignment="1" applyProtection="1">
      <alignment horizontal="left" vertical="top" wrapText="1"/>
    </xf>
    <xf numFmtId="41" fontId="24" fillId="0" borderId="10" xfId="0" applyNumberFormat="1" applyFont="1" applyBorder="1"/>
    <xf numFmtId="41" fontId="26" fillId="0" borderId="10" xfId="0" applyNumberFormat="1" applyFont="1" applyBorder="1"/>
    <xf numFmtId="0" fontId="28" fillId="0" borderId="0" xfId="69" quotePrefix="1" applyNumberFormat="1" applyFont="1" applyFill="1" applyBorder="1" applyAlignment="1" applyProtection="1">
      <alignment horizontal="left" vertical="top" wrapText="1"/>
    </xf>
    <xf numFmtId="0" fontId="28" fillId="0" borderId="0" xfId="69" applyNumberFormat="1" applyFont="1" applyFill="1" applyBorder="1" applyAlignment="1" applyProtection="1">
      <alignment horizontal="left" vertical="top" wrapText="1" indent="2"/>
    </xf>
    <xf numFmtId="165" fontId="24" fillId="0" borderId="0" xfId="0" applyNumberFormat="1" applyFont="1"/>
    <xf numFmtId="49" fontId="28" fillId="0" borderId="11" xfId="69" quotePrefix="1" applyNumberFormat="1" applyFont="1" applyFill="1" applyBorder="1" applyAlignment="1" applyProtection="1">
      <alignment horizontal="left" vertical="top"/>
    </xf>
    <xf numFmtId="0" fontId="24" fillId="0" borderId="0" xfId="0" applyFont="1" applyAlignment="1" applyProtection="1"/>
    <xf numFmtId="0" fontId="28" fillId="0" borderId="0" xfId="69" applyNumberFormat="1" applyFont="1" applyBorder="1" applyAlignment="1" applyProtection="1">
      <alignment horizontal="left" vertical="top" wrapText="1"/>
    </xf>
    <xf numFmtId="0" fontId="28" fillId="0" borderId="9" xfId="69" quotePrefix="1" applyNumberFormat="1" applyFont="1" applyFill="1" applyBorder="1" applyAlignment="1" applyProtection="1">
      <alignment horizontal="left" vertical="top" wrapText="1"/>
    </xf>
    <xf numFmtId="0" fontId="30" fillId="0" borderId="9" xfId="69" quotePrefix="1" applyNumberFormat="1" applyFont="1" applyFill="1" applyBorder="1" applyAlignment="1" applyProtection="1">
      <alignment horizontal="left" vertical="top" wrapText="1"/>
    </xf>
    <xf numFmtId="0" fontId="30" fillId="0" borderId="0" xfId="69" applyNumberFormat="1" applyFont="1" applyFill="1" applyBorder="1" applyAlignment="1" applyProtection="1">
      <alignment horizontal="left" vertical="top" wrapText="1"/>
    </xf>
    <xf numFmtId="41" fontId="24" fillId="0" borderId="10" xfId="0" applyNumberFormat="1" applyFont="1" applyFill="1" applyBorder="1"/>
    <xf numFmtId="41" fontId="19" fillId="0" borderId="5" xfId="70" applyNumberFormat="1" applyFont="1" applyFill="1" applyBorder="1" applyProtection="1"/>
    <xf numFmtId="0" fontId="15" fillId="0" borderId="0" xfId="0" applyFont="1" applyFill="1"/>
    <xf numFmtId="0" fontId="31" fillId="0" borderId="2" xfId="70" applyFont="1" applyFill="1" applyBorder="1" applyAlignment="1" applyProtection="1">
      <alignment horizontal="center"/>
    </xf>
    <xf numFmtId="0" fontId="31" fillId="0" borderId="0" xfId="70" applyFont="1" applyFill="1" applyProtection="1"/>
    <xf numFmtId="41" fontId="30" fillId="0" borderId="0" xfId="0" applyNumberFormat="1" applyFont="1" applyBorder="1"/>
    <xf numFmtId="0" fontId="24" fillId="0" borderId="0" xfId="0" applyFont="1" applyFill="1"/>
    <xf numFmtId="0" fontId="28" fillId="0" borderId="0" xfId="69" applyNumberFormat="1" applyFont="1" applyFill="1" applyBorder="1" applyAlignment="1" applyProtection="1">
      <alignment horizontal="left" vertical="top" wrapText="1" indent="1"/>
    </xf>
    <xf numFmtId="41" fontId="26" fillId="0" borderId="0" xfId="0" applyNumberFormat="1" applyFont="1" applyFill="1"/>
    <xf numFmtId="0" fontId="28" fillId="0" borderId="11" xfId="69" quotePrefix="1" applyNumberFormat="1" applyFont="1" applyFill="1" applyBorder="1" applyAlignment="1" applyProtection="1">
      <alignment horizontal="left" vertical="top" wrapText="1" indent="2"/>
    </xf>
    <xf numFmtId="41" fontId="26" fillId="0" borderId="11" xfId="0" applyNumberFormat="1" applyFont="1" applyFill="1" applyBorder="1"/>
    <xf numFmtId="0" fontId="15" fillId="0" borderId="0" xfId="0" applyFont="1" applyFill="1" applyBorder="1"/>
    <xf numFmtId="0" fontId="26" fillId="0" borderId="0" xfId="69" quotePrefix="1" applyNumberFormat="1" applyFont="1" applyFill="1" applyBorder="1" applyAlignment="1" applyProtection="1">
      <alignment horizontal="left" vertical="top" wrapText="1"/>
    </xf>
    <xf numFmtId="41" fontId="24" fillId="0" borderId="9" xfId="0" applyNumberFormat="1" applyFont="1" applyFill="1" applyBorder="1"/>
    <xf numFmtId="41" fontId="24" fillId="0" borderId="0" xfId="0" applyNumberFormat="1" applyFont="1" applyFill="1" applyBorder="1"/>
    <xf numFmtId="171" fontId="24" fillId="0" borderId="0" xfId="0" applyNumberFormat="1" applyFont="1"/>
    <xf numFmtId="0" fontId="24" fillId="0" borderId="0" xfId="71" applyNumberFormat="1" applyFont="1" applyFill="1" applyBorder="1" applyAlignment="1" applyProtection="1">
      <alignment horizontal="centerContinuous"/>
    </xf>
    <xf numFmtId="0" fontId="17" fillId="0" borderId="12" xfId="70" applyFont="1" applyBorder="1" applyProtection="1"/>
    <xf numFmtId="0" fontId="17" fillId="0" borderId="8" xfId="70" applyFont="1" applyBorder="1" applyProtection="1"/>
    <xf numFmtId="41" fontId="20" fillId="0" borderId="13" xfId="70" applyNumberFormat="1" applyFont="1" applyFill="1" applyBorder="1" applyProtection="1"/>
    <xf numFmtId="165" fontId="33" fillId="0" borderId="0" xfId="0" applyNumberFormat="1" applyFont="1" applyFill="1"/>
    <xf numFmtId="0" fontId="33" fillId="0" borderId="0" xfId="0" applyFont="1" applyFill="1"/>
    <xf numFmtId="165" fontId="34" fillId="0" borderId="0" xfId="0" applyNumberFormat="1" applyFont="1" applyFill="1"/>
    <xf numFmtId="165" fontId="33" fillId="0" borderId="10" xfId="0" applyNumberFormat="1" applyFont="1" applyFill="1" applyBorder="1"/>
    <xf numFmtId="165" fontId="34" fillId="0" borderId="10" xfId="0" applyNumberFormat="1" applyFont="1" applyFill="1" applyBorder="1"/>
    <xf numFmtId="0" fontId="35" fillId="0" borderId="0" xfId="70" applyFont="1" applyFill="1" applyProtection="1"/>
    <xf numFmtId="0" fontId="12" fillId="0" borderId="0" xfId="0" applyFont="1" applyFill="1"/>
    <xf numFmtId="43" fontId="0" fillId="0" borderId="0" xfId="28" applyFont="1" applyFill="1"/>
    <xf numFmtId="165" fontId="0" fillId="0" borderId="0" xfId="28" applyNumberFormat="1" applyFont="1" applyFill="1"/>
    <xf numFmtId="0" fontId="0" fillId="0" borderId="0" xfId="0" applyFill="1"/>
    <xf numFmtId="0" fontId="13" fillId="0" borderId="0" xfId="0" applyFont="1" applyFill="1"/>
    <xf numFmtId="0" fontId="0" fillId="0" borderId="0" xfId="0" applyFill="1" applyAlignment="1">
      <alignment horizontal="center"/>
    </xf>
    <xf numFmtId="165" fontId="0" fillId="0" borderId="0" xfId="0" applyNumberFormat="1" applyFill="1"/>
    <xf numFmtId="165" fontId="31" fillId="0" borderId="0" xfId="28" applyNumberFormat="1" applyFont="1" applyFill="1" applyBorder="1" applyProtection="1"/>
    <xf numFmtId="165" fontId="34" fillId="0" borderId="0" xfId="28" applyNumberFormat="1" applyFont="1" applyFill="1" applyBorder="1" applyProtection="1"/>
    <xf numFmtId="165" fontId="36" fillId="0" borderId="0" xfId="70" applyNumberFormat="1" applyFont="1" applyFill="1" applyBorder="1" applyProtection="1"/>
    <xf numFmtId="0" fontId="17" fillId="0" borderId="0" xfId="70" applyFont="1" applyBorder="1" applyAlignment="1" applyProtection="1">
      <alignment horizontal="center"/>
    </xf>
    <xf numFmtId="0" fontId="28" fillId="0" borderId="9" xfId="69" applyNumberFormat="1" applyFont="1" applyFill="1" applyBorder="1" applyAlignment="1" applyProtection="1">
      <alignment horizontal="left" vertical="top" wrapText="1" indent="2"/>
    </xf>
    <xf numFmtId="49" fontId="25" fillId="0" borderId="9" xfId="69" quotePrefix="1" applyNumberFormat="1" applyFont="1" applyFill="1" applyBorder="1" applyAlignment="1" applyProtection="1">
      <alignment horizontal="left" vertical="top"/>
    </xf>
    <xf numFmtId="41" fontId="26" fillId="0" borderId="9" xfId="0" applyNumberFormat="1" applyFont="1" applyFill="1" applyBorder="1"/>
    <xf numFmtId="16" fontId="26" fillId="0" borderId="8" xfId="69" applyNumberFormat="1" applyFont="1" applyFill="1" applyBorder="1" applyAlignment="1" applyProtection="1">
      <alignment horizontal="center"/>
    </xf>
    <xf numFmtId="0" fontId="39" fillId="0" borderId="0" xfId="0" applyFont="1" applyBorder="1"/>
    <xf numFmtId="0" fontId="16" fillId="0" borderId="0" xfId="0" applyFont="1" applyBorder="1"/>
    <xf numFmtId="0" fontId="39" fillId="0" borderId="0" xfId="0" applyFont="1" applyFill="1" applyBorder="1"/>
    <xf numFmtId="173" fontId="12" fillId="0" borderId="2" xfId="0" applyNumberFormat="1" applyFont="1" applyFill="1" applyBorder="1" applyAlignment="1">
      <alignment horizontal="center"/>
    </xf>
    <xf numFmtId="173" fontId="39" fillId="0" borderId="0" xfId="0" applyNumberFormat="1" applyFont="1" applyFill="1" applyBorder="1"/>
    <xf numFmtId="0" fontId="39" fillId="0" borderId="0" xfId="0" applyFont="1"/>
    <xf numFmtId="0" fontId="12" fillId="0" borderId="0" xfId="0" applyFont="1" applyBorder="1"/>
    <xf numFmtId="41" fontId="39" fillId="0" borderId="0" xfId="0" applyNumberFormat="1" applyFont="1" applyFill="1"/>
    <xf numFmtId="41" fontId="39" fillId="0" borderId="0" xfId="0" applyNumberFormat="1" applyFont="1" applyFill="1" applyBorder="1"/>
    <xf numFmtId="0" fontId="13" fillId="0" borderId="0" xfId="0" applyFont="1"/>
    <xf numFmtId="0" fontId="39" fillId="0" borderId="0" xfId="0" applyFont="1" applyBorder="1" applyAlignment="1">
      <alignment horizontal="left" indent="1"/>
    </xf>
    <xf numFmtId="41" fontId="39" fillId="0" borderId="0" xfId="0" quotePrefix="1" applyNumberFormat="1" applyFont="1" applyFill="1" applyBorder="1"/>
    <xf numFmtId="42" fontId="39" fillId="0" borderId="0" xfId="0" applyNumberFormat="1" applyFont="1"/>
    <xf numFmtId="42" fontId="39" fillId="0" borderId="0" xfId="0" applyNumberFormat="1" applyFont="1" applyBorder="1"/>
    <xf numFmtId="0" fontId="39" fillId="0" borderId="0" xfId="0" applyFont="1" applyBorder="1" applyAlignment="1">
      <alignment horizontal="left" indent="2"/>
    </xf>
    <xf numFmtId="41" fontId="39" fillId="0" borderId="9" xfId="0" applyNumberFormat="1" applyFont="1" applyFill="1" applyBorder="1"/>
    <xf numFmtId="0" fontId="39" fillId="0" borderId="0" xfId="0" applyFont="1" applyFill="1" applyBorder="1" applyAlignment="1">
      <alignment horizontal="left" indent="1"/>
    </xf>
    <xf numFmtId="0" fontId="39" fillId="0" borderId="0" xfId="0" applyFont="1" applyFill="1"/>
    <xf numFmtId="0" fontId="12" fillId="0" borderId="0" xfId="0" applyFont="1" applyFill="1" applyBorder="1" applyAlignment="1">
      <alignment horizontal="left" indent="2"/>
    </xf>
    <xf numFmtId="41" fontId="39" fillId="0" borderId="0" xfId="0" quotePrefix="1" applyNumberFormat="1" applyFont="1" applyFill="1"/>
    <xf numFmtId="0" fontId="12" fillId="0" borderId="0" xfId="0" applyFont="1" applyBorder="1" applyAlignment="1">
      <alignment horizontal="left" indent="2"/>
    </xf>
    <xf numFmtId="42" fontId="39" fillId="0" borderId="10" xfId="0" applyNumberFormat="1" applyFont="1" applyFill="1" applyBorder="1"/>
    <xf numFmtId="42" fontId="39" fillId="0" borderId="0" xfId="0" applyNumberFormat="1" applyFont="1" applyFill="1" applyBorder="1"/>
    <xf numFmtId="42" fontId="39" fillId="0" borderId="0" xfId="0" applyNumberFormat="1" applyFont="1" applyFill="1"/>
    <xf numFmtId="0" fontId="39" fillId="0" borderId="0" xfId="0" applyFont="1" applyBorder="1" applyAlignment="1">
      <alignment horizontal="left" wrapText="1" indent="1"/>
    </xf>
    <xf numFmtId="0" fontId="12" fillId="0" borderId="0" xfId="0" applyFont="1" applyBorder="1" applyAlignment="1">
      <alignment horizontal="left" indent="1"/>
    </xf>
    <xf numFmtId="0" fontId="12" fillId="0" borderId="0" xfId="0" applyFont="1" applyBorder="1" applyAlignment="1">
      <alignment horizontal="left"/>
    </xf>
    <xf numFmtId="0" fontId="39" fillId="0" borderId="0" xfId="0" applyFont="1" applyBorder="1" applyAlignment="1">
      <alignment wrapText="1"/>
    </xf>
    <xf numFmtId="0" fontId="39" fillId="0" borderId="0" xfId="0" applyFont="1" applyFill="1" applyBorder="1" applyAlignment="1">
      <alignment wrapText="1"/>
    </xf>
    <xf numFmtId="0" fontId="39" fillId="0" borderId="0" xfId="0" applyFont="1" applyBorder="1" applyAlignment="1"/>
    <xf numFmtId="0" fontId="39" fillId="0" borderId="0" xfId="0" applyFont="1" applyFill="1" applyBorder="1" applyAlignment="1"/>
    <xf numFmtId="0" fontId="15" fillId="0" borderId="0" xfId="0" applyFont="1" applyAlignment="1">
      <alignment horizontal="center"/>
    </xf>
    <xf numFmtId="0" fontId="17" fillId="0" borderId="0" xfId="70" applyFont="1" applyFill="1" applyBorder="1" applyAlignment="1" applyProtection="1">
      <alignment horizontal="center"/>
    </xf>
    <xf numFmtId="0" fontId="26" fillId="0" borderId="0" xfId="0" applyFont="1" applyAlignment="1" applyProtection="1"/>
    <xf numFmtId="176" fontId="39" fillId="0" borderId="0" xfId="32" quotePrefix="1" applyNumberFormat="1" applyFont="1" applyFill="1" applyBorder="1"/>
    <xf numFmtId="0" fontId="28" fillId="0" borderId="2" xfId="69" quotePrefix="1" applyNumberFormat="1" applyFont="1" applyFill="1" applyBorder="1" applyAlignment="1" applyProtection="1">
      <alignment horizontal="left" vertical="top" wrapText="1"/>
    </xf>
    <xf numFmtId="49" fontId="28" fillId="0" borderId="2" xfId="69" quotePrefix="1" applyNumberFormat="1" applyFont="1" applyFill="1" applyBorder="1" applyAlignment="1" applyProtection="1">
      <alignment horizontal="left" vertical="top"/>
    </xf>
    <xf numFmtId="41" fontId="24" fillId="0" borderId="2" xfId="0" applyNumberFormat="1" applyFont="1" applyBorder="1"/>
    <xf numFmtId="41" fontId="24" fillId="0" borderId="2" xfId="0" applyNumberFormat="1" applyFont="1" applyFill="1" applyBorder="1"/>
    <xf numFmtId="0" fontId="26" fillId="5" borderId="0" xfId="69" quotePrefix="1" applyNumberFormat="1" applyFont="1" applyFill="1" applyBorder="1" applyAlignment="1" applyProtection="1">
      <alignment horizontal="left" vertical="top" wrapText="1"/>
    </xf>
    <xf numFmtId="0" fontId="26" fillId="0" borderId="0" xfId="69" applyNumberFormat="1" applyFont="1" applyFill="1" applyBorder="1" applyAlignment="1" applyProtection="1">
      <alignment horizontal="left" vertical="top" wrapText="1"/>
    </xf>
    <xf numFmtId="0" fontId="31" fillId="0" borderId="2" xfId="70" applyFont="1" applyFill="1" applyBorder="1" applyProtection="1"/>
    <xf numFmtId="0" fontId="31" fillId="0" borderId="0" xfId="70" applyFont="1" applyFill="1" applyBorder="1" applyAlignment="1" applyProtection="1">
      <alignment horizontal="center"/>
    </xf>
    <xf numFmtId="0" fontId="32" fillId="0" borderId="2" xfId="70" applyFont="1" applyFill="1" applyBorder="1" applyAlignment="1" applyProtection="1">
      <alignment horizontal="center"/>
    </xf>
    <xf numFmtId="0" fontId="31" fillId="0" borderId="0" xfId="70" applyFont="1" applyFill="1" applyBorder="1" applyProtection="1"/>
    <xf numFmtId="0" fontId="18" fillId="0" borderId="0" xfId="70" applyFont="1" applyFill="1" applyProtection="1"/>
    <xf numFmtId="44" fontId="15" fillId="0" borderId="0" xfId="70" applyNumberFormat="1" applyFont="1" applyFill="1" applyBorder="1" applyProtection="1"/>
    <xf numFmtId="0" fontId="16" fillId="0" borderId="0" xfId="70" applyFont="1" applyFill="1" applyBorder="1" applyProtection="1"/>
    <xf numFmtId="0" fontId="28" fillId="6" borderId="0" xfId="69" applyNumberFormat="1" applyFont="1" applyFill="1" applyBorder="1" applyAlignment="1" applyProtection="1">
      <alignment horizontal="left" vertical="top" wrapText="1" indent="2"/>
    </xf>
    <xf numFmtId="49" fontId="28" fillId="0" borderId="0" xfId="69" applyNumberFormat="1" applyFont="1" applyFill="1" applyBorder="1" applyAlignment="1" applyProtection="1">
      <alignment horizontal="left" vertical="top"/>
    </xf>
    <xf numFmtId="49" fontId="25" fillId="0" borderId="0" xfId="69" applyNumberFormat="1" applyFont="1" applyFill="1" applyBorder="1" applyAlignment="1" applyProtection="1">
      <alignment horizontal="left" vertical="top"/>
    </xf>
    <xf numFmtId="0" fontId="39" fillId="5" borderId="0" xfId="0" applyFont="1" applyFill="1" applyBorder="1" applyAlignment="1">
      <alignment horizontal="left" indent="1"/>
    </xf>
    <xf numFmtId="0" fontId="39" fillId="5" borderId="0" xfId="0" applyFont="1" applyFill="1" applyBorder="1"/>
    <xf numFmtId="41" fontId="39" fillId="5" borderId="0" xfId="0" applyNumberFormat="1" applyFont="1" applyFill="1" applyBorder="1"/>
    <xf numFmtId="0" fontId="39" fillId="5" borderId="0" xfId="0" applyFont="1" applyFill="1"/>
    <xf numFmtId="3" fontId="0" fillId="0" borderId="0" xfId="0" applyNumberFormat="1"/>
    <xf numFmtId="0" fontId="17" fillId="7" borderId="6" xfId="70" applyFont="1" applyFill="1" applyBorder="1" applyProtection="1"/>
    <xf numFmtId="0" fontId="17" fillId="7" borderId="0" xfId="70" applyFont="1" applyFill="1" applyBorder="1" applyAlignment="1" applyProtection="1">
      <alignment horizontal="left"/>
    </xf>
    <xf numFmtId="0" fontId="17" fillId="7" borderId="0" xfId="70" applyFont="1" applyFill="1" applyBorder="1" applyProtection="1"/>
    <xf numFmtId="41" fontId="17" fillId="7" borderId="0" xfId="70" applyNumberFormat="1" applyFont="1" applyFill="1" applyBorder="1" applyProtection="1"/>
    <xf numFmtId="0" fontId="33" fillId="0" borderId="0" xfId="0" applyFont="1" applyFill="1" applyBorder="1"/>
    <xf numFmtId="165" fontId="33" fillId="0" borderId="0" xfId="0" applyNumberFormat="1" applyFont="1" applyFill="1" applyBorder="1"/>
    <xf numFmtId="165" fontId="34" fillId="0" borderId="0" xfId="0" applyNumberFormat="1" applyFont="1" applyFill="1" applyBorder="1"/>
    <xf numFmtId="0" fontId="22" fillId="0" borderId="6" xfId="70" applyFont="1" applyBorder="1" applyAlignment="1" applyProtection="1">
      <alignment horizontal="center"/>
    </xf>
    <xf numFmtId="0" fontId="18" fillId="0" borderId="0" xfId="70" applyFont="1" applyBorder="1" applyAlignment="1" applyProtection="1">
      <alignment horizontal="center"/>
    </xf>
    <xf numFmtId="0" fontId="18" fillId="0" borderId="5" xfId="70" applyFont="1" applyFill="1" applyBorder="1" applyAlignment="1" applyProtection="1">
      <alignment horizontal="center"/>
    </xf>
    <xf numFmtId="0" fontId="15" fillId="0" borderId="0" xfId="0" applyFont="1" applyBorder="1" applyAlignment="1">
      <alignment horizontal="center"/>
    </xf>
    <xf numFmtId="0" fontId="15" fillId="0" borderId="0" xfId="0" applyFont="1" applyFill="1" applyBorder="1" applyAlignment="1">
      <alignment horizontal="center"/>
    </xf>
    <xf numFmtId="16" fontId="28" fillId="0" borderId="0" xfId="69" quotePrefix="1" applyNumberFormat="1" applyFont="1" applyFill="1" applyBorder="1" applyAlignment="1" applyProtection="1">
      <alignment horizontal="center" vertical="top" wrapText="1"/>
    </xf>
    <xf numFmtId="0" fontId="28" fillId="0" borderId="0" xfId="69" applyNumberFormat="1" applyFont="1" applyBorder="1" applyAlignment="1" applyProtection="1">
      <alignment horizontal="center" vertical="top" wrapText="1"/>
    </xf>
    <xf numFmtId="0" fontId="20" fillId="0" borderId="0" xfId="69" applyNumberFormat="1" applyFont="1" applyBorder="1" applyAlignment="1" applyProtection="1">
      <alignment horizontal="center" vertical="top" wrapText="1"/>
    </xf>
    <xf numFmtId="0" fontId="15" fillId="0" borderId="0" xfId="70" applyFont="1" applyBorder="1" applyAlignment="1" applyProtection="1">
      <alignment horizontal="center"/>
    </xf>
    <xf numFmtId="0" fontId="17" fillId="0" borderId="8" xfId="70" applyFont="1" applyBorder="1" applyAlignment="1" applyProtection="1">
      <alignment horizontal="center"/>
    </xf>
    <xf numFmtId="165" fontId="31" fillId="0" borderId="0" xfId="28" applyNumberFormat="1" applyFont="1" applyFill="1" applyBorder="1" applyAlignment="1" applyProtection="1">
      <alignment horizontal="center"/>
    </xf>
    <xf numFmtId="165" fontId="34" fillId="0" borderId="0" xfId="28" applyNumberFormat="1" applyFont="1" applyFill="1" applyBorder="1" applyAlignment="1" applyProtection="1">
      <alignment horizontal="center"/>
    </xf>
    <xf numFmtId="165" fontId="36" fillId="0" borderId="0" xfId="70" applyNumberFormat="1" applyFont="1" applyFill="1" applyBorder="1" applyAlignment="1" applyProtection="1">
      <alignment horizontal="center"/>
    </xf>
    <xf numFmtId="0" fontId="17" fillId="0" borderId="0" xfId="70" applyFont="1" applyAlignment="1" applyProtection="1">
      <alignment horizontal="center"/>
    </xf>
    <xf numFmtId="0" fontId="19" fillId="0" borderId="0" xfId="0" applyFont="1" applyAlignment="1">
      <alignment horizontal="left"/>
    </xf>
    <xf numFmtId="0" fontId="41" fillId="0" borderId="0" xfId="70" applyFont="1" applyProtection="1"/>
    <xf numFmtId="0" fontId="43" fillId="4" borderId="0" xfId="70" applyFont="1" applyFill="1" applyBorder="1" applyProtection="1"/>
    <xf numFmtId="0" fontId="44" fillId="4" borderId="0" xfId="70" applyFont="1" applyFill="1" applyBorder="1" applyProtection="1"/>
    <xf numFmtId="0" fontId="42" fillId="4" borderId="0" xfId="70" applyFont="1" applyFill="1" applyBorder="1" applyProtection="1"/>
    <xf numFmtId="0" fontId="41" fillId="4" borderId="0" xfId="70" applyFont="1" applyFill="1" applyBorder="1" applyProtection="1"/>
    <xf numFmtId="41" fontId="39" fillId="0" borderId="0" xfId="0" applyNumberFormat="1" applyFont="1" applyFill="1" applyBorder="1" applyAlignment="1">
      <alignment horizontal="right"/>
    </xf>
    <xf numFmtId="165" fontId="0" fillId="0" borderId="0" xfId="28" applyNumberFormat="1" applyFont="1"/>
    <xf numFmtId="165" fontId="0" fillId="0" borderId="0" xfId="28" applyNumberFormat="1" applyFont="1" applyBorder="1"/>
    <xf numFmtId="180" fontId="0" fillId="0" borderId="0" xfId="0" applyNumberFormat="1" applyAlignment="1">
      <alignment horizontal="center"/>
    </xf>
    <xf numFmtId="180" fontId="12" fillId="0" borderId="0" xfId="0" applyNumberFormat="1" applyFont="1" applyAlignment="1">
      <alignment horizontal="center"/>
    </xf>
    <xf numFmtId="165" fontId="0" fillId="0" borderId="0" xfId="0" applyNumberFormat="1" applyBorder="1"/>
    <xf numFmtId="0" fontId="12" fillId="0" borderId="0" xfId="0" applyFont="1"/>
    <xf numFmtId="165" fontId="12" fillId="0" borderId="0" xfId="28" applyNumberFormat="1" applyFont="1"/>
    <xf numFmtId="165" fontId="0" fillId="0" borderId="0" xfId="0" applyNumberFormat="1"/>
    <xf numFmtId="0" fontId="0" fillId="0" borderId="0" xfId="0" applyFill="1" applyBorder="1"/>
    <xf numFmtId="0" fontId="0" fillId="0" borderId="0" xfId="0" applyBorder="1"/>
    <xf numFmtId="165" fontId="12" fillId="0" borderId="0" xfId="28" applyNumberFormat="1" applyFont="1" applyBorder="1"/>
    <xf numFmtId="0" fontId="22" fillId="0" borderId="3" xfId="70" applyFont="1" applyBorder="1" applyAlignment="1" applyProtection="1">
      <alignment horizontal="center"/>
    </xf>
    <xf numFmtId="41" fontId="26" fillId="8" borderId="0" xfId="68" applyNumberFormat="1" applyFont="1" applyFill="1" applyBorder="1" applyAlignment="1" applyProtection="1">
      <alignment horizontal="center"/>
    </xf>
    <xf numFmtId="41" fontId="26" fillId="8" borderId="8" xfId="68" applyNumberFormat="1" applyFont="1" applyFill="1" applyBorder="1" applyAlignment="1" applyProtection="1">
      <alignment horizontal="center"/>
    </xf>
    <xf numFmtId="41" fontId="24" fillId="8" borderId="0" xfId="0" applyNumberFormat="1" applyFont="1" applyFill="1"/>
    <xf numFmtId="41" fontId="23" fillId="8" borderId="9" xfId="0" applyNumberFormat="1" applyFont="1" applyFill="1" applyBorder="1"/>
    <xf numFmtId="41" fontId="26" fillId="8" borderId="9" xfId="0" applyNumberFormat="1" applyFont="1" applyFill="1" applyBorder="1"/>
    <xf numFmtId="41" fontId="24" fillId="8" borderId="2" xfId="0" applyNumberFormat="1" applyFont="1" applyFill="1" applyBorder="1"/>
    <xf numFmtId="41" fontId="26" fillId="8" borderId="10" xfId="0" applyNumberFormat="1" applyFont="1" applyFill="1" applyBorder="1"/>
    <xf numFmtId="41" fontId="24" fillId="8" borderId="9" xfId="0" applyNumberFormat="1" applyFont="1" applyFill="1" applyBorder="1"/>
    <xf numFmtId="164" fontId="24" fillId="8" borderId="0" xfId="0" applyNumberFormat="1" applyFont="1" applyFill="1"/>
    <xf numFmtId="41" fontId="26" fillId="8" borderId="11" xfId="0" applyNumberFormat="1" applyFont="1" applyFill="1" applyBorder="1"/>
    <xf numFmtId="165" fontId="24" fillId="8" borderId="0" xfId="0" applyNumberFormat="1" applyFont="1" applyFill="1"/>
    <xf numFmtId="0" fontId="0" fillId="0" borderId="0" xfId="0" applyAlignment="1">
      <alignment horizontal="left"/>
    </xf>
    <xf numFmtId="180" fontId="12" fillId="0" borderId="2" xfId="0" applyNumberFormat="1" applyFont="1" applyFill="1" applyBorder="1" applyAlignment="1">
      <alignment horizontal="center"/>
    </xf>
    <xf numFmtId="165" fontId="25" fillId="0" borderId="0" xfId="28" applyNumberFormat="1" applyFont="1" applyFill="1" applyBorder="1" applyAlignment="1" applyProtection="1">
      <alignment horizontal="centerContinuous"/>
    </xf>
    <xf numFmtId="165" fontId="26" fillId="0" borderId="0" xfId="28" applyNumberFormat="1" applyFont="1" applyFill="1" applyBorder="1" applyAlignment="1" applyProtection="1">
      <alignment horizontal="center"/>
    </xf>
    <xf numFmtId="165" fontId="26" fillId="0" borderId="8" xfId="28" applyNumberFormat="1" applyFont="1" applyFill="1" applyBorder="1" applyAlignment="1" applyProtection="1">
      <alignment horizontal="center"/>
    </xf>
    <xf numFmtId="165" fontId="24" fillId="0" borderId="0" xfId="28" applyNumberFormat="1" applyFont="1"/>
    <xf numFmtId="165" fontId="23" fillId="0" borderId="0" xfId="28" applyNumberFormat="1" applyFont="1" applyFill="1"/>
    <xf numFmtId="165" fontId="23" fillId="0" borderId="9" xfId="28" applyNumberFormat="1" applyFont="1" applyBorder="1"/>
    <xf numFmtId="165" fontId="24" fillId="0" borderId="0" xfId="28" applyNumberFormat="1" applyFont="1" applyFill="1"/>
    <xf numFmtId="165" fontId="24" fillId="0" borderId="9" xfId="28" applyNumberFormat="1" applyFont="1" applyFill="1" applyBorder="1"/>
    <xf numFmtId="165" fontId="24" fillId="0" borderId="0" xfId="28" applyNumberFormat="1" applyFont="1" applyFill="1" applyBorder="1"/>
    <xf numFmtId="165" fontId="24" fillId="0" borderId="10" xfId="28" applyNumberFormat="1" applyFont="1" applyFill="1" applyBorder="1"/>
    <xf numFmtId="165" fontId="23" fillId="0" borderId="9" xfId="28" applyNumberFormat="1" applyFont="1" applyFill="1" applyBorder="1"/>
    <xf numFmtId="165" fontId="15" fillId="0" borderId="0" xfId="28" applyNumberFormat="1" applyFont="1" applyFill="1"/>
    <xf numFmtId="165" fontId="24" fillId="0" borderId="11" xfId="28" applyNumberFormat="1" applyFont="1" applyFill="1" applyBorder="1"/>
    <xf numFmtId="165" fontId="15" fillId="0" borderId="0" xfId="28" applyNumberFormat="1" applyFont="1"/>
    <xf numFmtId="165" fontId="18" fillId="0" borderId="3" xfId="28" applyNumberFormat="1" applyFont="1" applyBorder="1" applyAlignment="1" applyProtection="1">
      <alignment horizontal="center"/>
    </xf>
    <xf numFmtId="165" fontId="18" fillId="0" borderId="0" xfId="28" applyNumberFormat="1" applyFont="1" applyBorder="1" applyAlignment="1" applyProtection="1">
      <alignment horizontal="center"/>
    </xf>
    <xf numFmtId="165" fontId="17" fillId="0" borderId="0" xfId="28" applyNumberFormat="1" applyFont="1" applyFill="1" applyProtection="1"/>
    <xf numFmtId="165" fontId="31" fillId="0" borderId="2" xfId="28" applyNumberFormat="1" applyFont="1" applyFill="1" applyBorder="1" applyAlignment="1" applyProtection="1">
      <alignment horizontal="center"/>
    </xf>
    <xf numFmtId="165" fontId="33" fillId="0" borderId="0" xfId="28" applyNumberFormat="1" applyFont="1" applyFill="1"/>
    <xf numFmtId="165" fontId="33" fillId="0" borderId="10" xfId="28" applyNumberFormat="1" applyFont="1" applyFill="1" applyBorder="1"/>
    <xf numFmtId="165" fontId="33" fillId="0" borderId="0" xfId="28" applyNumberFormat="1" applyFont="1" applyFill="1" applyBorder="1"/>
    <xf numFmtId="181" fontId="17" fillId="0" borderId="0" xfId="28" applyNumberFormat="1" applyFont="1" applyBorder="1" applyAlignment="1" applyProtection="1">
      <alignment horizontal="right"/>
    </xf>
    <xf numFmtId="181" fontId="17" fillId="7" borderId="0" xfId="28" applyNumberFormat="1" applyFont="1" applyFill="1" applyBorder="1" applyAlignment="1" applyProtection="1">
      <alignment horizontal="right"/>
    </xf>
    <xf numFmtId="165" fontId="17" fillId="0" borderId="0" xfId="28" applyNumberFormat="1" applyFont="1" applyBorder="1" applyAlignment="1" applyProtection="1">
      <alignment horizontal="right"/>
    </xf>
    <xf numFmtId="165" fontId="15" fillId="0" borderId="0" xfId="28" applyNumberFormat="1" applyFont="1" applyBorder="1" applyAlignment="1" applyProtection="1">
      <alignment horizontal="right"/>
    </xf>
    <xf numFmtId="165" fontId="17" fillId="4" borderId="0" xfId="28" applyNumberFormat="1" applyFont="1" applyFill="1" applyBorder="1" applyAlignment="1" applyProtection="1">
      <alignment horizontal="right"/>
    </xf>
    <xf numFmtId="165" fontId="17" fillId="0" borderId="0" xfId="28" applyNumberFormat="1" applyFont="1" applyFill="1" applyBorder="1" applyAlignment="1" applyProtection="1">
      <alignment horizontal="right"/>
    </xf>
    <xf numFmtId="42" fontId="39" fillId="41" borderId="0" xfId="0" applyNumberFormat="1" applyFont="1" applyFill="1"/>
    <xf numFmtId="0" fontId="20" fillId="0" borderId="0" xfId="70" applyFont="1" applyFill="1" applyBorder="1" applyAlignment="1" applyProtection="1">
      <alignment horizontal="center"/>
    </xf>
    <xf numFmtId="0" fontId="26" fillId="0" borderId="0" xfId="0" applyFont="1"/>
    <xf numFmtId="41" fontId="23" fillId="0" borderId="0" xfId="0" applyNumberFormat="1" applyFont="1" applyFill="1"/>
    <xf numFmtId="0" fontId="26" fillId="0" borderId="0" xfId="0" applyFont="1" applyFill="1"/>
    <xf numFmtId="0" fontId="12" fillId="0" borderId="2" xfId="0" applyFont="1" applyBorder="1" applyAlignment="1">
      <alignment horizontal="left"/>
    </xf>
    <xf numFmtId="0" fontId="72" fillId="0" borderId="0" xfId="0" applyFont="1"/>
    <xf numFmtId="37" fontId="0" fillId="0" borderId="0" xfId="0" applyNumberFormat="1"/>
    <xf numFmtId="37" fontId="0" fillId="0" borderId="2" xfId="0" applyNumberFormat="1" applyBorder="1"/>
    <xf numFmtId="37" fontId="72" fillId="0" borderId="0" xfId="0" applyNumberFormat="1" applyFont="1"/>
    <xf numFmtId="37" fontId="0" fillId="0" borderId="0" xfId="0" applyNumberFormat="1" applyBorder="1"/>
    <xf numFmtId="0" fontId="12" fillId="0" borderId="0" xfId="0" applyFont="1" applyAlignment="1">
      <alignment horizontal="center"/>
    </xf>
    <xf numFmtId="37" fontId="57" fillId="0" borderId="0" xfId="58" applyNumberFormat="1"/>
    <xf numFmtId="0" fontId="57" fillId="0" borderId="0" xfId="58"/>
    <xf numFmtId="37" fontId="72" fillId="0" borderId="0" xfId="0" applyNumberFormat="1" applyFont="1" applyBorder="1"/>
    <xf numFmtId="41" fontId="26" fillId="8" borderId="0" xfId="0" applyNumberFormat="1" applyFont="1" applyFill="1" applyBorder="1"/>
    <xf numFmtId="41" fontId="26" fillId="0" borderId="0" xfId="0" applyNumberFormat="1" applyFont="1" applyBorder="1"/>
    <xf numFmtId="0" fontId="39" fillId="0" borderId="0" xfId="0" applyFont="1" applyAlignment="1">
      <alignment horizontal="center"/>
    </xf>
    <xf numFmtId="165" fontId="0" fillId="0" borderId="0" xfId="29" applyNumberFormat="1" applyFont="1" applyFill="1"/>
    <xf numFmtId="165" fontId="0" fillId="0" borderId="0" xfId="29" applyNumberFormat="1" applyFont="1"/>
    <xf numFmtId="165" fontId="0" fillId="0" borderId="2" xfId="29" applyNumberFormat="1" applyFont="1" applyBorder="1"/>
    <xf numFmtId="165" fontId="0" fillId="0" borderId="0" xfId="29" applyNumberFormat="1" applyFont="1" applyBorder="1"/>
    <xf numFmtId="0" fontId="0" fillId="0" borderId="2" xfId="0" applyBorder="1"/>
    <xf numFmtId="180" fontId="12" fillId="0" borderId="0" xfId="0" applyNumberFormat="1" applyFont="1" applyAlignment="1">
      <alignment horizontal="left"/>
    </xf>
    <xf numFmtId="165" fontId="12" fillId="0" borderId="0" xfId="29" applyNumberFormat="1" applyFont="1"/>
    <xf numFmtId="165" fontId="12" fillId="0" borderId="10" xfId="29" applyNumberFormat="1" applyFont="1" applyBorder="1"/>
    <xf numFmtId="165" fontId="12" fillId="0" borderId="0" xfId="29" applyNumberFormat="1" applyFont="1" applyBorder="1"/>
    <xf numFmtId="165" fontId="0" fillId="2" borderId="0" xfId="29" applyNumberFormat="1" applyFont="1" applyFill="1"/>
    <xf numFmtId="165" fontId="0" fillId="2" borderId="2" xfId="29" applyNumberFormat="1" applyFont="1" applyFill="1" applyBorder="1"/>
    <xf numFmtId="165" fontId="0" fillId="2" borderId="0" xfId="29" applyNumberFormat="1" applyFont="1" applyFill="1" applyBorder="1"/>
    <xf numFmtId="0" fontId="0" fillId="9" borderId="0" xfId="0" applyFill="1"/>
    <xf numFmtId="0" fontId="0" fillId="9" borderId="0" xfId="0" applyFill="1" applyBorder="1"/>
    <xf numFmtId="165" fontId="12" fillId="0" borderId="0" xfId="0" applyNumberFormat="1" applyFont="1"/>
    <xf numFmtId="0" fontId="39" fillId="9" borderId="0" xfId="0" applyFont="1" applyFill="1"/>
    <xf numFmtId="165" fontId="0" fillId="0" borderId="10" xfId="29" applyNumberFormat="1" applyFont="1" applyBorder="1"/>
    <xf numFmtId="165" fontId="12" fillId="0" borderId="0" xfId="29" applyNumberFormat="1" applyFont="1" applyFill="1"/>
    <xf numFmtId="165" fontId="0" fillId="0" borderId="0" xfId="0" applyNumberFormat="1" applyFill="1" applyBorder="1"/>
    <xf numFmtId="0" fontId="74" fillId="0" borderId="0" xfId="58" applyFont="1" applyAlignment="1">
      <alignment horizontal="center"/>
    </xf>
    <xf numFmtId="37" fontId="57" fillId="0" borderId="0" xfId="58" applyNumberFormat="1" applyBorder="1"/>
    <xf numFmtId="0" fontId="57" fillId="0" borderId="0" xfId="58" applyAlignment="1">
      <alignment horizontal="center"/>
    </xf>
    <xf numFmtId="18" fontId="39" fillId="0" borderId="0" xfId="0" quotePrefix="1" applyNumberFormat="1" applyFont="1" applyAlignment="1">
      <alignment horizontal="center"/>
    </xf>
    <xf numFmtId="37" fontId="57" fillId="0" borderId="0" xfId="34" applyNumberFormat="1" applyFont="1"/>
    <xf numFmtId="0" fontId="15" fillId="42" borderId="0" xfId="0" applyFont="1" applyFill="1"/>
    <xf numFmtId="0" fontId="18" fillId="42" borderId="0" xfId="0" applyFont="1" applyFill="1"/>
    <xf numFmtId="0" fontId="12" fillId="0" borderId="0" xfId="0" applyNumberFormat="1" applyFont="1" applyAlignment="1">
      <alignment vertical="top" wrapText="1"/>
    </xf>
    <xf numFmtId="0" fontId="0" fillId="0" borderId="0" xfId="0" applyNumberFormat="1" applyAlignment="1">
      <alignment vertical="top" wrapText="1"/>
    </xf>
    <xf numFmtId="0" fontId="0" fillId="0" borderId="14" xfId="0" applyNumberFormat="1" applyBorder="1" applyAlignment="1">
      <alignment vertical="top" wrapText="1"/>
    </xf>
    <xf numFmtId="0" fontId="0" fillId="0" borderId="15" xfId="0" applyNumberFormat="1" applyBorder="1" applyAlignment="1">
      <alignment vertical="top" wrapText="1"/>
    </xf>
    <xf numFmtId="0" fontId="0" fillId="0" borderId="16" xfId="0" applyNumberFormat="1" applyBorder="1" applyAlignment="1">
      <alignment vertical="top" wrapText="1"/>
    </xf>
    <xf numFmtId="0" fontId="0" fillId="0" borderId="17" xfId="0" applyNumberFormat="1" applyBorder="1" applyAlignment="1">
      <alignment vertical="top" wrapText="1"/>
    </xf>
    <xf numFmtId="0" fontId="0" fillId="0" borderId="18" xfId="0" applyNumberFormat="1" applyBorder="1" applyAlignment="1">
      <alignment vertical="top" wrapText="1"/>
    </xf>
    <xf numFmtId="0" fontId="0" fillId="0" borderId="19" xfId="0" applyNumberFormat="1" applyBorder="1" applyAlignment="1">
      <alignment vertical="top" wrapText="1"/>
    </xf>
    <xf numFmtId="0" fontId="0" fillId="0" borderId="20" xfId="0" applyNumberFormat="1" applyBorder="1" applyAlignment="1">
      <alignment vertical="top" wrapText="1"/>
    </xf>
    <xf numFmtId="0" fontId="12"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5" xfId="0" applyNumberFormat="1" applyBorder="1" applyAlignment="1">
      <alignment horizontal="center" vertical="top" wrapText="1"/>
    </xf>
    <xf numFmtId="0" fontId="0" fillId="0" borderId="21" xfId="0" applyNumberFormat="1" applyBorder="1" applyAlignment="1">
      <alignment horizontal="center" vertical="top" wrapText="1"/>
    </xf>
    <xf numFmtId="0" fontId="29" fillId="0" borderId="0" xfId="42" quotePrefix="1" applyNumberFormat="1" applyAlignment="1" applyProtection="1">
      <alignment horizontal="center" vertical="top" wrapText="1"/>
    </xf>
    <xf numFmtId="0" fontId="0" fillId="0" borderId="22" xfId="0" applyNumberFormat="1" applyBorder="1" applyAlignment="1">
      <alignment horizontal="center" vertical="top" wrapText="1"/>
    </xf>
    <xf numFmtId="0" fontId="0" fillId="0" borderId="18" xfId="0" applyNumberFormat="1" applyBorder="1" applyAlignment="1">
      <alignment horizontal="center" vertical="top" wrapText="1"/>
    </xf>
    <xf numFmtId="0" fontId="29" fillId="0" borderId="18" xfId="42" quotePrefix="1" applyNumberFormat="1" applyBorder="1" applyAlignment="1" applyProtection="1">
      <alignment horizontal="center" vertical="top" wrapText="1"/>
    </xf>
    <xf numFmtId="0" fontId="0" fillId="0" borderId="23" xfId="0" applyNumberFormat="1" applyBorder="1" applyAlignment="1">
      <alignment horizontal="center" vertical="top" wrapText="1"/>
    </xf>
    <xf numFmtId="0" fontId="0" fillId="0" borderId="20" xfId="0" applyNumberFormat="1" applyBorder="1" applyAlignment="1">
      <alignment horizontal="center" vertical="top" wrapText="1"/>
    </xf>
    <xf numFmtId="0" fontId="0" fillId="0" borderId="24" xfId="0" applyNumberFormat="1" applyBorder="1" applyAlignment="1">
      <alignment horizontal="center" vertical="top" wrapText="1"/>
    </xf>
    <xf numFmtId="41" fontId="17" fillId="43" borderId="5" xfId="70" applyNumberFormat="1" applyFont="1" applyFill="1" applyBorder="1" applyProtection="1"/>
    <xf numFmtId="41" fontId="20" fillId="43" borderId="5" xfId="70" applyNumberFormat="1" applyFont="1" applyFill="1" applyBorder="1" applyProtection="1"/>
    <xf numFmtId="41" fontId="19" fillId="43" borderId="5" xfId="70" applyNumberFormat="1" applyFont="1" applyFill="1" applyBorder="1" applyProtection="1"/>
    <xf numFmtId="0" fontId="15" fillId="44" borderId="0" xfId="0" applyFont="1" applyFill="1"/>
    <xf numFmtId="0" fontId="39" fillId="44" borderId="0" xfId="0" quotePrefix="1" applyFont="1" applyFill="1"/>
    <xf numFmtId="0" fontId="39" fillId="44" borderId="0" xfId="0" applyFont="1" applyFill="1"/>
    <xf numFmtId="165" fontId="24" fillId="45" borderId="0" xfId="28" applyNumberFormat="1" applyFont="1" applyFill="1"/>
    <xf numFmtId="0" fontId="72" fillId="0" borderId="0" xfId="0" applyFont="1" applyAlignment="1">
      <alignment horizontal="center"/>
    </xf>
    <xf numFmtId="14" fontId="72" fillId="0" borderId="2" xfId="0" applyNumberFormat="1" applyFont="1" applyBorder="1" applyAlignment="1">
      <alignment horizontal="center"/>
    </xf>
    <xf numFmtId="0" fontId="72" fillId="0" borderId="2" xfId="0" applyFont="1" applyBorder="1" applyAlignment="1">
      <alignment horizontal="center"/>
    </xf>
    <xf numFmtId="37" fontId="72" fillId="0" borderId="25" xfId="0" applyNumberFormat="1" applyFont="1" applyBorder="1"/>
    <xf numFmtId="0" fontId="0" fillId="0" borderId="0" xfId="0" applyFont="1"/>
    <xf numFmtId="37" fontId="72" fillId="0" borderId="2" xfId="0" applyNumberFormat="1" applyFont="1" applyBorder="1"/>
    <xf numFmtId="165" fontId="24" fillId="44" borderId="2" xfId="28" applyNumberFormat="1" applyFont="1" applyFill="1" applyBorder="1"/>
    <xf numFmtId="0" fontId="39" fillId="45" borderId="0" xfId="0" quotePrefix="1" applyFont="1" applyFill="1"/>
    <xf numFmtId="0" fontId="39" fillId="45" borderId="0" xfId="0" applyFont="1" applyFill="1"/>
    <xf numFmtId="181" fontId="17" fillId="0" borderId="0" xfId="28" applyNumberFormat="1" applyFont="1" applyFill="1" applyBorder="1" applyAlignment="1" applyProtection="1">
      <alignment horizontal="right"/>
    </xf>
    <xf numFmtId="41" fontId="17" fillId="0" borderId="0" xfId="70" applyNumberFormat="1" applyFont="1" applyFill="1" applyBorder="1" applyProtection="1"/>
    <xf numFmtId="0" fontId="40" fillId="0" borderId="6" xfId="70" applyFont="1" applyFill="1" applyBorder="1" applyAlignment="1" applyProtection="1">
      <alignment horizontal="left" indent="3"/>
    </xf>
    <xf numFmtId="0" fontId="17" fillId="0" borderId="0" xfId="70" quotePrefix="1" applyFont="1" applyFill="1" applyBorder="1" applyProtection="1"/>
    <xf numFmtId="0" fontId="17" fillId="0" borderId="0" xfId="70" quotePrefix="1" applyFont="1" applyFill="1" applyBorder="1" applyAlignment="1" applyProtection="1">
      <alignment horizontal="center"/>
    </xf>
    <xf numFmtId="165" fontId="17" fillId="0" borderId="0" xfId="28" quotePrefix="1" applyNumberFormat="1" applyFont="1" applyFill="1" applyBorder="1" applyAlignment="1" applyProtection="1">
      <alignment horizontal="right"/>
    </xf>
    <xf numFmtId="41" fontId="15" fillId="0" borderId="0" xfId="70" applyNumberFormat="1" applyFont="1" applyFill="1" applyBorder="1" applyProtection="1"/>
    <xf numFmtId="0" fontId="43" fillId="0" borderId="0" xfId="70" applyFont="1" applyFill="1" applyBorder="1" applyProtection="1"/>
    <xf numFmtId="0" fontId="41" fillId="0" borderId="0" xfId="70" applyFont="1" applyFill="1" applyBorder="1" applyProtection="1"/>
    <xf numFmtId="0" fontId="17" fillId="0" borderId="0" xfId="70" applyFont="1" applyFill="1" applyBorder="1" applyAlignment="1" applyProtection="1">
      <alignment wrapText="1"/>
    </xf>
    <xf numFmtId="0" fontId="0" fillId="0" borderId="0" xfId="0" applyAlignment="1">
      <alignment wrapText="1"/>
    </xf>
    <xf numFmtId="0" fontId="18" fillId="0" borderId="3" xfId="70" applyFont="1" applyBorder="1" applyAlignment="1" applyProtection="1">
      <alignment horizontal="center" wrapText="1"/>
    </xf>
    <xf numFmtId="0" fontId="18" fillId="0" borderId="0" xfId="70" applyFont="1" applyBorder="1" applyAlignment="1" applyProtection="1">
      <alignment horizontal="center" wrapText="1"/>
    </xf>
    <xf numFmtId="41" fontId="15" fillId="0" borderId="0" xfId="70" applyNumberFormat="1" applyFont="1" applyFill="1" applyBorder="1" applyAlignment="1" applyProtection="1">
      <alignment wrapText="1"/>
    </xf>
    <xf numFmtId="0" fontId="21" fillId="0" borderId="0" xfId="70" applyFont="1" applyFill="1" applyBorder="1" applyAlignment="1" applyProtection="1">
      <alignment wrapText="1"/>
    </xf>
    <xf numFmtId="0" fontId="17" fillId="0" borderId="8" xfId="70" applyFont="1" applyBorder="1" applyAlignment="1" applyProtection="1">
      <alignment wrapText="1"/>
    </xf>
    <xf numFmtId="0" fontId="17" fillId="0" borderId="0" xfId="70" applyFont="1" applyFill="1" applyBorder="1" applyAlignment="1" applyProtection="1"/>
    <xf numFmtId="41" fontId="75" fillId="0" borderId="0" xfId="70" applyNumberFormat="1" applyFont="1" applyFill="1" applyBorder="1" applyAlignment="1" applyProtection="1">
      <alignment wrapText="1"/>
    </xf>
    <xf numFmtId="0" fontId="0" fillId="0" borderId="0" xfId="0" applyAlignment="1"/>
    <xf numFmtId="41" fontId="15" fillId="0" borderId="0" xfId="70" applyNumberFormat="1" applyFont="1" applyFill="1" applyBorder="1" applyAlignment="1" applyProtection="1"/>
    <xf numFmtId="0" fontId="21" fillId="0" borderId="0" xfId="70" applyFont="1" applyFill="1" applyBorder="1" applyAlignment="1" applyProtection="1"/>
    <xf numFmtId="0" fontId="15" fillId="0" borderId="0" xfId="70" applyFont="1" applyFill="1" applyBorder="1" applyAlignment="1" applyProtection="1"/>
    <xf numFmtId="0" fontId="17" fillId="0" borderId="8" xfId="70" applyFont="1" applyBorder="1" applyAlignment="1" applyProtection="1"/>
    <xf numFmtId="0" fontId="16" fillId="0" borderId="0" xfId="70" applyFont="1" applyFill="1" applyBorder="1" applyAlignment="1" applyProtection="1">
      <alignment horizontal="left"/>
    </xf>
    <xf numFmtId="0" fontId="17" fillId="0" borderId="0" xfId="70" applyFont="1" applyBorder="1" applyAlignment="1" applyProtection="1"/>
    <xf numFmtId="0" fontId="17" fillId="0" borderId="0" xfId="70" applyFont="1" applyBorder="1" applyAlignment="1" applyProtection="1">
      <alignment wrapText="1"/>
    </xf>
    <xf numFmtId="0" fontId="19" fillId="0" borderId="0" xfId="0" applyFont="1" applyFill="1" applyAlignment="1">
      <alignment horizontal="left"/>
    </xf>
    <xf numFmtId="0" fontId="0" fillId="44" borderId="0" xfId="0" applyFill="1"/>
    <xf numFmtId="0" fontId="17" fillId="44" borderId="6" xfId="70" applyFont="1" applyFill="1" applyBorder="1" applyProtection="1"/>
    <xf numFmtId="0" fontId="15" fillId="44" borderId="0" xfId="70" applyFont="1" applyFill="1" applyBorder="1" applyProtection="1"/>
    <xf numFmtId="0" fontId="15" fillId="44" borderId="0" xfId="70" applyFont="1" applyFill="1" applyBorder="1" applyAlignment="1" applyProtection="1">
      <alignment horizontal="center"/>
    </xf>
    <xf numFmtId="165" fontId="15" fillId="44" borderId="0" xfId="28" applyNumberFormat="1" applyFont="1" applyFill="1" applyBorder="1" applyAlignment="1" applyProtection="1">
      <alignment horizontal="right"/>
    </xf>
    <xf numFmtId="0" fontId="17" fillId="44" borderId="0" xfId="70" applyFont="1" applyFill="1" applyBorder="1" applyProtection="1"/>
    <xf numFmtId="0" fontId="17" fillId="44" borderId="0" xfId="70" applyFont="1" applyFill="1" applyBorder="1" applyAlignment="1" applyProtection="1"/>
    <xf numFmtId="0" fontId="17" fillId="44" borderId="0" xfId="70" applyFont="1" applyFill="1" applyBorder="1" applyAlignment="1" applyProtection="1">
      <alignment wrapText="1"/>
    </xf>
    <xf numFmtId="0" fontId="15" fillId="0" borderId="0" xfId="70" applyFont="1" applyFill="1" applyBorder="1" applyAlignment="1" applyProtection="1">
      <alignment horizontal="center"/>
    </xf>
    <xf numFmtId="0" fontId="9" fillId="0" borderId="0" xfId="0" applyFont="1" applyAlignment="1">
      <alignment horizontal="left" wrapText="1"/>
    </xf>
    <xf numFmtId="0" fontId="17" fillId="0" borderId="12" xfId="70" applyFont="1" applyFill="1" applyBorder="1" applyProtection="1"/>
    <xf numFmtId="0" fontId="17" fillId="0" borderId="8" xfId="70" applyFont="1" applyFill="1" applyBorder="1" applyAlignment="1" applyProtection="1">
      <alignment horizontal="left"/>
    </xf>
    <xf numFmtId="0" fontId="17" fillId="0" borderId="8" xfId="70" applyFont="1" applyFill="1" applyBorder="1" applyAlignment="1" applyProtection="1">
      <alignment horizontal="center"/>
    </xf>
    <xf numFmtId="181" fontId="17" fillId="0" borderId="8" xfId="28" applyNumberFormat="1" applyFont="1" applyBorder="1" applyAlignment="1" applyProtection="1">
      <alignment horizontal="right"/>
    </xf>
    <xf numFmtId="0" fontId="15" fillId="0" borderId="8" xfId="70" applyFont="1" applyFill="1" applyBorder="1" applyProtection="1"/>
    <xf numFmtId="0" fontId="16" fillId="0" borderId="8" xfId="70" applyFont="1" applyBorder="1" applyProtection="1"/>
    <xf numFmtId="0" fontId="16" fillId="0" borderId="8" xfId="70" applyFont="1" applyFill="1" applyBorder="1" applyProtection="1"/>
    <xf numFmtId="0" fontId="15" fillId="0" borderId="8" xfId="0" applyFont="1" applyFill="1" applyBorder="1" applyAlignment="1">
      <alignment horizontal="center"/>
    </xf>
    <xf numFmtId="165" fontId="75" fillId="0" borderId="0" xfId="28" applyNumberFormat="1" applyFont="1" applyFill="1" applyBorder="1" applyAlignment="1" applyProtection="1">
      <alignment horizontal="right"/>
    </xf>
    <xf numFmtId="165" fontId="24" fillId="0" borderId="9" xfId="28" applyNumberFormat="1" applyFont="1" applyBorder="1"/>
    <xf numFmtId="0" fontId="28" fillId="0" borderId="0" xfId="69" applyNumberFormat="1" applyFont="1" applyBorder="1" applyAlignment="1" applyProtection="1">
      <alignment horizontal="center" vertical="top"/>
    </xf>
    <xf numFmtId="49" fontId="12" fillId="0" borderId="0" xfId="0" applyNumberFormat="1" applyFont="1" applyFill="1"/>
    <xf numFmtId="43" fontId="0" fillId="0" borderId="0" xfId="30" applyFont="1" applyFill="1"/>
    <xf numFmtId="49" fontId="13" fillId="0" borderId="0" xfId="0" applyNumberFormat="1" applyFont="1" applyFill="1"/>
    <xf numFmtId="43" fontId="0" fillId="0" borderId="0" xfId="30" applyFont="1"/>
    <xf numFmtId="49" fontId="0" fillId="0" borderId="0" xfId="0" applyNumberFormat="1"/>
    <xf numFmtId="0" fontId="26" fillId="0" borderId="0" xfId="71" quotePrefix="1" applyNumberFormat="1" applyFont="1" applyFill="1" applyBorder="1" applyAlignment="1" applyProtection="1">
      <alignment horizontal="center"/>
    </xf>
    <xf numFmtId="0" fontId="24" fillId="0" borderId="0" xfId="70" applyFont="1" applyBorder="1" applyProtection="1"/>
    <xf numFmtId="0" fontId="53" fillId="0" borderId="0" xfId="70" applyFont="1" applyFill="1" applyBorder="1" applyAlignment="1" applyProtection="1">
      <alignment horizontal="center"/>
    </xf>
    <xf numFmtId="0" fontId="26" fillId="0" borderId="0" xfId="0" quotePrefix="1" applyFont="1" applyAlignment="1">
      <alignment horizontal="left"/>
    </xf>
    <xf numFmtId="49" fontId="24" fillId="0" borderId="0" xfId="0" applyNumberFormat="1" applyFont="1" applyFill="1"/>
    <xf numFmtId="37" fontId="24" fillId="0" borderId="0" xfId="0" applyNumberFormat="1" applyFont="1" applyFill="1"/>
    <xf numFmtId="49" fontId="24" fillId="0" borderId="0" xfId="0" applyNumberFormat="1" applyFont="1" applyFill="1" applyAlignment="1"/>
    <xf numFmtId="49" fontId="23" fillId="0" borderId="9" xfId="0" applyNumberFormat="1" applyFont="1" applyFill="1" applyBorder="1" applyAlignment="1"/>
    <xf numFmtId="49" fontId="23" fillId="0" borderId="0" xfId="0" applyNumberFormat="1" applyFont="1" applyFill="1" applyBorder="1" applyAlignment="1"/>
    <xf numFmtId="49" fontId="24" fillId="0" borderId="9" xfId="0" applyNumberFormat="1" applyFont="1" applyFill="1" applyBorder="1" applyAlignment="1"/>
    <xf numFmtId="49" fontId="24" fillId="0" borderId="0" xfId="0" applyNumberFormat="1" applyFont="1" applyFill="1" applyBorder="1" applyAlignment="1"/>
    <xf numFmtId="37" fontId="24" fillId="0" borderId="9" xfId="0" applyNumberFormat="1" applyFont="1" applyFill="1" applyBorder="1"/>
    <xf numFmtId="49" fontId="23" fillId="0" borderId="10" xfId="0" applyNumberFormat="1" applyFont="1" applyFill="1" applyBorder="1" applyAlignment="1"/>
    <xf numFmtId="49" fontId="24" fillId="0" borderId="2" xfId="0" applyNumberFormat="1" applyFont="1" applyFill="1" applyBorder="1" applyAlignment="1"/>
    <xf numFmtId="49" fontId="23" fillId="0" borderId="0" xfId="0" applyNumberFormat="1" applyFont="1" applyFill="1" applyAlignment="1"/>
    <xf numFmtId="49" fontId="24" fillId="0" borderId="10" xfId="0" applyNumberFormat="1" applyFont="1" applyFill="1" applyBorder="1" applyAlignment="1"/>
    <xf numFmtId="43" fontId="23" fillId="0" borderId="9" xfId="0" applyNumberFormat="1" applyFont="1" applyFill="1" applyBorder="1" applyAlignment="1">
      <alignment horizontal="right"/>
    </xf>
    <xf numFmtId="43" fontId="24" fillId="0" borderId="9" xfId="0" applyNumberFormat="1" applyFont="1" applyFill="1" applyBorder="1"/>
    <xf numFmtId="165" fontId="24" fillId="0" borderId="9" xfId="0" applyNumberFormat="1" applyFont="1" applyFill="1" applyBorder="1"/>
    <xf numFmtId="165" fontId="24" fillId="0" borderId="0" xfId="30" applyNumberFormat="1" applyFont="1"/>
    <xf numFmtId="165" fontId="24" fillId="0" borderId="0" xfId="0" applyNumberFormat="1" applyFont="1" applyFill="1"/>
    <xf numFmtId="165" fontId="24" fillId="0" borderId="0" xfId="30" applyNumberFormat="1" applyFont="1" applyFill="1"/>
    <xf numFmtId="0" fontId="24" fillId="0" borderId="0" xfId="0" applyFont="1" applyFill="1" applyAlignment="1">
      <alignment horizontal="right"/>
    </xf>
    <xf numFmtId="165" fontId="24" fillId="44" borderId="0" xfId="0" applyNumberFormat="1" applyFont="1" applyFill="1" applyBorder="1"/>
    <xf numFmtId="0" fontId="39" fillId="0" borderId="0" xfId="60" applyFont="1"/>
    <xf numFmtId="0" fontId="16" fillId="0" borderId="0" xfId="60" applyFont="1"/>
    <xf numFmtId="173" fontId="12" fillId="0" borderId="2" xfId="60" applyNumberFormat="1" applyFont="1" applyFill="1" applyBorder="1" applyAlignment="1">
      <alignment horizontal="center"/>
    </xf>
    <xf numFmtId="173" fontId="39" fillId="0" borderId="0" xfId="60" applyNumberFormat="1" applyFont="1"/>
    <xf numFmtId="0" fontId="12" fillId="0" borderId="0" xfId="60" applyFont="1"/>
    <xf numFmtId="41" fontId="39" fillId="0" borderId="0" xfId="60" applyNumberFormat="1" applyFont="1" applyFill="1"/>
    <xf numFmtId="41" fontId="39" fillId="0" borderId="0" xfId="60" applyNumberFormat="1" applyFont="1"/>
    <xf numFmtId="0" fontId="39" fillId="0" borderId="0" xfId="60" applyFont="1" applyAlignment="1">
      <alignment horizontal="left" indent="1"/>
    </xf>
    <xf numFmtId="42" fontId="39" fillId="0" borderId="0" xfId="60" applyNumberFormat="1" applyFont="1" applyFill="1" applyBorder="1"/>
    <xf numFmtId="41" fontId="39" fillId="0" borderId="0" xfId="60" applyNumberFormat="1" applyFont="1" applyFill="1" applyBorder="1"/>
    <xf numFmtId="165" fontId="39" fillId="0" borderId="0" xfId="31" applyNumberFormat="1" applyFont="1" applyFill="1" applyBorder="1" applyAlignment="1">
      <alignment horizontal="right"/>
    </xf>
    <xf numFmtId="0" fontId="39" fillId="0" borderId="0" xfId="60" applyFont="1" applyAlignment="1">
      <alignment horizontal="left" indent="2"/>
    </xf>
    <xf numFmtId="41" fontId="39" fillId="0" borderId="9" xfId="60" applyNumberFormat="1" applyFont="1" applyFill="1" applyBorder="1"/>
    <xf numFmtId="0" fontId="39" fillId="46" borderId="0" xfId="60" quotePrefix="1" applyFont="1" applyFill="1"/>
    <xf numFmtId="0" fontId="39" fillId="46" borderId="0" xfId="60" applyFont="1" applyFill="1"/>
    <xf numFmtId="0" fontId="12" fillId="0" borderId="0" xfId="60" applyFont="1" applyAlignment="1">
      <alignment horizontal="left" indent="1"/>
    </xf>
    <xf numFmtId="0" fontId="12" fillId="0" borderId="0" xfId="60" applyFont="1" applyAlignment="1"/>
    <xf numFmtId="0" fontId="39" fillId="0" borderId="0" xfId="60" applyFont="1" applyBorder="1"/>
    <xf numFmtId="0" fontId="12" fillId="0" borderId="0" xfId="60" applyFont="1" applyAlignment="1">
      <alignment horizontal="left" indent="2"/>
    </xf>
    <xf numFmtId="0" fontId="39" fillId="0" borderId="0" xfId="60" applyFont="1" applyFill="1"/>
    <xf numFmtId="0" fontId="39" fillId="43" borderId="0" xfId="60" quotePrefix="1" applyFont="1" applyFill="1"/>
    <xf numFmtId="0" fontId="39" fillId="43" borderId="0" xfId="60" applyFont="1" applyFill="1"/>
    <xf numFmtId="42" fontId="39" fillId="0" borderId="10" xfId="60" applyNumberFormat="1" applyFont="1" applyFill="1" applyBorder="1"/>
    <xf numFmtId="42" fontId="39" fillId="0" borderId="0" xfId="60" applyNumberFormat="1" applyFont="1"/>
    <xf numFmtId="165" fontId="39" fillId="0" borderId="0" xfId="31" applyNumberFormat="1" applyFont="1"/>
    <xf numFmtId="41" fontId="39" fillId="0" borderId="0" xfId="60" applyNumberFormat="1" applyFont="1" applyBorder="1"/>
    <xf numFmtId="41" fontId="39" fillId="0" borderId="2" xfId="60" applyNumberFormat="1" applyFont="1" applyFill="1" applyBorder="1"/>
    <xf numFmtId="0" fontId="39" fillId="0" borderId="0" xfId="60" quotePrefix="1" applyFont="1"/>
    <xf numFmtId="0" fontId="12" fillId="0" borderId="0" xfId="60" applyFont="1" applyAlignment="1">
      <alignment horizontal="left"/>
    </xf>
    <xf numFmtId="41" fontId="39" fillId="0" borderId="11" xfId="60" applyNumberFormat="1" applyFont="1" applyFill="1" applyBorder="1"/>
    <xf numFmtId="0" fontId="39" fillId="0" borderId="0" xfId="60" applyFont="1" applyAlignment="1">
      <alignment wrapText="1"/>
    </xf>
    <xf numFmtId="0" fontId="39" fillId="0" borderId="0" xfId="60" applyFont="1" applyFill="1" applyAlignment="1">
      <alignment wrapText="1"/>
    </xf>
    <xf numFmtId="0" fontId="39" fillId="0" borderId="0" xfId="60" applyFont="1" applyAlignment="1"/>
    <xf numFmtId="0" fontId="39" fillId="0" borderId="0" xfId="60" applyFont="1" applyFill="1" applyAlignment="1"/>
    <xf numFmtId="0" fontId="55" fillId="0" borderId="0" xfId="60" applyFont="1" applyFill="1"/>
    <xf numFmtId="0" fontId="39" fillId="0" borderId="0" xfId="60" applyFill="1"/>
    <xf numFmtId="0" fontId="56" fillId="0" borderId="0" xfId="60" applyFont="1" applyFill="1" applyAlignment="1">
      <alignment wrapText="1"/>
    </xf>
    <xf numFmtId="42" fontId="54" fillId="0" borderId="0" xfId="60" applyNumberFormat="1" applyFont="1" applyFill="1"/>
    <xf numFmtId="0" fontId="55" fillId="0" borderId="9" xfId="60" applyFont="1" applyFill="1" applyBorder="1" applyAlignment="1">
      <alignment horizontal="center" wrapText="1"/>
    </xf>
    <xf numFmtId="0" fontId="55" fillId="0" borderId="0" xfId="60" applyFont="1" applyFill="1" applyBorder="1" applyAlignment="1">
      <alignment wrapText="1"/>
    </xf>
    <xf numFmtId="0" fontId="55" fillId="0" borderId="0" xfId="60" applyFont="1" applyFill="1" applyAlignment="1">
      <alignment wrapText="1"/>
    </xf>
    <xf numFmtId="0" fontId="55" fillId="0" borderId="2" xfId="60" applyFont="1" applyFill="1" applyBorder="1" applyAlignment="1">
      <alignment horizontal="center" wrapText="1"/>
    </xf>
    <xf numFmtId="0" fontId="55" fillId="0" borderId="0" xfId="60" applyFont="1" applyFill="1" applyBorder="1" applyAlignment="1">
      <alignment horizontal="center" wrapText="1"/>
    </xf>
    <xf numFmtId="0" fontId="55" fillId="0" borderId="9" xfId="60" applyFont="1" applyFill="1" applyBorder="1" applyAlignment="1">
      <alignment wrapText="1"/>
    </xf>
    <xf numFmtId="0" fontId="54" fillId="0" borderId="0" xfId="60" applyFont="1" applyFill="1"/>
    <xf numFmtId="42" fontId="54" fillId="0" borderId="0" xfId="60" applyNumberFormat="1" applyFont="1" applyFill="1" applyAlignment="1">
      <alignment horizontal="center"/>
    </xf>
    <xf numFmtId="41" fontId="54" fillId="0" borderId="0" xfId="60" applyNumberFormat="1" applyFont="1" applyFill="1"/>
    <xf numFmtId="41" fontId="54" fillId="0" borderId="0" xfId="60" applyNumberFormat="1" applyFont="1" applyFill="1" applyAlignment="1">
      <alignment horizontal="center"/>
    </xf>
    <xf numFmtId="41" fontId="54" fillId="0" borderId="2" xfId="60" applyNumberFormat="1" applyFont="1" applyFill="1" applyBorder="1"/>
    <xf numFmtId="41" fontId="54" fillId="0" borderId="0" xfId="60" applyNumberFormat="1" applyFont="1" applyFill="1" applyBorder="1"/>
    <xf numFmtId="0" fontId="55" fillId="0" borderId="0" xfId="60" applyFont="1" applyFill="1" applyAlignment="1">
      <alignment horizontal="left" indent="1"/>
    </xf>
    <xf numFmtId="0" fontId="54" fillId="0" borderId="0" xfId="60" applyFont="1" applyFill="1" applyAlignment="1">
      <alignment horizontal="center"/>
    </xf>
    <xf numFmtId="42" fontId="54" fillId="0" borderId="10" xfId="60" applyNumberFormat="1" applyFont="1" applyFill="1" applyBorder="1"/>
    <xf numFmtId="186" fontId="54" fillId="0" borderId="0" xfId="60" applyNumberFormat="1" applyFont="1" applyFill="1"/>
    <xf numFmtId="186" fontId="54" fillId="0" borderId="0" xfId="60" applyNumberFormat="1" applyFont="1" applyFill="1" applyAlignment="1">
      <alignment horizontal="center"/>
    </xf>
    <xf numFmtId="186" fontId="54" fillId="0" borderId="10" xfId="60" applyNumberFormat="1" applyFont="1" applyFill="1" applyBorder="1"/>
    <xf numFmtId="186" fontId="54" fillId="0" borderId="0" xfId="60" applyNumberFormat="1" applyFont="1" applyFill="1" applyBorder="1"/>
    <xf numFmtId="0" fontId="17" fillId="45" borderId="6" xfId="70" applyFont="1" applyFill="1" applyBorder="1" applyProtection="1"/>
    <xf numFmtId="0" fontId="17" fillId="45" borderId="0" xfId="70" applyFont="1" applyFill="1" applyBorder="1" applyProtection="1"/>
    <xf numFmtId="0" fontId="17" fillId="45" borderId="0" xfId="70" applyFont="1" applyFill="1" applyBorder="1" applyAlignment="1" applyProtection="1">
      <alignment horizontal="center"/>
    </xf>
    <xf numFmtId="165" fontId="17" fillId="45" borderId="0" xfId="28" applyNumberFormat="1" applyFont="1" applyFill="1" applyBorder="1" applyAlignment="1" applyProtection="1">
      <alignment horizontal="right"/>
    </xf>
    <xf numFmtId="0" fontId="43" fillId="45" borderId="0" xfId="70" applyFont="1" applyFill="1" applyBorder="1" applyProtection="1"/>
    <xf numFmtId="0" fontId="44" fillId="45" borderId="0" xfId="70" applyFont="1" applyFill="1" applyBorder="1" applyProtection="1"/>
    <xf numFmtId="0" fontId="42" fillId="45" borderId="0" xfId="70" applyFont="1" applyFill="1" applyBorder="1" applyProtection="1"/>
    <xf numFmtId="0" fontId="15" fillId="45" borderId="0" xfId="0" applyFont="1" applyFill="1" applyBorder="1" applyAlignment="1">
      <alignment horizontal="center"/>
    </xf>
    <xf numFmtId="41" fontId="20" fillId="45" borderId="5" xfId="70" applyNumberFormat="1" applyFont="1" applyFill="1" applyBorder="1" applyProtection="1"/>
    <xf numFmtId="0" fontId="17" fillId="45" borderId="0" xfId="70" applyFont="1" applyFill="1" applyBorder="1" applyAlignment="1" applyProtection="1">
      <alignment horizontal="left"/>
    </xf>
    <xf numFmtId="41" fontId="39" fillId="0" borderId="9" xfId="0" applyNumberFormat="1" applyFont="1" applyBorder="1"/>
    <xf numFmtId="38" fontId="0" fillId="0" borderId="0" xfId="0" applyNumberFormat="1" applyFill="1"/>
    <xf numFmtId="38" fontId="0" fillId="0" borderId="0" xfId="0" applyNumberFormat="1"/>
    <xf numFmtId="0" fontId="39" fillId="0" borderId="0" xfId="0" applyFont="1" applyAlignment="1">
      <alignment horizontal="right"/>
    </xf>
    <xf numFmtId="38" fontId="0" fillId="0" borderId="0" xfId="30" applyNumberFormat="1" applyFont="1" applyFill="1"/>
    <xf numFmtId="0" fontId="0" fillId="0" borderId="0" xfId="0" applyFill="1" applyAlignment="1">
      <alignment horizontal="left"/>
    </xf>
    <xf numFmtId="0" fontId="12" fillId="0" borderId="0" xfId="0" applyFont="1" applyAlignment="1">
      <alignment horizontal="center"/>
    </xf>
    <xf numFmtId="180" fontId="12" fillId="0" borderId="0" xfId="0" applyNumberFormat="1" applyFont="1" applyAlignment="1">
      <alignment horizontal="center"/>
    </xf>
    <xf numFmtId="180" fontId="12" fillId="0" borderId="2" xfId="0" applyNumberFormat="1" applyFont="1" applyFill="1" applyBorder="1" applyAlignment="1">
      <alignment horizontal="center"/>
    </xf>
    <xf numFmtId="0" fontId="0" fillId="0" borderId="0" xfId="0" applyFill="1" applyAlignment="1">
      <alignment horizontal="left" vertical="center" wrapText="1"/>
    </xf>
    <xf numFmtId="173" fontId="55" fillId="0" borderId="2" xfId="60" applyNumberFormat="1" applyFont="1" applyFill="1" applyBorder="1" applyAlignment="1">
      <alignment horizontal="center"/>
    </xf>
  </cellXfs>
  <cellStyles count="7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31"/>
    <cellStyle name="Currency" xfId="32" builtinId="4"/>
    <cellStyle name="Currency 2" xfId="33"/>
    <cellStyle name="Currency 3" xfId="34"/>
    <cellStyle name="Explanatory Text" xfId="35" builtinId="53" customBuiltin="1"/>
    <cellStyle name="Good" xfId="36" builtinId="26" customBuiltin="1"/>
    <cellStyle name="Grey" xfId="37"/>
    <cellStyle name="Heading 1" xfId="38" builtinId="16" customBuiltin="1"/>
    <cellStyle name="Heading 2" xfId="39" builtinId="17" customBuiltin="1"/>
    <cellStyle name="Heading 3" xfId="40" builtinId="18" customBuiltin="1"/>
    <cellStyle name="Heading 4" xfId="41" builtinId="19" customBuiltin="1"/>
    <cellStyle name="Hyperlink" xfId="42" builtinId="8"/>
    <cellStyle name="Input" xfId="43" builtinId="20" customBuiltin="1"/>
    <cellStyle name="Input [yellow]" xfId="44"/>
    <cellStyle name="Linked Cell" xfId="45" builtinId="24" customBuiltin="1"/>
    <cellStyle name="Neutral" xfId="46" builtinId="28" customBuiltin="1"/>
    <cellStyle name="Normal" xfId="0" builtinId="0"/>
    <cellStyle name="Normal - Style1" xfId="47"/>
    <cellStyle name="Normal 10" xfId="48"/>
    <cellStyle name="Normal 11" xfId="49"/>
    <cellStyle name="Normal 12" xfId="50"/>
    <cellStyle name="Normal 13" xfId="51"/>
    <cellStyle name="Normal 14" xfId="52"/>
    <cellStyle name="Normal 15" xfId="53"/>
    <cellStyle name="Normal 16" xfId="54"/>
    <cellStyle name="Normal 17" xfId="55"/>
    <cellStyle name="Normal 18" xfId="56"/>
    <cellStyle name="Normal 19" xfId="57"/>
    <cellStyle name="Normal 2" xfId="58"/>
    <cellStyle name="Normal 20" xfId="59"/>
    <cellStyle name="Normal 21" xfId="60"/>
    <cellStyle name="Normal 3" xfId="61"/>
    <cellStyle name="Normal 4" xfId="62"/>
    <cellStyle name="Normal 5" xfId="63"/>
    <cellStyle name="Normal 6" xfId="64"/>
    <cellStyle name="Normal 7" xfId="65"/>
    <cellStyle name="Normal 8" xfId="66"/>
    <cellStyle name="Normal 9" xfId="67"/>
    <cellStyle name="Normal_0399-month" xfId="68"/>
    <cellStyle name="Normal_Balance_sheet_1" xfId="69"/>
    <cellStyle name="Normal_BS Nov 1999" xfId="70"/>
    <cellStyle name="Normal_IS_monthly" xfId="71"/>
    <cellStyle name="Note 2" xfId="72"/>
    <cellStyle name="Output" xfId="73" builtinId="21" customBuiltin="1"/>
    <cellStyle name="Percent [2]" xfId="74"/>
    <cellStyle name="Title" xfId="75" builtinId="15" customBuiltin="1"/>
    <cellStyle name="Total" xfId="76" builtinId="25" customBuiltin="1"/>
    <cellStyle name="Warning Text" xfId="7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95250</xdr:colOff>
      <xdr:row>144</xdr:row>
      <xdr:rowOff>133350</xdr:rowOff>
    </xdr:from>
    <xdr:to>
      <xdr:col>20</xdr:col>
      <xdr:colOff>19050</xdr:colOff>
      <xdr:row>144</xdr:row>
      <xdr:rowOff>134938</xdr:rowOff>
    </xdr:to>
    <xdr:cxnSp macro="">
      <xdr:nvCxnSpPr>
        <xdr:cNvPr id="8" name="Straight Arrow Connector 7"/>
        <xdr:cNvCxnSpPr/>
      </xdr:nvCxnSpPr>
      <xdr:spPr>
        <a:xfrm>
          <a:off x="7791450" y="33032700"/>
          <a:ext cx="19964400"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266700</xdr:colOff>
      <xdr:row>146</xdr:row>
      <xdr:rowOff>95250</xdr:rowOff>
    </xdr:from>
    <xdr:to>
      <xdr:col>21</xdr:col>
      <xdr:colOff>304800</xdr:colOff>
      <xdr:row>177</xdr:row>
      <xdr:rowOff>38100</xdr:rowOff>
    </xdr:to>
    <xdr:cxnSp macro="">
      <xdr:nvCxnSpPr>
        <xdr:cNvPr id="11" name="Straight Arrow Connector 10"/>
        <xdr:cNvCxnSpPr/>
      </xdr:nvCxnSpPr>
      <xdr:spPr>
        <a:xfrm rot="16200000" flipH="1">
          <a:off x="25841325" y="37290375"/>
          <a:ext cx="7677150" cy="38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9</xdr:row>
      <xdr:rowOff>0</xdr:rowOff>
    </xdr:from>
    <xdr:to>
      <xdr:col>9</xdr:col>
      <xdr:colOff>0</xdr:colOff>
      <xdr:row>96</xdr:row>
      <xdr:rowOff>142875</xdr:rowOff>
    </xdr:to>
    <xdr:sp macro="" textlink="">
      <xdr:nvSpPr>
        <xdr:cNvPr id="33456" name="Line 24"/>
        <xdr:cNvSpPr>
          <a:spLocks noChangeShapeType="1"/>
        </xdr:cNvSpPr>
      </xdr:nvSpPr>
      <xdr:spPr bwMode="auto">
        <a:xfrm>
          <a:off x="22336125" y="2590800"/>
          <a:ext cx="0" cy="22040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847725</xdr:colOff>
      <xdr:row>6</xdr:row>
      <xdr:rowOff>342900</xdr:rowOff>
    </xdr:from>
    <xdr:to>
      <xdr:col>10</xdr:col>
      <xdr:colOff>847725</xdr:colOff>
      <xdr:row>94</xdr:row>
      <xdr:rowOff>9525</xdr:rowOff>
    </xdr:to>
    <xdr:sp macro="" textlink="">
      <xdr:nvSpPr>
        <xdr:cNvPr id="33457" name="Line 24"/>
        <xdr:cNvSpPr>
          <a:spLocks noChangeShapeType="1"/>
        </xdr:cNvSpPr>
      </xdr:nvSpPr>
      <xdr:spPr bwMode="auto">
        <a:xfrm>
          <a:off x="23183850" y="1905000"/>
          <a:ext cx="0" cy="22059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142875</xdr:colOff>
      <xdr:row>7</xdr:row>
      <xdr:rowOff>66675</xdr:rowOff>
    </xdr:from>
    <xdr:to>
      <xdr:col>18</xdr:col>
      <xdr:colOff>142875</xdr:colOff>
      <xdr:row>94</xdr:row>
      <xdr:rowOff>257175</xdr:rowOff>
    </xdr:to>
    <xdr:sp macro="" textlink="">
      <xdr:nvSpPr>
        <xdr:cNvPr id="33458" name="Line 24"/>
        <xdr:cNvSpPr>
          <a:spLocks noChangeShapeType="1"/>
        </xdr:cNvSpPr>
      </xdr:nvSpPr>
      <xdr:spPr bwMode="auto">
        <a:xfrm>
          <a:off x="35471100" y="2143125"/>
          <a:ext cx="0" cy="22069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209549</xdr:colOff>
      <xdr:row>3</xdr:row>
      <xdr:rowOff>152399</xdr:rowOff>
    </xdr:from>
    <xdr:to>
      <xdr:col>14</xdr:col>
      <xdr:colOff>238125</xdr:colOff>
      <xdr:row>35</xdr:row>
      <xdr:rowOff>15878</xdr:rowOff>
    </xdr:to>
    <xdr:cxnSp macro="">
      <xdr:nvCxnSpPr>
        <xdr:cNvPr id="5" name="Straight Arrow Connector 4"/>
        <xdr:cNvCxnSpPr/>
      </xdr:nvCxnSpPr>
      <xdr:spPr>
        <a:xfrm>
          <a:off x="21593174" y="26593799"/>
          <a:ext cx="28576" cy="86169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43</xdr:row>
      <xdr:rowOff>133350</xdr:rowOff>
    </xdr:from>
    <xdr:to>
      <xdr:col>25</xdr:col>
      <xdr:colOff>19050</xdr:colOff>
      <xdr:row>43</xdr:row>
      <xdr:rowOff>134938</xdr:rowOff>
    </xdr:to>
    <xdr:cxnSp macro="">
      <xdr:nvCxnSpPr>
        <xdr:cNvPr id="6" name="Straight Arrow Connector 5"/>
        <xdr:cNvCxnSpPr/>
      </xdr:nvCxnSpPr>
      <xdr:spPr>
        <a:xfrm>
          <a:off x="8039100" y="36928425"/>
          <a:ext cx="29308425" cy="15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323850</xdr:colOff>
      <xdr:row>44</xdr:row>
      <xdr:rowOff>133350</xdr:rowOff>
    </xdr:from>
    <xdr:to>
      <xdr:col>2</xdr:col>
      <xdr:colOff>342900</xdr:colOff>
      <xdr:row>75</xdr:row>
      <xdr:rowOff>171450</xdr:rowOff>
    </xdr:to>
    <xdr:cxnSp macro="">
      <xdr:nvCxnSpPr>
        <xdr:cNvPr id="7" name="Straight Arrow Connector 6"/>
        <xdr:cNvCxnSpPr/>
      </xdr:nvCxnSpPr>
      <xdr:spPr>
        <a:xfrm rot="16200000" flipH="1">
          <a:off x="3509962" y="41009888"/>
          <a:ext cx="7724775"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266700</xdr:colOff>
      <xdr:row>45</xdr:row>
      <xdr:rowOff>95250</xdr:rowOff>
    </xdr:from>
    <xdr:to>
      <xdr:col>26</xdr:col>
      <xdr:colOff>304800</xdr:colOff>
      <xdr:row>76</xdr:row>
      <xdr:rowOff>38100</xdr:rowOff>
    </xdr:to>
    <xdr:cxnSp macro="">
      <xdr:nvCxnSpPr>
        <xdr:cNvPr id="8" name="Straight Arrow Connector 7"/>
        <xdr:cNvCxnSpPr/>
      </xdr:nvCxnSpPr>
      <xdr:spPr>
        <a:xfrm rot="16200000" flipH="1">
          <a:off x="35061525" y="41167050"/>
          <a:ext cx="7639050" cy="38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3</xdr:row>
      <xdr:rowOff>85725</xdr:rowOff>
    </xdr:from>
    <xdr:to>
      <xdr:col>7</xdr:col>
      <xdr:colOff>723900</xdr:colOff>
      <xdr:row>3</xdr:row>
      <xdr:rowOff>85725</xdr:rowOff>
    </xdr:to>
    <xdr:sp macro="" textlink="">
      <xdr:nvSpPr>
        <xdr:cNvPr id="34029" name="Line 1"/>
        <xdr:cNvSpPr>
          <a:spLocks noChangeShapeType="1"/>
        </xdr:cNvSpPr>
      </xdr:nvSpPr>
      <xdr:spPr bwMode="auto">
        <a:xfrm>
          <a:off x="476250" y="571500"/>
          <a:ext cx="6086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49</xdr:row>
      <xdr:rowOff>76200</xdr:rowOff>
    </xdr:from>
    <xdr:to>
      <xdr:col>8</xdr:col>
      <xdr:colOff>0</xdr:colOff>
      <xdr:row>49</xdr:row>
      <xdr:rowOff>85725</xdr:rowOff>
    </xdr:to>
    <xdr:sp macro="" textlink="">
      <xdr:nvSpPr>
        <xdr:cNvPr id="34030" name="Line 3"/>
        <xdr:cNvSpPr>
          <a:spLocks noChangeShapeType="1"/>
        </xdr:cNvSpPr>
      </xdr:nvSpPr>
      <xdr:spPr bwMode="auto">
        <a:xfrm>
          <a:off x="419100" y="8029575"/>
          <a:ext cx="6143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133350</xdr:colOff>
      <xdr:row>50</xdr:row>
      <xdr:rowOff>85725</xdr:rowOff>
    </xdr:from>
    <xdr:to>
      <xdr:col>0</xdr:col>
      <xdr:colOff>133350</xdr:colOff>
      <xdr:row>83</xdr:row>
      <xdr:rowOff>9525</xdr:rowOff>
    </xdr:to>
    <xdr:sp macro="" textlink="">
      <xdr:nvSpPr>
        <xdr:cNvPr id="34031" name="Line 4"/>
        <xdr:cNvSpPr>
          <a:spLocks noChangeShapeType="1"/>
        </xdr:cNvSpPr>
      </xdr:nvSpPr>
      <xdr:spPr bwMode="auto">
        <a:xfrm>
          <a:off x="133350" y="8201025"/>
          <a:ext cx="0" cy="5343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114300</xdr:colOff>
      <xdr:row>3</xdr:row>
      <xdr:rowOff>152400</xdr:rowOff>
    </xdr:from>
    <xdr:to>
      <xdr:col>0</xdr:col>
      <xdr:colOff>133350</xdr:colOff>
      <xdr:row>45</xdr:row>
      <xdr:rowOff>152400</xdr:rowOff>
    </xdr:to>
    <xdr:sp macro="" textlink="">
      <xdr:nvSpPr>
        <xdr:cNvPr id="34032" name="Line 4"/>
        <xdr:cNvSpPr>
          <a:spLocks noChangeShapeType="1"/>
        </xdr:cNvSpPr>
      </xdr:nvSpPr>
      <xdr:spPr bwMode="auto">
        <a:xfrm flipH="1">
          <a:off x="114300" y="638175"/>
          <a:ext cx="19050" cy="6800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66675</xdr:colOff>
      <xdr:row>6</xdr:row>
      <xdr:rowOff>76199</xdr:rowOff>
    </xdr:from>
    <xdr:to>
      <xdr:col>2</xdr:col>
      <xdr:colOff>76200</xdr:colOff>
      <xdr:row>40</xdr:row>
      <xdr:rowOff>152403</xdr:rowOff>
    </xdr:to>
    <xdr:cxnSp macro="">
      <xdr:nvCxnSpPr>
        <xdr:cNvPr id="3" name="Straight Arrow Connector 2"/>
        <xdr:cNvCxnSpPr/>
      </xdr:nvCxnSpPr>
      <xdr:spPr>
        <a:xfrm flipH="1">
          <a:off x="4171950" y="1123949"/>
          <a:ext cx="9525" cy="570547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66675</xdr:colOff>
      <xdr:row>51</xdr:row>
      <xdr:rowOff>38894</xdr:rowOff>
    </xdr:from>
    <xdr:to>
      <xdr:col>2</xdr:col>
      <xdr:colOff>86521</xdr:colOff>
      <xdr:row>84</xdr:row>
      <xdr:rowOff>9525</xdr:rowOff>
    </xdr:to>
    <xdr:cxnSp macro="">
      <xdr:nvCxnSpPr>
        <xdr:cNvPr id="5" name="Straight Arrow Connector 4"/>
        <xdr:cNvCxnSpPr/>
      </xdr:nvCxnSpPr>
      <xdr:spPr>
        <a:xfrm flipH="1">
          <a:off x="4171950" y="8792369"/>
          <a:ext cx="19846" cy="60190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UGET%20SOUND%20ENERGY\Consolidation\2012\12-12\BS-PSE%20Decemb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UGET%20SOUND%20ENERGY/Consolidation/2014/12-14/BS-PSE%20December%202014%20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UGET%20ENERGY/Consolidation/2015/11-15/PE%20Balance%20Sheet%20November%20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UGET%20ENERGY/Consolidation/2014/12-14/PE%20Balance%20Sheet%20December%202014_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UGET%20ENERGY/Consolidation/2012/12-12/PE%20Balance%20Sheet%20December%20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UGET%20ENERGY/Consolidation/2013/12-13/PE%20Balance%20Sheet%20December%2020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UGET%20SOUND%20ENERGY/Consolidation/2009/11-09/BS-PSE%20November%2020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UGET%20SOUND%20ENERGY/Consolidation/2014/12-14/BS-PSE%20December%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AP BS"/>
      <sheetName val="FERC BS"/>
      <sheetName val="BS-PSE"/>
      <sheetName val="BS-PSE (WUTC)"/>
      <sheetName val="PWI"/>
      <sheetName val="SAP-PSE"/>
      <sheetName val="Approval History"/>
    </sheetNames>
    <sheetDataSet>
      <sheetData sheetId="0">
        <row r="18">
          <cell r="E18">
            <v>0</v>
          </cell>
        </row>
        <row r="31">
          <cell r="E31">
            <v>0</v>
          </cell>
        </row>
        <row r="33">
          <cell r="E33">
            <v>0</v>
          </cell>
        </row>
        <row r="34">
          <cell r="E34">
            <v>0</v>
          </cell>
        </row>
        <row r="35">
          <cell r="E35">
            <v>0</v>
          </cell>
        </row>
        <row r="36">
          <cell r="E36">
            <v>0</v>
          </cell>
        </row>
        <row r="37">
          <cell r="E37">
            <v>0</v>
          </cell>
        </row>
        <row r="38">
          <cell r="E38">
            <v>0</v>
          </cell>
        </row>
        <row r="58">
          <cell r="E58">
            <v>0</v>
          </cell>
        </row>
        <row r="68">
          <cell r="E68">
            <v>0</v>
          </cell>
        </row>
        <row r="76">
          <cell r="E76">
            <v>0</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AP BS"/>
      <sheetName val="FERC BS"/>
      <sheetName val="BS-PSE"/>
      <sheetName val="PWI"/>
      <sheetName val="PWI II"/>
      <sheetName val="SAP-PSE"/>
      <sheetName val="Approval History"/>
      <sheetName val="Compatibility Report"/>
    </sheetNames>
    <sheetDataSet>
      <sheetData sheetId="0" refreshError="1">
        <row r="4">
          <cell r="E4">
            <v>9330999</v>
          </cell>
        </row>
        <row r="5">
          <cell r="E5">
            <v>3282818</v>
          </cell>
        </row>
        <row r="6">
          <cell r="E6">
            <v>512842</v>
          </cell>
        </row>
        <row r="7">
          <cell r="E7">
            <v>-4449680</v>
          </cell>
        </row>
        <row r="11">
          <cell r="E11">
            <v>86913</v>
          </cell>
        </row>
        <row r="14">
          <cell r="E14">
            <v>37466</v>
          </cell>
        </row>
        <row r="15">
          <cell r="E15">
            <v>32863</v>
          </cell>
        </row>
        <row r="16">
          <cell r="E16">
            <v>314518</v>
          </cell>
        </row>
        <row r="17">
          <cell r="E17">
            <v>-7472</v>
          </cell>
        </row>
        <row r="19">
          <cell r="E19">
            <v>168039</v>
          </cell>
        </row>
        <row r="20">
          <cell r="E20">
            <v>21073</v>
          </cell>
        </row>
        <row r="21">
          <cell r="E21">
            <v>83189</v>
          </cell>
        </row>
        <row r="22">
          <cell r="E22">
            <v>66656</v>
          </cell>
        </row>
        <row r="23">
          <cell r="E23">
            <v>21178</v>
          </cell>
        </row>
        <row r="24">
          <cell r="E24">
            <v>301</v>
          </cell>
        </row>
        <row r="25">
          <cell r="E25">
            <v>20907</v>
          </cell>
        </row>
        <row r="27">
          <cell r="E27">
            <v>208447</v>
          </cell>
        </row>
        <row r="30">
          <cell r="E30">
            <v>94913</v>
          </cell>
        </row>
        <row r="32">
          <cell r="E32">
            <v>4623</v>
          </cell>
        </row>
        <row r="39">
          <cell r="E39">
            <v>866793</v>
          </cell>
        </row>
        <row r="40">
          <cell r="E40">
            <v>3170</v>
          </cell>
        </row>
        <row r="41">
          <cell r="E41">
            <v>89306</v>
          </cell>
        </row>
        <row r="47">
          <cell r="E47">
            <v>3278729</v>
          </cell>
        </row>
        <row r="50">
          <cell r="E50">
            <v>250000</v>
          </cell>
        </row>
        <row r="53">
          <cell r="E53">
            <v>3351259</v>
          </cell>
        </row>
        <row r="57">
          <cell r="E57">
            <v>307572</v>
          </cell>
        </row>
        <row r="59">
          <cell r="E59">
            <v>85000</v>
          </cell>
        </row>
        <row r="60">
          <cell r="E60">
            <v>28933</v>
          </cell>
        </row>
        <row r="61">
          <cell r="E61">
            <v>162000</v>
          </cell>
        </row>
        <row r="63">
          <cell r="E63">
            <v>0</v>
          </cell>
        </row>
        <row r="64">
          <cell r="E64">
            <v>107782</v>
          </cell>
        </row>
        <row r="65">
          <cell r="E65">
            <v>40970</v>
          </cell>
        </row>
        <row r="66">
          <cell r="E66">
            <v>55346</v>
          </cell>
        </row>
        <row r="67">
          <cell r="E67">
            <v>135973</v>
          </cell>
        </row>
        <row r="69">
          <cell r="E69">
            <v>62464</v>
          </cell>
        </row>
        <row r="72">
          <cell r="E72">
            <v>1649857</v>
          </cell>
        </row>
        <row r="73">
          <cell r="E73">
            <v>60063</v>
          </cell>
        </row>
        <row r="74">
          <cell r="E74">
            <v>0</v>
          </cell>
        </row>
        <row r="77">
          <cell r="E77">
            <v>630651</v>
          </cell>
        </row>
        <row r="78">
          <cell r="E78">
            <v>583263</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BS Final"/>
      <sheetName val="PE BS post 141R"/>
      <sheetName val="SAP"/>
      <sheetName val="Cap Sum."/>
    </sheetNames>
    <sheetDataSet>
      <sheetData sheetId="0">
        <row r="1">
          <cell r="G1">
            <v>42004</v>
          </cell>
        </row>
      </sheetData>
      <sheetData sheetId="1">
        <row r="36">
          <cell r="L36">
            <v>0</v>
          </cell>
        </row>
        <row r="50">
          <cell r="H50">
            <v>3380566317</v>
          </cell>
        </row>
        <row r="54">
          <cell r="H54">
            <v>250000000</v>
          </cell>
        </row>
        <row r="57">
          <cell r="H57">
            <v>3524379358</v>
          </cell>
        </row>
        <row r="67">
          <cell r="H67">
            <v>110000000</v>
          </cell>
        </row>
        <row r="68">
          <cell r="H68">
            <v>0</v>
          </cell>
        </row>
        <row r="69">
          <cell r="H69">
            <v>0</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BS Final"/>
      <sheetName val="PE BS post 141R"/>
      <sheetName val="SAP"/>
      <sheetName val="Cap Sum."/>
    </sheetNames>
    <sheetDataSet>
      <sheetData sheetId="0" refreshError="1">
        <row r="4">
          <cell r="E4">
            <v>7135206</v>
          </cell>
        </row>
        <row r="5">
          <cell r="E5">
            <v>2680067</v>
          </cell>
        </row>
        <row r="6">
          <cell r="E6">
            <v>472926</v>
          </cell>
        </row>
        <row r="7">
          <cell r="E7">
            <v>-1611220</v>
          </cell>
        </row>
        <row r="10">
          <cell r="E10">
            <v>1656513</v>
          </cell>
        </row>
        <row r="18">
          <cell r="E18">
            <v>91139</v>
          </cell>
        </row>
        <row r="21">
          <cell r="E21">
            <v>37527</v>
          </cell>
        </row>
        <row r="22">
          <cell r="E22">
            <v>32863</v>
          </cell>
        </row>
        <row r="23">
          <cell r="E23">
            <v>314395</v>
          </cell>
        </row>
        <row r="24">
          <cell r="E24">
            <v>-7472</v>
          </cell>
        </row>
        <row r="26">
          <cell r="E26">
            <v>168039</v>
          </cell>
        </row>
        <row r="27">
          <cell r="E27">
            <v>21073</v>
          </cell>
        </row>
        <row r="28">
          <cell r="E28">
            <v>83189</v>
          </cell>
        </row>
        <row r="29">
          <cell r="E29">
            <v>69433</v>
          </cell>
        </row>
        <row r="30">
          <cell r="E30">
            <v>21178</v>
          </cell>
        </row>
        <row r="31">
          <cell r="E31">
            <v>301</v>
          </cell>
        </row>
        <row r="32">
          <cell r="E32">
            <v>20905</v>
          </cell>
        </row>
        <row r="33">
          <cell r="E33">
            <v>43843</v>
          </cell>
        </row>
        <row r="35">
          <cell r="E35">
            <v>161445</v>
          </cell>
        </row>
        <row r="40">
          <cell r="E40">
            <v>95432</v>
          </cell>
        </row>
        <row r="42">
          <cell r="E42">
            <v>4623</v>
          </cell>
        </row>
        <row r="43">
          <cell r="E43">
            <v>29816</v>
          </cell>
        </row>
        <row r="44">
          <cell r="E44">
            <v>866835</v>
          </cell>
        </row>
        <row r="45">
          <cell r="E45">
            <v>3170</v>
          </cell>
        </row>
        <row r="46">
          <cell r="E46">
            <v>347547</v>
          </cell>
        </row>
        <row r="47">
          <cell r="E47">
            <v>96275</v>
          </cell>
        </row>
        <row r="53">
          <cell r="E53">
            <v>3543328</v>
          </cell>
        </row>
        <row r="56">
          <cell r="E56">
            <v>250000</v>
          </cell>
        </row>
        <row r="57">
          <cell r="E57">
            <v>4831608</v>
          </cell>
        </row>
        <row r="62">
          <cell r="E62">
            <v>307578</v>
          </cell>
        </row>
        <row r="65">
          <cell r="E65">
            <v>85000</v>
          </cell>
        </row>
        <row r="67">
          <cell r="E67">
            <v>162000</v>
          </cell>
        </row>
        <row r="69">
          <cell r="E69">
            <v>0</v>
          </cell>
        </row>
        <row r="70">
          <cell r="E70">
            <v>107782</v>
          </cell>
        </row>
        <row r="71">
          <cell r="E71">
            <v>40970</v>
          </cell>
        </row>
        <row r="72">
          <cell r="E72">
            <v>78914</v>
          </cell>
        </row>
        <row r="73">
          <cell r="E73">
            <v>142195</v>
          </cell>
        </row>
        <row r="75">
          <cell r="E75">
            <v>3593</v>
          </cell>
        </row>
        <row r="76">
          <cell r="E76">
            <v>62464</v>
          </cell>
        </row>
        <row r="79">
          <cell r="E79">
            <v>1522357</v>
          </cell>
        </row>
        <row r="80">
          <cell r="E80">
            <v>62913</v>
          </cell>
        </row>
        <row r="82">
          <cell r="E82">
            <v>633471</v>
          </cell>
        </row>
        <row r="83">
          <cell r="E83">
            <v>391389</v>
          </cell>
        </row>
        <row r="84">
          <cell r="E84">
            <v>26223</v>
          </cell>
        </row>
        <row r="85">
          <cell r="E85">
            <v>583263</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BS Final"/>
      <sheetName val="PE BS post 141R"/>
      <sheetName val="PE BS post 141R (WUTC)"/>
      <sheetName val="SAP"/>
      <sheetName val="Cap Sum."/>
    </sheetNames>
    <sheetDataSet>
      <sheetData sheetId="0">
        <row r="38">
          <cell r="E38">
            <v>0</v>
          </cell>
        </row>
        <row r="60">
          <cell r="E60">
            <v>0</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BS Final"/>
      <sheetName val="PE BS post 141R"/>
      <sheetName val="PE BS post 141R WUTC"/>
      <sheetName val="SAP"/>
      <sheetName val="Cap Sum."/>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SE"/>
      <sheetName val="SAP-PSE"/>
      <sheetName val="Approval History"/>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AP BS"/>
      <sheetName val="FERC BS"/>
      <sheetName val="BS-PSE"/>
      <sheetName val="PWI"/>
      <sheetName val="PWI II"/>
      <sheetName val="SAP-PSE"/>
      <sheetName val="Approval History"/>
      <sheetName val="Compatibility Report"/>
    </sheetNames>
    <sheetDataSet>
      <sheetData sheetId="0">
        <row r="47">
          <cell r="E47">
            <v>3278729</v>
          </cell>
        </row>
        <row r="50">
          <cell r="E50">
            <v>250000</v>
          </cell>
        </row>
        <row r="53">
          <cell r="E53">
            <v>3351259</v>
          </cell>
        </row>
        <row r="59">
          <cell r="E59">
            <v>85000</v>
          </cell>
        </row>
        <row r="60">
          <cell r="E60">
            <v>28933</v>
          </cell>
        </row>
        <row r="61">
          <cell r="E61">
            <v>162000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7"/>
  <sheetViews>
    <sheetView topLeftCell="A25" workbookViewId="0">
      <selection activeCell="M9" sqref="M9:O15"/>
    </sheetView>
  </sheetViews>
  <sheetFormatPr defaultColWidth="6.7109375" defaultRowHeight="12.75" outlineLevelRow="1" x14ac:dyDescent="0.2"/>
  <cols>
    <col min="1" max="1" width="10.7109375" style="128" customWidth="1"/>
    <col min="2" max="2" width="2.140625" style="128" customWidth="1"/>
    <col min="3" max="3" width="40" style="128" customWidth="1"/>
    <col min="4" max="4" width="1.42578125" style="130" customWidth="1"/>
    <col min="5" max="5" width="18.85546875" style="130" customWidth="1"/>
    <col min="6" max="6" width="1.28515625" style="130" customWidth="1"/>
    <col min="7" max="7" width="18.85546875" style="145" customWidth="1"/>
    <col min="8" max="8" width="13" style="133" bestFit="1" customWidth="1"/>
    <col min="9" max="10" width="12.140625" style="133" bestFit="1" customWidth="1"/>
    <col min="11" max="11" width="6.7109375" style="133" customWidth="1"/>
    <col min="12" max="12" width="6" style="133" customWidth="1"/>
    <col min="13" max="13" width="6.7109375" style="133"/>
    <col min="14" max="15" width="13" style="133" customWidth="1"/>
    <col min="16" max="16384" width="6.7109375" style="133"/>
  </cols>
  <sheetData>
    <row r="1" spans="1:10" ht="18" x14ac:dyDescent="0.25">
      <c r="A1" s="128" t="s">
        <v>163</v>
      </c>
      <c r="C1" s="129"/>
      <c r="E1" s="236">
        <v>42369</v>
      </c>
      <c r="F1" s="132"/>
      <c r="G1" s="131">
        <v>42004</v>
      </c>
    </row>
    <row r="2" spans="1:10" x14ac:dyDescent="0.2">
      <c r="A2" s="134" t="s">
        <v>0</v>
      </c>
      <c r="B2" s="134"/>
      <c r="C2" s="134"/>
      <c r="E2" s="136"/>
      <c r="F2" s="136"/>
      <c r="G2" s="135"/>
      <c r="I2" s="137"/>
      <c r="J2" s="137"/>
    </row>
    <row r="3" spans="1:10" x14ac:dyDescent="0.2">
      <c r="A3" s="134" t="s">
        <v>1</v>
      </c>
      <c r="B3" s="134"/>
      <c r="C3" s="134"/>
      <c r="E3" s="136"/>
      <c r="F3" s="136"/>
      <c r="G3" s="135"/>
      <c r="I3" s="137"/>
      <c r="J3" s="137"/>
    </row>
    <row r="4" spans="1:10" x14ac:dyDescent="0.2">
      <c r="A4" s="138" t="s">
        <v>164</v>
      </c>
      <c r="B4" s="138"/>
      <c r="C4" s="138"/>
      <c r="E4" s="162">
        <f>ROUND('BS-PSE &amp; PE'!$I8,3)/1000</f>
        <v>9601091</v>
      </c>
      <c r="F4" s="136"/>
      <c r="G4" s="162">
        <f>'[2]GAAP BS'!$E$4</f>
        <v>9330999</v>
      </c>
      <c r="H4" s="140"/>
    </row>
    <row r="5" spans="1:10" x14ac:dyDescent="0.2">
      <c r="A5" s="138" t="s">
        <v>538</v>
      </c>
      <c r="B5" s="138"/>
      <c r="C5" s="138"/>
      <c r="E5" s="139">
        <f>ROUND('BS-PSE &amp; PE'!$I9,3)/1000</f>
        <v>3444744</v>
      </c>
      <c r="F5" s="136"/>
      <c r="G5" s="139">
        <f>'[2]GAAP BS'!$E$5</f>
        <v>3282818</v>
      </c>
      <c r="H5" s="140"/>
    </row>
    <row r="6" spans="1:10" x14ac:dyDescent="0.2">
      <c r="A6" s="138" t="s">
        <v>165</v>
      </c>
      <c r="B6" s="138"/>
      <c r="C6" s="138"/>
      <c r="E6" s="139">
        <f>ROUND('BS-PSE &amp; PE'!$I10,3)/1000</f>
        <v>548657</v>
      </c>
      <c r="F6" s="136"/>
      <c r="G6" s="139">
        <f>'[2]GAAP BS'!$E$6</f>
        <v>512842</v>
      </c>
      <c r="H6" s="140"/>
      <c r="J6" s="133" t="s">
        <v>557</v>
      </c>
    </row>
    <row r="7" spans="1:10" x14ac:dyDescent="0.2">
      <c r="A7" s="134" t="s">
        <v>166</v>
      </c>
      <c r="B7" s="134"/>
      <c r="C7" s="134"/>
      <c r="E7" s="139">
        <f>ROUND('BS-PSE &amp; PE'!$I11,3)/1000</f>
        <v>-4681830</v>
      </c>
      <c r="F7" s="136"/>
      <c r="G7" s="139">
        <f>'[2]GAAP BS'!$E$7</f>
        <v>-4449680</v>
      </c>
      <c r="H7" s="140"/>
    </row>
    <row r="8" spans="1:10" x14ac:dyDescent="0.2">
      <c r="A8" s="142" t="s">
        <v>167</v>
      </c>
      <c r="B8" s="142"/>
      <c r="C8" s="142"/>
      <c r="E8" s="143">
        <f>SUM(E4:E7)</f>
        <v>8912662</v>
      </c>
      <c r="F8" s="136"/>
      <c r="G8" s="143">
        <f>SUM(G4:G7)</f>
        <v>8676979</v>
      </c>
      <c r="H8" s="140"/>
    </row>
    <row r="9" spans="1:10" x14ac:dyDescent="0.2">
      <c r="A9" s="134" t="s">
        <v>168</v>
      </c>
      <c r="B9" s="134"/>
      <c r="C9" s="134"/>
      <c r="E9" s="136"/>
      <c r="F9" s="136"/>
      <c r="G9" s="136"/>
      <c r="H9" s="140"/>
    </row>
    <row r="10" spans="1:10" s="145" customFormat="1" x14ac:dyDescent="0.2">
      <c r="A10" s="144" t="s">
        <v>284</v>
      </c>
      <c r="B10" s="144"/>
      <c r="C10" s="144"/>
      <c r="D10" s="130"/>
      <c r="E10" s="139"/>
      <c r="F10" s="136"/>
      <c r="G10" s="139"/>
      <c r="H10" s="140"/>
    </row>
    <row r="11" spans="1:10" s="145" customFormat="1" x14ac:dyDescent="0.2">
      <c r="A11" s="144" t="s">
        <v>169</v>
      </c>
      <c r="B11" s="144"/>
      <c r="C11" s="144"/>
      <c r="D11" s="130"/>
      <c r="E11" s="139">
        <f>ROUND('BS-PSE &amp; PE'!$I$17,3)/1000</f>
        <v>83069</v>
      </c>
      <c r="F11" s="136"/>
      <c r="G11" s="139">
        <f>'[2]GAAP BS'!$E$11</f>
        <v>86913</v>
      </c>
      <c r="H11" s="140"/>
    </row>
    <row r="12" spans="1:10" s="145" customFormat="1" x14ac:dyDescent="0.2">
      <c r="A12" s="146" t="s">
        <v>170</v>
      </c>
      <c r="B12" s="146"/>
      <c r="C12" s="146"/>
      <c r="D12" s="130"/>
      <c r="E12" s="143">
        <f>SUM(E10:E11)</f>
        <v>83069</v>
      </c>
      <c r="F12" s="136"/>
      <c r="G12" s="143">
        <f>SUM(G10:G11)</f>
        <v>86913</v>
      </c>
      <c r="H12" s="140"/>
    </row>
    <row r="13" spans="1:10" x14ac:dyDescent="0.2">
      <c r="A13" s="134" t="s">
        <v>9</v>
      </c>
      <c r="B13" s="134"/>
      <c r="C13" s="134"/>
      <c r="E13" s="136"/>
      <c r="F13" s="136"/>
      <c r="G13" s="135"/>
      <c r="H13" s="140"/>
    </row>
    <row r="14" spans="1:10" x14ac:dyDescent="0.2">
      <c r="A14" s="138" t="s">
        <v>171</v>
      </c>
      <c r="B14" s="138"/>
      <c r="C14" s="138"/>
      <c r="E14" s="139">
        <f>'BS-PSE &amp; PE'!$I$20/1000</f>
        <v>41856</v>
      </c>
      <c r="F14" s="136"/>
      <c r="G14" s="147">
        <f>'[2]GAAP BS'!$E$14</f>
        <v>37466</v>
      </c>
      <c r="H14" s="140"/>
    </row>
    <row r="15" spans="1:10" x14ac:dyDescent="0.2">
      <c r="A15" s="138" t="s">
        <v>61</v>
      </c>
      <c r="B15" s="138"/>
      <c r="C15" s="138"/>
      <c r="E15" s="139">
        <f>'BS-PSE &amp; PE'!$I$21/1000</f>
        <v>7949</v>
      </c>
      <c r="F15" s="136"/>
      <c r="G15" s="147">
        <f>'[2]GAAP BS'!$E$15</f>
        <v>32863</v>
      </c>
      <c r="H15" s="140"/>
    </row>
    <row r="16" spans="1:10" x14ac:dyDescent="0.2">
      <c r="A16" s="138" t="s">
        <v>62</v>
      </c>
      <c r="B16" s="138"/>
      <c r="C16" s="138"/>
      <c r="E16" s="139">
        <f>'BS-PSE &amp; PE'!$I$22/1000</f>
        <v>334114</v>
      </c>
      <c r="F16" s="136"/>
      <c r="G16" s="147">
        <f>'[2]GAAP BS'!$E$16</f>
        <v>314518</v>
      </c>
      <c r="H16" s="140"/>
    </row>
    <row r="17" spans="1:12" x14ac:dyDescent="0.2">
      <c r="A17" s="138" t="s">
        <v>172</v>
      </c>
      <c r="B17" s="138"/>
      <c r="C17" s="138"/>
      <c r="E17" s="139">
        <f>'BS-PSE &amp; PE'!$I$23/1000</f>
        <v>-9756</v>
      </c>
      <c r="F17" s="136"/>
      <c r="G17" s="147">
        <f>'[2]GAAP BS'!$E$17</f>
        <v>-7472</v>
      </c>
      <c r="H17" s="140"/>
    </row>
    <row r="18" spans="1:12" hidden="1" outlineLevel="1" x14ac:dyDescent="0.2">
      <c r="A18" s="179" t="s">
        <v>173</v>
      </c>
      <c r="B18" s="179"/>
      <c r="C18" s="179"/>
      <c r="D18" s="180"/>
      <c r="E18" s="139">
        <f>'BS-PSE &amp; PE'!$I$24/1000</f>
        <v>0</v>
      </c>
      <c r="F18" s="181"/>
      <c r="G18" s="147">
        <f>'[1]GAAP BS'!$E18</f>
        <v>0</v>
      </c>
      <c r="H18" s="140"/>
    </row>
    <row r="19" spans="1:12" collapsed="1" x14ac:dyDescent="0.2">
      <c r="A19" s="138" t="s">
        <v>64</v>
      </c>
      <c r="B19" s="138"/>
      <c r="C19" s="138"/>
      <c r="E19" s="139">
        <f>'BS-PSE &amp; PE'!$I$25/1000</f>
        <v>217274</v>
      </c>
      <c r="F19" s="136"/>
      <c r="G19" s="147">
        <f>'[2]GAAP BS'!$E$19</f>
        <v>168039</v>
      </c>
      <c r="H19" s="140"/>
    </row>
    <row r="20" spans="1:12" outlineLevel="1" x14ac:dyDescent="0.2">
      <c r="A20" s="138" t="s">
        <v>174</v>
      </c>
      <c r="B20" s="138"/>
      <c r="C20" s="138"/>
      <c r="E20" s="139">
        <f>'BS-PSE &amp; PE'!$I$26/1000</f>
        <v>0</v>
      </c>
      <c r="F20" s="136"/>
      <c r="G20" s="147">
        <f>'[2]GAAP BS'!$E$20</f>
        <v>21073</v>
      </c>
      <c r="H20" s="140"/>
      <c r="I20" s="140"/>
    </row>
    <row r="21" spans="1:12" x14ac:dyDescent="0.2">
      <c r="A21" s="138" t="s">
        <v>175</v>
      </c>
      <c r="B21" s="138"/>
      <c r="C21" s="138"/>
      <c r="E21" s="139">
        <f>'BS-PSE &amp; PE'!$I$27/1000</f>
        <v>78244</v>
      </c>
      <c r="F21" s="136"/>
      <c r="G21" s="147">
        <f>'[2]GAAP BS'!$E$21</f>
        <v>83189</v>
      </c>
      <c r="H21" s="140"/>
    </row>
    <row r="22" spans="1:12" x14ac:dyDescent="0.2">
      <c r="A22" s="138" t="s">
        <v>176</v>
      </c>
      <c r="B22" s="138"/>
      <c r="C22" s="138"/>
      <c r="E22" s="139">
        <f>'BS-PSE &amp; PE'!$I$28/1000</f>
        <v>57324</v>
      </c>
      <c r="F22" s="136"/>
      <c r="G22" s="147">
        <f>'[2]GAAP BS'!$E$22</f>
        <v>66656</v>
      </c>
      <c r="H22" s="140"/>
    </row>
    <row r="23" spans="1:12" x14ac:dyDescent="0.2">
      <c r="A23" s="138" t="s">
        <v>177</v>
      </c>
      <c r="B23" s="138"/>
      <c r="C23" s="138"/>
      <c r="E23" s="139">
        <f>'BS-PSE &amp; PE'!$I$29/1000</f>
        <v>24418</v>
      </c>
      <c r="F23" s="136"/>
      <c r="G23" s="147">
        <f>'[2]GAAP BS'!$E23</f>
        <v>21178</v>
      </c>
      <c r="H23" s="140"/>
    </row>
    <row r="24" spans="1:12" x14ac:dyDescent="0.2">
      <c r="A24" s="138" t="s">
        <v>424</v>
      </c>
      <c r="B24" s="138"/>
      <c r="C24" s="138"/>
      <c r="E24" s="139">
        <f>'BS-PSE &amp; PE'!$I$30/1000</f>
        <v>293</v>
      </c>
      <c r="F24" s="136"/>
      <c r="G24" s="147">
        <f>'[2]GAAP BS'!$E$24</f>
        <v>301</v>
      </c>
      <c r="H24" s="140"/>
    </row>
    <row r="25" spans="1:12" x14ac:dyDescent="0.2">
      <c r="A25" s="138" t="s">
        <v>178</v>
      </c>
      <c r="B25" s="138"/>
      <c r="C25" s="138"/>
      <c r="E25" s="139">
        <f>'BS-PSE &amp; PE'!$I$31/1000-1</f>
        <v>16826</v>
      </c>
      <c r="F25" s="136"/>
      <c r="G25" s="147">
        <f>'[2]GAAP BS'!$E25</f>
        <v>20907</v>
      </c>
      <c r="H25" s="140"/>
      <c r="J25" s="342" t="s">
        <v>464</v>
      </c>
      <c r="K25" s="343"/>
      <c r="L25" s="343"/>
    </row>
    <row r="26" spans="1:12" x14ac:dyDescent="0.2">
      <c r="A26" s="148" t="s">
        <v>181</v>
      </c>
      <c r="B26" s="148"/>
      <c r="C26" s="148"/>
      <c r="E26" s="143">
        <f>SUM(E14:E25)</f>
        <v>768542</v>
      </c>
      <c r="F26" s="136"/>
      <c r="G26" s="143">
        <f>SUM(G14:G25)</f>
        <v>758718</v>
      </c>
      <c r="H26" s="140"/>
    </row>
    <row r="27" spans="1:12" x14ac:dyDescent="0.2">
      <c r="A27" s="134" t="s">
        <v>182</v>
      </c>
      <c r="B27" s="134"/>
      <c r="C27" s="134"/>
      <c r="E27" s="136"/>
      <c r="F27" s="136"/>
      <c r="G27" s="135"/>
      <c r="H27" s="140"/>
    </row>
    <row r="28" spans="1:12" x14ac:dyDescent="0.2">
      <c r="A28" s="138" t="s">
        <v>183</v>
      </c>
      <c r="B28" s="138"/>
      <c r="C28" s="138"/>
      <c r="E28" s="139">
        <f>'BS-PSE &amp; PE'!$I$38/1000</f>
        <v>72694</v>
      </c>
      <c r="F28" s="136"/>
      <c r="G28" s="147">
        <f>'[2]GAAP BS'!$E30</f>
        <v>94913</v>
      </c>
      <c r="H28" s="140"/>
    </row>
    <row r="29" spans="1:12" s="145" customFormat="1" hidden="1" x14ac:dyDescent="0.2">
      <c r="A29" s="144" t="s">
        <v>184</v>
      </c>
      <c r="B29" s="144"/>
      <c r="C29" s="144"/>
      <c r="D29" s="130"/>
      <c r="E29" s="139">
        <f>'BS-PSE &amp; PE'!$I$39/1000</f>
        <v>0</v>
      </c>
      <c r="F29" s="136"/>
      <c r="G29" s="147">
        <f>'[1]GAAP BS'!$E31</f>
        <v>0</v>
      </c>
      <c r="H29" s="140"/>
    </row>
    <row r="30" spans="1:12" s="145" customFormat="1" x14ac:dyDescent="0.2">
      <c r="A30" s="144" t="s">
        <v>55</v>
      </c>
      <c r="B30" s="144"/>
      <c r="C30" s="144"/>
      <c r="D30" s="130"/>
      <c r="E30" s="139">
        <f>'BS-PSE &amp; PE'!$I40/1000</f>
        <v>4749</v>
      </c>
      <c r="F30" s="136"/>
      <c r="G30" s="147">
        <f>'[2]GAAP BS'!$E32</f>
        <v>4623</v>
      </c>
      <c r="H30" s="140"/>
    </row>
    <row r="31" spans="1:12" s="145" customFormat="1" hidden="1" outlineLevel="1" x14ac:dyDescent="0.2">
      <c r="A31" s="144" t="s">
        <v>221</v>
      </c>
      <c r="B31" s="144"/>
      <c r="C31" s="144"/>
      <c r="D31" s="130"/>
      <c r="E31" s="139">
        <f>'BS-PSE &amp; PE'!$I41/1000</f>
        <v>0</v>
      </c>
      <c r="F31" s="136"/>
      <c r="G31" s="147">
        <f>'[1]GAAP BS'!$E33</f>
        <v>0</v>
      </c>
      <c r="H31" s="140"/>
    </row>
    <row r="32" spans="1:12" s="145" customFormat="1" hidden="1" outlineLevel="1" x14ac:dyDescent="0.2">
      <c r="A32" s="144" t="s">
        <v>222</v>
      </c>
      <c r="B32" s="144"/>
      <c r="C32" s="144"/>
      <c r="D32" s="130"/>
      <c r="E32" s="139">
        <f>'BS-PSE &amp; PE'!$I42/1000</f>
        <v>0</v>
      </c>
      <c r="F32" s="136"/>
      <c r="G32" s="147">
        <f>'[1]GAAP BS'!$E34</f>
        <v>0</v>
      </c>
      <c r="H32" s="140"/>
    </row>
    <row r="33" spans="1:12" s="145" customFormat="1" hidden="1" outlineLevel="1" x14ac:dyDescent="0.2">
      <c r="A33" s="144" t="s">
        <v>223</v>
      </c>
      <c r="B33" s="144"/>
      <c r="C33" s="144"/>
      <c r="D33" s="130"/>
      <c r="E33" s="139">
        <f>'BS-PSE &amp; PE'!$I43/1000</f>
        <v>0</v>
      </c>
      <c r="F33" s="136"/>
      <c r="G33" s="147">
        <f>'[1]GAAP BS'!$E35</f>
        <v>0</v>
      </c>
      <c r="H33" s="140"/>
    </row>
    <row r="34" spans="1:12" s="145" customFormat="1" hidden="1" outlineLevel="1" x14ac:dyDescent="0.2">
      <c r="A34" s="144" t="s">
        <v>224</v>
      </c>
      <c r="B34" s="144"/>
      <c r="C34" s="144"/>
      <c r="D34" s="130"/>
      <c r="E34" s="139">
        <f>'BS-PSE &amp; PE'!$I44/1000</f>
        <v>0</v>
      </c>
      <c r="F34" s="136"/>
      <c r="G34" s="147">
        <f>'[1]GAAP BS'!$E36</f>
        <v>0</v>
      </c>
      <c r="H34" s="140"/>
    </row>
    <row r="35" spans="1:12" s="145" customFormat="1" hidden="1" outlineLevel="1" x14ac:dyDescent="0.2">
      <c r="A35" s="144" t="s">
        <v>225</v>
      </c>
      <c r="B35" s="144"/>
      <c r="C35" s="144"/>
      <c r="D35" s="130"/>
      <c r="E35" s="139">
        <f>'BS-PSE &amp; PE'!$I45/1000</f>
        <v>0</v>
      </c>
      <c r="F35" s="136"/>
      <c r="G35" s="147">
        <f>'[1]GAAP BS'!$E37</f>
        <v>0</v>
      </c>
      <c r="H35" s="140"/>
    </row>
    <row r="36" spans="1:12" s="145" customFormat="1" hidden="1" outlineLevel="1" x14ac:dyDescent="0.2">
      <c r="A36" s="144" t="s">
        <v>226</v>
      </c>
      <c r="B36" s="144"/>
      <c r="C36" s="144"/>
      <c r="D36" s="130"/>
      <c r="E36" s="139">
        <f>'BS-PSE &amp; PE'!$I46/1000</f>
        <v>0</v>
      </c>
      <c r="F36" s="136"/>
      <c r="G36" s="147">
        <f>'[1]GAAP BS'!$E38</f>
        <v>0</v>
      </c>
      <c r="H36" s="140"/>
    </row>
    <row r="37" spans="1:12" s="145" customFormat="1" collapsed="1" x14ac:dyDescent="0.2">
      <c r="A37" s="144" t="s">
        <v>70</v>
      </c>
      <c r="B37" s="144"/>
      <c r="C37" s="144"/>
      <c r="D37" s="130"/>
      <c r="E37" s="139">
        <f>'BS-PSE &amp; PE'!$I$48/1000+('BS-PSE &amp; PE'!$I$16/1000)</f>
        <v>894059</v>
      </c>
      <c r="F37" s="136"/>
      <c r="G37" s="147">
        <f>'[2]GAAP BS'!$E39</f>
        <v>866793</v>
      </c>
      <c r="H37" s="140"/>
    </row>
    <row r="38" spans="1:12" s="145" customFormat="1" x14ac:dyDescent="0.2">
      <c r="A38" s="144" t="s">
        <v>185</v>
      </c>
      <c r="B38" s="144"/>
      <c r="C38" s="144"/>
      <c r="D38" s="130"/>
      <c r="E38" s="139">
        <f>'BS-PSE &amp; PE'!$I$50/1000</f>
        <v>5225</v>
      </c>
      <c r="F38" s="136"/>
      <c r="G38" s="147">
        <f>'[2]GAAP BS'!$E40</f>
        <v>3170</v>
      </c>
      <c r="H38" s="140"/>
    </row>
    <row r="39" spans="1:12" x14ac:dyDescent="0.2">
      <c r="A39" s="138" t="s">
        <v>186</v>
      </c>
      <c r="B39" s="138"/>
      <c r="C39" s="138"/>
      <c r="E39" s="139">
        <f>'BS-PSE &amp; PE'!$I$53/1000+1</f>
        <v>88535</v>
      </c>
      <c r="F39" s="136"/>
      <c r="G39" s="147">
        <f>'[2]GAAP BS'!$E41</f>
        <v>89306</v>
      </c>
      <c r="H39" s="140"/>
      <c r="J39" s="332" t="s">
        <v>457</v>
      </c>
      <c r="K39" s="333"/>
      <c r="L39" s="333"/>
    </row>
    <row r="40" spans="1:12" x14ac:dyDescent="0.2">
      <c r="A40" s="148" t="s">
        <v>187</v>
      </c>
      <c r="B40" s="148"/>
      <c r="C40" s="148"/>
      <c r="E40" s="143">
        <f>SUM(E28:E39)</f>
        <v>1065262</v>
      </c>
      <c r="F40" s="136"/>
      <c r="G40" s="143">
        <f>SUM(G28:G39)</f>
        <v>1058805</v>
      </c>
      <c r="H40" s="140"/>
    </row>
    <row r="41" spans="1:12" ht="13.5" thickBot="1" x14ac:dyDescent="0.25">
      <c r="A41" s="134" t="s">
        <v>31</v>
      </c>
      <c r="B41" s="134"/>
      <c r="C41" s="134"/>
      <c r="E41" s="149">
        <f>+E8+E12+E26+E40</f>
        <v>10829535</v>
      </c>
      <c r="F41" s="150"/>
      <c r="G41" s="149">
        <f>+G8+G12+G26+G40</f>
        <v>10581415</v>
      </c>
      <c r="H41" s="140"/>
    </row>
    <row r="42" spans="1:12" ht="13.5" thickTop="1" x14ac:dyDescent="0.2">
      <c r="A42" s="134"/>
      <c r="B42" s="134"/>
      <c r="C42" s="134"/>
      <c r="E42" s="136"/>
      <c r="F42" s="136"/>
      <c r="G42" s="135"/>
      <c r="H42" s="140"/>
    </row>
    <row r="43" spans="1:12" x14ac:dyDescent="0.2">
      <c r="A43" s="134" t="s">
        <v>33</v>
      </c>
      <c r="B43" s="134"/>
      <c r="C43" s="134"/>
      <c r="E43" s="136"/>
      <c r="F43" s="136"/>
      <c r="G43" s="135"/>
      <c r="H43" s="140"/>
    </row>
    <row r="44" spans="1:12" x14ac:dyDescent="0.2">
      <c r="A44" s="134" t="s">
        <v>32</v>
      </c>
      <c r="B44" s="134"/>
      <c r="C44" s="134"/>
      <c r="E44" s="136"/>
      <c r="F44" s="136"/>
      <c r="G44" s="135"/>
      <c r="H44" s="140"/>
    </row>
    <row r="45" spans="1:12" x14ac:dyDescent="0.2">
      <c r="A45" s="138" t="s">
        <v>188</v>
      </c>
      <c r="B45" s="138"/>
      <c r="C45" s="138"/>
      <c r="E45" s="150">
        <f>'BS-PSE &amp; PE'!$I$58/1000</f>
        <v>3362992</v>
      </c>
      <c r="F45" s="136"/>
      <c r="G45" s="151">
        <f>'[2]GAAP BS'!$E47</f>
        <v>3278729</v>
      </c>
      <c r="H45" s="140"/>
    </row>
    <row r="46" spans="1:12" x14ac:dyDescent="0.2">
      <c r="A46" s="142" t="s">
        <v>189</v>
      </c>
      <c r="B46" s="142"/>
      <c r="C46" s="142"/>
      <c r="E46" s="143">
        <f>E45</f>
        <v>3362992</v>
      </c>
      <c r="F46" s="136"/>
      <c r="G46" s="143">
        <f>SUM(G45)</f>
        <v>3278729</v>
      </c>
      <c r="H46" s="140"/>
    </row>
    <row r="47" spans="1:12" x14ac:dyDescent="0.2">
      <c r="A47" s="138" t="s">
        <v>190</v>
      </c>
      <c r="B47" s="138"/>
      <c r="C47" s="138"/>
      <c r="E47" s="136"/>
      <c r="F47" s="136"/>
      <c r="G47" s="135"/>
      <c r="H47" s="140"/>
    </row>
    <row r="48" spans="1:12" x14ac:dyDescent="0.2">
      <c r="A48" s="138" t="s">
        <v>191</v>
      </c>
      <c r="B48" s="138"/>
      <c r="C48" s="138"/>
      <c r="E48" s="136">
        <f>'BS-PSE &amp; PE'!$I$62/1000</f>
        <v>250000</v>
      </c>
      <c r="F48" s="136"/>
      <c r="G48" s="135">
        <f>'[2]GAAP BS'!$E50</f>
        <v>250000</v>
      </c>
      <c r="H48" s="140"/>
    </row>
    <row r="49" spans="1:8" hidden="1" outlineLevel="1" x14ac:dyDescent="0.2">
      <c r="A49" s="138" t="s">
        <v>192</v>
      </c>
      <c r="B49" s="138"/>
      <c r="C49" s="138"/>
      <c r="E49" s="136"/>
      <c r="F49" s="136"/>
      <c r="G49" s="135">
        <f>'[1]GAAP BS'!$E51</f>
        <v>0</v>
      </c>
      <c r="H49" s="140"/>
    </row>
    <row r="50" spans="1:8" ht="12.75" hidden="1" customHeight="1" outlineLevel="1" x14ac:dyDescent="0.2">
      <c r="A50" s="142" t="s">
        <v>193</v>
      </c>
      <c r="B50" s="152"/>
      <c r="C50" s="152"/>
      <c r="E50" s="136"/>
      <c r="F50" s="136"/>
      <c r="G50" s="135">
        <f>'[1]GAAP BS'!$E52</f>
        <v>0</v>
      </c>
      <c r="H50" s="140"/>
    </row>
    <row r="51" spans="1:8" collapsed="1" x14ac:dyDescent="0.2">
      <c r="A51" s="138" t="s">
        <v>194</v>
      </c>
      <c r="B51" s="138"/>
      <c r="C51" s="138"/>
      <c r="E51" s="136">
        <f>('BS-PSE &amp; PE'!$I$65)/1000-1</f>
        <v>3524384</v>
      </c>
      <c r="F51" s="136"/>
      <c r="G51" s="135">
        <f>'[2]GAAP BS'!$E53</f>
        <v>3351259</v>
      </c>
      <c r="H51" s="140"/>
    </row>
    <row r="52" spans="1:8" x14ac:dyDescent="0.2">
      <c r="A52" s="142" t="s">
        <v>195</v>
      </c>
      <c r="B52" s="142"/>
      <c r="C52" s="142"/>
      <c r="E52" s="143">
        <f>SUM(E48:E51)</f>
        <v>3774384</v>
      </c>
      <c r="F52" s="136"/>
      <c r="G52" s="143">
        <f>SUM(G48:G51)</f>
        <v>3601259</v>
      </c>
      <c r="H52" s="140"/>
    </row>
    <row r="53" spans="1:8" x14ac:dyDescent="0.2">
      <c r="A53" s="148" t="s">
        <v>39</v>
      </c>
      <c r="B53" s="148"/>
      <c r="C53" s="148"/>
      <c r="E53" s="143">
        <f>+E46+E52</f>
        <v>7137376</v>
      </c>
      <c r="F53" s="136"/>
      <c r="G53" s="143">
        <f>+G46+G52</f>
        <v>6879988</v>
      </c>
      <c r="H53" s="140"/>
    </row>
    <row r="54" spans="1:8" x14ac:dyDescent="0.2">
      <c r="A54" s="134" t="s">
        <v>196</v>
      </c>
      <c r="B54" s="134"/>
      <c r="C54" s="134"/>
      <c r="E54" s="136"/>
      <c r="F54" s="136"/>
      <c r="G54" s="135"/>
      <c r="H54" s="140"/>
    </row>
    <row r="55" spans="1:8" x14ac:dyDescent="0.2">
      <c r="A55" s="138" t="s">
        <v>75</v>
      </c>
      <c r="B55" s="138"/>
      <c r="C55" s="138"/>
      <c r="E55" s="136">
        <f>'BS-PSE &amp; PE'!$I69/1000</f>
        <v>259353</v>
      </c>
      <c r="F55" s="136"/>
      <c r="G55" s="135">
        <f>'[2]GAAP BS'!$E57</f>
        <v>307572</v>
      </c>
      <c r="H55" s="140"/>
    </row>
    <row r="56" spans="1:8" hidden="1" outlineLevel="1" x14ac:dyDescent="0.2">
      <c r="A56" s="138" t="s">
        <v>197</v>
      </c>
      <c r="B56" s="138"/>
      <c r="C56" s="138"/>
      <c r="E56" s="136">
        <f>'BS-PSE &amp; PE'!$H70/1000</f>
        <v>0</v>
      </c>
      <c r="F56" s="136"/>
      <c r="G56" s="135">
        <f>'[1]GAAP BS'!$E58</f>
        <v>0</v>
      </c>
      <c r="H56" s="140"/>
    </row>
    <row r="57" spans="1:8" collapsed="1" x14ac:dyDescent="0.2">
      <c r="A57" s="138" t="s">
        <v>198</v>
      </c>
      <c r="B57" s="138"/>
      <c r="C57" s="138"/>
      <c r="E57" s="136">
        <f>'BS-PSE &amp; PE'!$I71/1000</f>
        <v>159004</v>
      </c>
      <c r="F57" s="136"/>
      <c r="G57" s="135">
        <f>'[2]GAAP BS'!$E59</f>
        <v>85000</v>
      </c>
      <c r="H57" s="140"/>
    </row>
    <row r="58" spans="1:8" x14ac:dyDescent="0.2">
      <c r="A58" s="138" t="s">
        <v>285</v>
      </c>
      <c r="B58" s="138"/>
      <c r="C58" s="138"/>
      <c r="E58" s="136">
        <f>'BS-PSE &amp; PE'!$I72/1000</f>
        <v>0</v>
      </c>
      <c r="F58" s="136"/>
      <c r="G58" s="135">
        <f>'[2]GAAP BS'!$E60</f>
        <v>28933</v>
      </c>
      <c r="H58" s="140"/>
    </row>
    <row r="59" spans="1:8" x14ac:dyDescent="0.2">
      <c r="A59" s="138" t="s">
        <v>199</v>
      </c>
      <c r="B59" s="138"/>
      <c r="C59" s="138"/>
      <c r="E59" s="136">
        <f>'BS-PSE &amp; PE'!$I73/1000</f>
        <v>0</v>
      </c>
      <c r="F59" s="136"/>
      <c r="G59" s="135">
        <f>'[2]GAAP BS'!$E61</f>
        <v>162000</v>
      </c>
      <c r="H59" s="140"/>
    </row>
    <row r="60" spans="1:8" x14ac:dyDescent="0.2">
      <c r="A60" s="153" t="s">
        <v>200</v>
      </c>
      <c r="B60" s="138"/>
      <c r="C60" s="138"/>
      <c r="E60" s="136"/>
      <c r="F60" s="136"/>
      <c r="G60" s="135"/>
      <c r="H60" s="140"/>
    </row>
    <row r="61" spans="1:8" s="145" customFormat="1" x14ac:dyDescent="0.2">
      <c r="A61" s="144" t="s">
        <v>461</v>
      </c>
      <c r="B61" s="144"/>
      <c r="C61" s="144"/>
      <c r="D61" s="130"/>
      <c r="E61" s="136">
        <f>'BS-PSE &amp; PE'!$I75/1000</f>
        <v>12589</v>
      </c>
      <c r="F61" s="136"/>
      <c r="G61" s="135">
        <f>'[2]GAAP BS'!$E63</f>
        <v>0</v>
      </c>
      <c r="H61" s="140"/>
    </row>
    <row r="62" spans="1:8" x14ac:dyDescent="0.2">
      <c r="A62" s="138" t="s">
        <v>201</v>
      </c>
      <c r="B62" s="138"/>
      <c r="C62" s="138"/>
      <c r="E62" s="136">
        <f>'BS-PSE &amp; PE'!$I76/1000</f>
        <v>114854</v>
      </c>
      <c r="F62" s="136"/>
      <c r="G62" s="135">
        <f>'[2]GAAP BS'!$E64</f>
        <v>107782</v>
      </c>
      <c r="H62" s="140"/>
    </row>
    <row r="63" spans="1:8" x14ac:dyDescent="0.2">
      <c r="A63" s="138" t="s">
        <v>202</v>
      </c>
      <c r="B63" s="138"/>
      <c r="C63" s="138"/>
      <c r="E63" s="136">
        <f>'BS-PSE &amp; PE'!$I77/1000</f>
        <v>38457</v>
      </c>
      <c r="F63" s="136"/>
      <c r="G63" s="135">
        <f>'[2]GAAP BS'!$E65</f>
        <v>40970</v>
      </c>
      <c r="H63" s="140"/>
    </row>
    <row r="64" spans="1:8" x14ac:dyDescent="0.2">
      <c r="A64" s="138" t="s">
        <v>203</v>
      </c>
      <c r="B64" s="138"/>
      <c r="C64" s="138"/>
      <c r="E64" s="136">
        <f>'BS-PSE &amp; PE'!$I78/1000</f>
        <v>47772</v>
      </c>
      <c r="F64" s="136"/>
      <c r="G64" s="135">
        <f>'[2]GAAP BS'!$E66</f>
        <v>55346</v>
      </c>
      <c r="H64" s="140"/>
    </row>
    <row r="65" spans="1:14" x14ac:dyDescent="0.2">
      <c r="A65" s="138" t="s">
        <v>462</v>
      </c>
      <c r="B65" s="138"/>
      <c r="C65" s="138"/>
      <c r="E65" s="136">
        <f>'BS-PSE &amp; PE'!$I79/1000</f>
        <v>131420</v>
      </c>
      <c r="F65" s="136"/>
      <c r="G65" s="135">
        <f>'[2]GAAP BS'!$E67</f>
        <v>135973</v>
      </c>
      <c r="H65" s="140"/>
    </row>
    <row r="66" spans="1:14" s="182" customFormat="1" hidden="1" outlineLevel="1" x14ac:dyDescent="0.2">
      <c r="A66" s="179" t="s">
        <v>180</v>
      </c>
      <c r="B66" s="179"/>
      <c r="C66" s="179"/>
      <c r="D66" s="180"/>
      <c r="E66" s="181">
        <f>'BS-PSE &amp; PE'!$H80/1000</f>
        <v>0</v>
      </c>
      <c r="F66" s="181"/>
      <c r="G66" s="135">
        <f>'[1]GAAP BS'!$E68</f>
        <v>0</v>
      </c>
      <c r="H66" s="140"/>
    </row>
    <row r="67" spans="1:14" collapsed="1" x14ac:dyDescent="0.2">
      <c r="A67" s="138" t="s">
        <v>463</v>
      </c>
      <c r="B67" s="138"/>
      <c r="C67" s="138"/>
      <c r="E67" s="136">
        <f>'BS-PSE &amp; PE'!$I82/1000+2</f>
        <v>53868</v>
      </c>
      <c r="F67" s="136"/>
      <c r="G67" s="135">
        <f>'[2]GAAP BS'!$E69</f>
        <v>62464</v>
      </c>
      <c r="H67" s="140"/>
      <c r="J67" s="342" t="s">
        <v>460</v>
      </c>
      <c r="K67" s="343"/>
      <c r="L67" s="343"/>
    </row>
    <row r="68" spans="1:14" x14ac:dyDescent="0.2">
      <c r="A68" s="148" t="s">
        <v>204</v>
      </c>
      <c r="B68" s="148"/>
      <c r="C68" s="148"/>
      <c r="E68" s="143">
        <f>SUM(E55:E67)</f>
        <v>817317</v>
      </c>
      <c r="F68" s="136"/>
      <c r="G68" s="143">
        <f>SUM(G55:G67)</f>
        <v>986040</v>
      </c>
      <c r="H68" s="140"/>
    </row>
    <row r="69" spans="1:14" x14ac:dyDescent="0.2">
      <c r="A69" s="154" t="s">
        <v>205</v>
      </c>
      <c r="B69" s="154"/>
      <c r="C69" s="154"/>
      <c r="E69" s="136"/>
      <c r="F69" s="136"/>
      <c r="G69" s="136"/>
      <c r="H69" s="140"/>
      <c r="N69" s="136">
        <v>1649857</v>
      </c>
    </row>
    <row r="70" spans="1:14" x14ac:dyDescent="0.2">
      <c r="A70" s="138" t="s">
        <v>180</v>
      </c>
      <c r="B70" s="138"/>
      <c r="C70" s="138"/>
      <c r="E70" s="136">
        <f>'BS-PSE &amp; PE'!$I85/1000</f>
        <v>1556616</v>
      </c>
      <c r="F70" s="136"/>
      <c r="G70" s="136">
        <f>'[2]GAAP BS'!$E72-'[2]GAAP BS'!$E27</f>
        <v>1441410</v>
      </c>
      <c r="H70" s="140"/>
      <c r="N70" s="136">
        <v>208447</v>
      </c>
    </row>
    <row r="71" spans="1:14" x14ac:dyDescent="0.2">
      <c r="A71" s="138" t="s">
        <v>206</v>
      </c>
      <c r="B71" s="138"/>
      <c r="C71" s="138"/>
      <c r="E71" s="136">
        <f>'BS-PSE &amp; PE'!$I86/1000</f>
        <v>47776</v>
      </c>
      <c r="F71" s="136"/>
      <c r="G71" s="136">
        <f>'[2]GAAP BS'!$E73</f>
        <v>60063</v>
      </c>
      <c r="H71" s="140"/>
      <c r="N71" s="488">
        <f>SUM(N69:N70)</f>
        <v>1858304</v>
      </c>
    </row>
    <row r="72" spans="1:14" s="145" customFormat="1" hidden="1" x14ac:dyDescent="0.2">
      <c r="A72" s="144" t="s">
        <v>55</v>
      </c>
      <c r="B72" s="144"/>
      <c r="C72" s="144"/>
      <c r="D72" s="130"/>
      <c r="E72" s="136">
        <f>'BS-PSE &amp; PE'!$I87/1000</f>
        <v>0</v>
      </c>
      <c r="F72" s="136"/>
      <c r="G72" s="136">
        <f>'[2]GAAP BS'!$E74</f>
        <v>0</v>
      </c>
      <c r="H72" s="140"/>
    </row>
    <row r="73" spans="1:14" s="145" customFormat="1" hidden="1" outlineLevel="1" collapsed="1" x14ac:dyDescent="0.2">
      <c r="A73" s="144" t="s">
        <v>207</v>
      </c>
      <c r="B73" s="144"/>
      <c r="C73" s="144"/>
      <c r="D73" s="130"/>
      <c r="E73" s="136"/>
      <c r="F73" s="136"/>
      <c r="G73" s="136">
        <f>'[1]GAAP BS'!$E75</f>
        <v>0</v>
      </c>
      <c r="H73" s="140"/>
    </row>
    <row r="74" spans="1:14" s="145" customFormat="1" hidden="1" outlineLevel="1" x14ac:dyDescent="0.2">
      <c r="A74" s="144" t="s">
        <v>227</v>
      </c>
      <c r="B74" s="144"/>
      <c r="C74" s="144"/>
      <c r="D74" s="130"/>
      <c r="E74" s="136">
        <f>'BS-PSE &amp; PE'!$I89/1000</f>
        <v>0</v>
      </c>
      <c r="F74" s="136"/>
      <c r="G74" s="136">
        <f>'[1]GAAP BS'!$E76</f>
        <v>0</v>
      </c>
      <c r="H74" s="140"/>
    </row>
    <row r="75" spans="1:14" s="145" customFormat="1" collapsed="1" x14ac:dyDescent="0.2">
      <c r="A75" s="144" t="s">
        <v>207</v>
      </c>
      <c r="B75" s="144"/>
      <c r="C75" s="144"/>
      <c r="D75" s="130"/>
      <c r="E75" s="136">
        <f>'BS-PSE &amp; PE'!$I90/1000</f>
        <v>651094</v>
      </c>
      <c r="F75" s="136"/>
      <c r="G75" s="136">
        <f>'[2]GAAP BS'!$E77</f>
        <v>630651</v>
      </c>
      <c r="H75" s="140"/>
    </row>
    <row r="76" spans="1:14" s="145" customFormat="1" x14ac:dyDescent="0.2">
      <c r="A76" s="144" t="s">
        <v>82</v>
      </c>
      <c r="B76" s="144"/>
      <c r="C76" s="144"/>
      <c r="D76" s="130"/>
      <c r="E76" s="211">
        <f>'BS-PSE &amp; PE'!$I93/1000</f>
        <v>619356</v>
      </c>
      <c r="F76" s="136"/>
      <c r="G76" s="136">
        <f>'[2]GAAP BS'!$E78</f>
        <v>583263</v>
      </c>
      <c r="H76" s="140"/>
      <c r="J76" s="342" t="s">
        <v>459</v>
      </c>
      <c r="K76" s="343"/>
      <c r="L76" s="343"/>
    </row>
    <row r="77" spans="1:14" x14ac:dyDescent="0.2">
      <c r="A77" s="148" t="s">
        <v>208</v>
      </c>
      <c r="B77" s="148"/>
      <c r="C77" s="148"/>
      <c r="E77" s="143">
        <f>SUM(E70:E76)</f>
        <v>2874842</v>
      </c>
      <c r="F77" s="136"/>
      <c r="G77" s="143">
        <f>SUM(G70:G76)</f>
        <v>2715387</v>
      </c>
      <c r="H77" s="140"/>
    </row>
    <row r="78" spans="1:14" ht="13.5" thickBot="1" x14ac:dyDescent="0.25">
      <c r="A78" s="134" t="s">
        <v>209</v>
      </c>
      <c r="B78" s="134"/>
      <c r="C78" s="134"/>
      <c r="E78" s="149">
        <f>+E53+E68+E77</f>
        <v>10829535</v>
      </c>
      <c r="F78" s="150"/>
      <c r="G78" s="149">
        <f>+G53+G68+G77</f>
        <v>10581415</v>
      </c>
      <c r="H78" s="140"/>
      <c r="I78" s="264">
        <f>E41-E78</f>
        <v>0</v>
      </c>
      <c r="J78" s="264">
        <f>G41-G78</f>
        <v>0</v>
      </c>
    </row>
    <row r="79" spans="1:14" ht="13.5" thickTop="1" x14ac:dyDescent="0.2">
      <c r="H79" s="140"/>
    </row>
    <row r="80" spans="1:14" x14ac:dyDescent="0.2">
      <c r="H80" s="140"/>
    </row>
    <row r="81" spans="1:10" x14ac:dyDescent="0.2">
      <c r="H81" s="140"/>
    </row>
    <row r="82" spans="1:10" x14ac:dyDescent="0.2">
      <c r="G82" s="130"/>
      <c r="H82" s="141"/>
      <c r="I82" s="128"/>
      <c r="J82" s="128"/>
    </row>
    <row r="83" spans="1:10" x14ac:dyDescent="0.2">
      <c r="A83" s="134"/>
      <c r="C83" s="155"/>
      <c r="D83" s="156"/>
      <c r="E83" s="156"/>
      <c r="F83" s="156"/>
      <c r="G83" s="156"/>
      <c r="H83" s="141"/>
      <c r="I83" s="128"/>
      <c r="J83" s="128"/>
    </row>
    <row r="84" spans="1:10" x14ac:dyDescent="0.2">
      <c r="C84" s="155"/>
      <c r="D84" s="156"/>
      <c r="E84" s="156"/>
      <c r="F84" s="156"/>
      <c r="G84" s="156"/>
      <c r="H84" s="141"/>
      <c r="I84" s="128"/>
      <c r="J84" s="128"/>
    </row>
    <row r="85" spans="1:10" x14ac:dyDescent="0.2">
      <c r="C85" s="157"/>
      <c r="D85" s="158"/>
      <c r="E85" s="158"/>
      <c r="F85" s="158"/>
      <c r="G85" s="158"/>
      <c r="H85" s="141"/>
      <c r="I85" s="128"/>
      <c r="J85" s="128"/>
    </row>
    <row r="86" spans="1:10" x14ac:dyDescent="0.2">
      <c r="G86" s="130"/>
      <c r="H86" s="141"/>
      <c r="I86" s="128"/>
      <c r="J86" s="128"/>
    </row>
    <row r="87" spans="1:10" x14ac:dyDescent="0.2">
      <c r="G87" s="130"/>
      <c r="H87" s="141"/>
      <c r="I87" s="128"/>
      <c r="J87" s="128"/>
    </row>
    <row r="88" spans="1:10" x14ac:dyDescent="0.2">
      <c r="G88" s="130"/>
      <c r="H88" s="141"/>
      <c r="I88" s="128"/>
      <c r="J88" s="128"/>
    </row>
    <row r="89" spans="1:10" x14ac:dyDescent="0.2">
      <c r="G89" s="130"/>
      <c r="H89" s="141"/>
      <c r="I89" s="128"/>
      <c r="J89" s="128"/>
    </row>
    <row r="90" spans="1:10" x14ac:dyDescent="0.2">
      <c r="G90" s="130"/>
      <c r="H90" s="141"/>
      <c r="I90" s="128"/>
      <c r="J90" s="128"/>
    </row>
    <row r="91" spans="1:10" x14ac:dyDescent="0.2">
      <c r="G91" s="130"/>
      <c r="H91" s="141"/>
      <c r="I91" s="128"/>
      <c r="J91" s="128"/>
    </row>
    <row r="92" spans="1:10" x14ac:dyDescent="0.2">
      <c r="G92" s="130"/>
      <c r="H92" s="141"/>
      <c r="I92" s="128"/>
      <c r="J92" s="128"/>
    </row>
    <row r="93" spans="1:10" x14ac:dyDescent="0.2">
      <c r="G93" s="130"/>
      <c r="H93" s="141"/>
      <c r="I93" s="128"/>
      <c r="J93" s="128"/>
    </row>
    <row r="94" spans="1:10" x14ac:dyDescent="0.2">
      <c r="G94" s="130"/>
      <c r="H94" s="141"/>
      <c r="I94" s="128"/>
      <c r="J94" s="128"/>
    </row>
    <row r="95" spans="1:10" x14ac:dyDescent="0.2">
      <c r="G95" s="130"/>
      <c r="H95" s="141"/>
      <c r="I95" s="128"/>
      <c r="J95" s="128"/>
    </row>
    <row r="96" spans="1:10" x14ac:dyDescent="0.2">
      <c r="G96" s="130"/>
      <c r="H96" s="141"/>
      <c r="I96" s="128"/>
      <c r="J96" s="128"/>
    </row>
    <row r="97" spans="7:10" x14ac:dyDescent="0.2">
      <c r="G97" s="130"/>
      <c r="H97" s="141"/>
      <c r="I97" s="128"/>
      <c r="J97" s="128"/>
    </row>
    <row r="98" spans="7:10" x14ac:dyDescent="0.2">
      <c r="G98" s="130"/>
      <c r="H98" s="141"/>
      <c r="I98" s="128"/>
      <c r="J98" s="128"/>
    </row>
    <row r="99" spans="7:10" x14ac:dyDescent="0.2">
      <c r="G99" s="130"/>
      <c r="H99" s="141"/>
      <c r="I99" s="128"/>
      <c r="J99" s="128"/>
    </row>
    <row r="100" spans="7:10" x14ac:dyDescent="0.2">
      <c r="G100" s="130"/>
      <c r="H100" s="141"/>
      <c r="I100" s="128"/>
      <c r="J100" s="128"/>
    </row>
    <row r="101" spans="7:10" x14ac:dyDescent="0.2">
      <c r="G101" s="130"/>
      <c r="H101" s="141"/>
      <c r="I101" s="128"/>
      <c r="J101" s="128"/>
    </row>
    <row r="102" spans="7:10" x14ac:dyDescent="0.2">
      <c r="G102" s="130"/>
      <c r="H102" s="141"/>
      <c r="I102" s="128"/>
      <c r="J102" s="128"/>
    </row>
    <row r="103" spans="7:10" x14ac:dyDescent="0.2">
      <c r="H103" s="140"/>
    </row>
    <row r="104" spans="7:10" x14ac:dyDescent="0.2">
      <c r="H104" s="140"/>
    </row>
    <row r="105" spans="7:10" x14ac:dyDescent="0.2">
      <c r="H105" s="140"/>
    </row>
    <row r="106" spans="7:10" x14ac:dyDescent="0.2">
      <c r="H106" s="140"/>
    </row>
    <row r="107" spans="7:10" x14ac:dyDescent="0.2">
      <c r="H107" s="140"/>
    </row>
    <row r="108" spans="7:10" x14ac:dyDescent="0.2">
      <c r="H108" s="140"/>
    </row>
    <row r="109" spans="7:10" x14ac:dyDescent="0.2">
      <c r="H109" s="140"/>
    </row>
    <row r="110" spans="7:10" x14ac:dyDescent="0.2">
      <c r="H110" s="140"/>
    </row>
    <row r="111" spans="7:10" x14ac:dyDescent="0.2">
      <c r="H111" s="140"/>
    </row>
    <row r="112" spans="7:10" x14ac:dyDescent="0.2">
      <c r="H112" s="140"/>
    </row>
    <row r="113" spans="8:8" x14ac:dyDescent="0.2">
      <c r="H113" s="140"/>
    </row>
    <row r="114" spans="8:8" x14ac:dyDescent="0.2">
      <c r="H114" s="140"/>
    </row>
    <row r="115" spans="8:8" x14ac:dyDescent="0.2">
      <c r="H115" s="140"/>
    </row>
    <row r="116" spans="8:8" x14ac:dyDescent="0.2">
      <c r="H116" s="140"/>
    </row>
    <row r="117" spans="8:8" x14ac:dyDescent="0.2">
      <c r="H117" s="140"/>
    </row>
    <row r="118" spans="8:8" x14ac:dyDescent="0.2">
      <c r="H118" s="140"/>
    </row>
    <row r="119" spans="8:8" x14ac:dyDescent="0.2">
      <c r="H119" s="140"/>
    </row>
    <row r="120" spans="8:8" x14ac:dyDescent="0.2">
      <c r="H120" s="140"/>
    </row>
    <row r="121" spans="8:8" x14ac:dyDescent="0.2">
      <c r="H121" s="140"/>
    </row>
    <row r="122" spans="8:8" x14ac:dyDescent="0.2">
      <c r="H122" s="140"/>
    </row>
    <row r="123" spans="8:8" x14ac:dyDescent="0.2">
      <c r="H123" s="140"/>
    </row>
    <row r="124" spans="8:8" x14ac:dyDescent="0.2">
      <c r="H124" s="140"/>
    </row>
    <row r="125" spans="8:8" x14ac:dyDescent="0.2">
      <c r="H125" s="140"/>
    </row>
    <row r="126" spans="8:8" x14ac:dyDescent="0.2">
      <c r="H126" s="140"/>
    </row>
    <row r="127" spans="8:8" x14ac:dyDescent="0.2">
      <c r="H127" s="140"/>
    </row>
    <row r="128" spans="8:8" x14ac:dyDescent="0.2">
      <c r="H128" s="140"/>
    </row>
    <row r="129" spans="8:8" x14ac:dyDescent="0.2">
      <c r="H129" s="140"/>
    </row>
    <row r="130" spans="8:8" x14ac:dyDescent="0.2">
      <c r="H130" s="140"/>
    </row>
    <row r="131" spans="8:8" x14ac:dyDescent="0.2">
      <c r="H131" s="140"/>
    </row>
    <row r="132" spans="8:8" x14ac:dyDescent="0.2">
      <c r="H132" s="140"/>
    </row>
    <row r="133" spans="8:8" x14ac:dyDescent="0.2">
      <c r="H133" s="140"/>
    </row>
    <row r="134" spans="8:8" x14ac:dyDescent="0.2">
      <c r="H134" s="140"/>
    </row>
    <row r="135" spans="8:8" x14ac:dyDescent="0.2">
      <c r="H135" s="140"/>
    </row>
    <row r="136" spans="8:8" x14ac:dyDescent="0.2">
      <c r="H136" s="140"/>
    </row>
    <row r="137" spans="8:8" x14ac:dyDescent="0.2">
      <c r="H137" s="140"/>
    </row>
    <row r="138" spans="8:8" x14ac:dyDescent="0.2">
      <c r="H138" s="140"/>
    </row>
    <row r="139" spans="8:8" x14ac:dyDescent="0.2">
      <c r="H139" s="140"/>
    </row>
    <row r="140" spans="8:8" x14ac:dyDescent="0.2">
      <c r="H140" s="140"/>
    </row>
    <row r="141" spans="8:8" x14ac:dyDescent="0.2">
      <c r="H141" s="140"/>
    </row>
    <row r="142" spans="8:8" x14ac:dyDescent="0.2">
      <c r="H142" s="140"/>
    </row>
    <row r="143" spans="8:8" x14ac:dyDescent="0.2">
      <c r="H143" s="140"/>
    </row>
    <row r="144" spans="8:8" x14ac:dyDescent="0.2">
      <c r="H144" s="140"/>
    </row>
    <row r="145" spans="8:8" x14ac:dyDescent="0.2">
      <c r="H145" s="140"/>
    </row>
    <row r="146" spans="8:8" x14ac:dyDescent="0.2">
      <c r="H146" s="140"/>
    </row>
    <row r="147" spans="8:8" x14ac:dyDescent="0.2">
      <c r="H147" s="140"/>
    </row>
  </sheetData>
  <phoneticPr fontId="2" type="noConversion"/>
  <printOptions horizontalCentered="1"/>
  <pageMargins left="0.75" right="0.75" top="1" bottom="1" header="0.5" footer="0.25"/>
  <pageSetup scale="80" orientation="portrait" blackAndWhite="1" r:id="rId1"/>
  <headerFooter alignWithMargins="0">
    <oddHeader>&amp;C&amp;"Arial,Bold"&amp;12PUGET SOUND ENERGY, INC.
BALANCE SHEET &amp;"Arial,Regular"&amp;10
(Dollars in Thousands)</oddHeader>
    <oddFooter>&amp;C&amp;11 2</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opLeftCell="A25" zoomScaleNormal="100" workbookViewId="0">
      <selection activeCell="M9" sqref="M9:O15"/>
    </sheetView>
  </sheetViews>
  <sheetFormatPr defaultColWidth="12.42578125" defaultRowHeight="15.75" x14ac:dyDescent="0.25"/>
  <cols>
    <col min="1" max="3" width="12.42578125" style="1" customWidth="1"/>
    <col min="4" max="4" width="87.42578125" style="1" bestFit="1" customWidth="1"/>
    <col min="5" max="16384" width="12.42578125" style="1"/>
  </cols>
  <sheetData>
    <row r="1" spans="1:4" s="2" customFormat="1" x14ac:dyDescent="0.25">
      <c r="A1" s="2" t="s">
        <v>128</v>
      </c>
      <c r="B1" s="2" t="s">
        <v>129</v>
      </c>
      <c r="C1" s="2" t="s">
        <v>130</v>
      </c>
      <c r="D1" s="2" t="s">
        <v>131</v>
      </c>
    </row>
    <row r="2" spans="1:4" x14ac:dyDescent="0.25">
      <c r="A2" s="3">
        <v>38323</v>
      </c>
      <c r="B2" s="4" t="s">
        <v>132</v>
      </c>
      <c r="C2" s="4" t="s">
        <v>133</v>
      </c>
      <c r="D2" s="1" t="s">
        <v>134</v>
      </c>
    </row>
    <row r="3" spans="1:4" ht="31.5" customHeight="1" x14ac:dyDescent="0.25">
      <c r="A3" s="3">
        <v>38372</v>
      </c>
      <c r="B3" s="4" t="s">
        <v>135</v>
      </c>
      <c r="C3" s="4" t="s">
        <v>133</v>
      </c>
      <c r="D3" s="5" t="s">
        <v>136</v>
      </c>
    </row>
    <row r="4" spans="1:4" x14ac:dyDescent="0.25">
      <c r="A4" s="3">
        <v>38372</v>
      </c>
      <c r="B4" s="4" t="s">
        <v>135</v>
      </c>
      <c r="C4" s="4" t="s">
        <v>133</v>
      </c>
      <c r="D4" s="5" t="s">
        <v>137</v>
      </c>
    </row>
    <row r="5" spans="1:4" ht="31.5" x14ac:dyDescent="0.25">
      <c r="A5" s="3">
        <v>38372</v>
      </c>
      <c r="B5" s="4" t="s">
        <v>135</v>
      </c>
      <c r="C5" s="4" t="s">
        <v>133</v>
      </c>
      <c r="D5" s="5" t="s">
        <v>138</v>
      </c>
    </row>
    <row r="6" spans="1:4" ht="31.5" x14ac:dyDescent="0.25">
      <c r="A6" s="3">
        <v>38372</v>
      </c>
      <c r="B6" s="4" t="s">
        <v>135</v>
      </c>
      <c r="C6" s="4" t="s">
        <v>133</v>
      </c>
      <c r="D6" s="5" t="s">
        <v>139</v>
      </c>
    </row>
    <row r="7" spans="1:4" ht="31.5" x14ac:dyDescent="0.25">
      <c r="A7" s="3">
        <v>38372</v>
      </c>
      <c r="B7" s="4" t="s">
        <v>135</v>
      </c>
      <c r="C7" s="4" t="s">
        <v>133</v>
      </c>
      <c r="D7" s="5" t="s">
        <v>140</v>
      </c>
    </row>
    <row r="8" spans="1:4" ht="31.5" x14ac:dyDescent="0.25">
      <c r="A8" s="3">
        <v>38372</v>
      </c>
      <c r="B8" s="4" t="s">
        <v>135</v>
      </c>
      <c r="C8" s="4" t="s">
        <v>133</v>
      </c>
      <c r="D8" s="5" t="s">
        <v>141</v>
      </c>
    </row>
    <row r="9" spans="1:4" x14ac:dyDescent="0.25">
      <c r="A9" s="3">
        <v>38374</v>
      </c>
      <c r="B9" s="4" t="s">
        <v>135</v>
      </c>
      <c r="C9" s="4" t="s">
        <v>133</v>
      </c>
      <c r="D9" s="1" t="s">
        <v>142</v>
      </c>
    </row>
    <row r="10" spans="1:4" ht="47.25" x14ac:dyDescent="0.25">
      <c r="A10" s="3">
        <v>38374</v>
      </c>
      <c r="B10" s="4" t="s">
        <v>135</v>
      </c>
      <c r="C10" s="4" t="s">
        <v>133</v>
      </c>
      <c r="D10" s="5" t="s">
        <v>143</v>
      </c>
    </row>
    <row r="11" spans="1:4" ht="47.25" x14ac:dyDescent="0.25">
      <c r="A11" s="3">
        <v>38453</v>
      </c>
      <c r="B11" s="4" t="s">
        <v>135</v>
      </c>
      <c r="C11" s="4" t="s">
        <v>133</v>
      </c>
      <c r="D11" s="5" t="s">
        <v>144</v>
      </c>
    </row>
    <row r="12" spans="1:4" ht="31.5" x14ac:dyDescent="0.25">
      <c r="A12" s="3">
        <v>38504</v>
      </c>
      <c r="B12" s="4" t="s">
        <v>135</v>
      </c>
      <c r="C12" s="4" t="s">
        <v>133</v>
      </c>
      <c r="D12" s="5" t="s">
        <v>145</v>
      </c>
    </row>
    <row r="13" spans="1:4" x14ac:dyDescent="0.25">
      <c r="A13" s="3">
        <v>38512</v>
      </c>
      <c r="B13" s="4" t="s">
        <v>135</v>
      </c>
      <c r="C13" s="4" t="s">
        <v>146</v>
      </c>
      <c r="D13" s="6" t="s">
        <v>147</v>
      </c>
    </row>
    <row r="14" spans="1:4" ht="47.25" x14ac:dyDescent="0.25">
      <c r="A14" s="3">
        <v>39508</v>
      </c>
      <c r="B14" s="4" t="s">
        <v>148</v>
      </c>
      <c r="C14" s="4" t="s">
        <v>149</v>
      </c>
      <c r="D14" s="5" t="s">
        <v>150</v>
      </c>
    </row>
    <row r="15" spans="1:4" ht="35.25" customHeight="1" x14ac:dyDescent="0.25">
      <c r="A15" s="3">
        <v>41164</v>
      </c>
      <c r="B15" s="4" t="s">
        <v>339</v>
      </c>
      <c r="C15" s="4"/>
      <c r="D15" s="5" t="s">
        <v>340</v>
      </c>
    </row>
    <row r="16" spans="1:4" ht="22.5" customHeight="1" x14ac:dyDescent="0.25">
      <c r="A16" s="3">
        <v>42192</v>
      </c>
      <c r="B16" s="4" t="s">
        <v>535</v>
      </c>
      <c r="C16" s="4" t="s">
        <v>536</v>
      </c>
      <c r="D16" s="1" t="s">
        <v>537</v>
      </c>
    </row>
    <row r="17" spans="1:4" ht="63" x14ac:dyDescent="0.25">
      <c r="A17" s="3">
        <v>42202</v>
      </c>
      <c r="B17" s="4" t="s">
        <v>539</v>
      </c>
      <c r="C17" s="4" t="s">
        <v>536</v>
      </c>
      <c r="D17" s="380" t="s">
        <v>540</v>
      </c>
    </row>
    <row r="18" spans="1:4" x14ac:dyDescent="0.25">
      <c r="A18" s="3">
        <v>42222</v>
      </c>
      <c r="B18" s="4" t="s">
        <v>535</v>
      </c>
      <c r="C18" s="4" t="s">
        <v>536</v>
      </c>
      <c r="D18" s="1" t="s">
        <v>543</v>
      </c>
    </row>
    <row r="19" spans="1:4" ht="31.5" x14ac:dyDescent="0.25">
      <c r="A19" s="3">
        <v>42222</v>
      </c>
      <c r="B19" s="4" t="s">
        <v>535</v>
      </c>
      <c r="C19" s="4" t="s">
        <v>536</v>
      </c>
      <c r="D19" s="5" t="s">
        <v>544</v>
      </c>
    </row>
    <row r="20" spans="1:4" ht="31.5" x14ac:dyDescent="0.25">
      <c r="A20" s="3">
        <v>42222</v>
      </c>
      <c r="B20" s="4" t="s">
        <v>535</v>
      </c>
      <c r="C20" s="4" t="s">
        <v>536</v>
      </c>
      <c r="D20" s="5" t="s">
        <v>546</v>
      </c>
    </row>
    <row r="21" spans="1:4" ht="31.5" x14ac:dyDescent="0.25">
      <c r="A21" s="3">
        <v>42222</v>
      </c>
      <c r="B21" s="4" t="s">
        <v>535</v>
      </c>
      <c r="C21" s="4" t="s">
        <v>536</v>
      </c>
      <c r="D21" s="5" t="s">
        <v>547</v>
      </c>
    </row>
    <row r="22" spans="1:4" ht="47.25" x14ac:dyDescent="0.25">
      <c r="A22" s="3">
        <v>42222</v>
      </c>
      <c r="B22" s="4" t="s">
        <v>535</v>
      </c>
      <c r="C22" s="4" t="s">
        <v>536</v>
      </c>
      <c r="D22" s="5" t="s">
        <v>548</v>
      </c>
    </row>
    <row r="23" spans="1:4" ht="47.25" x14ac:dyDescent="0.25">
      <c r="A23" s="3">
        <v>42250</v>
      </c>
      <c r="B23" s="4" t="s">
        <v>535</v>
      </c>
      <c r="C23" s="4" t="s">
        <v>536</v>
      </c>
      <c r="D23" s="5" t="s">
        <v>550</v>
      </c>
    </row>
    <row r="24" spans="1:4" ht="47.25" x14ac:dyDescent="0.25">
      <c r="A24" s="3">
        <v>42250</v>
      </c>
      <c r="B24" s="4" t="s">
        <v>535</v>
      </c>
      <c r="C24" s="4" t="s">
        <v>536</v>
      </c>
      <c r="D24" s="5" t="s">
        <v>549</v>
      </c>
    </row>
    <row r="25" spans="1:4" ht="47.25" x14ac:dyDescent="0.25">
      <c r="A25" s="3">
        <v>42250</v>
      </c>
      <c r="B25" s="4" t="s">
        <v>535</v>
      </c>
      <c r="C25" s="4" t="s">
        <v>536</v>
      </c>
      <c r="D25" s="5" t="s">
        <v>551</v>
      </c>
    </row>
    <row r="26" spans="1:4" ht="47.25" x14ac:dyDescent="0.25">
      <c r="A26" s="3">
        <v>42313</v>
      </c>
      <c r="B26" s="4" t="s">
        <v>535</v>
      </c>
      <c r="C26" s="4" t="s">
        <v>536</v>
      </c>
      <c r="D26" s="5" t="s">
        <v>555</v>
      </c>
    </row>
    <row r="27" spans="1:4" ht="31.5" x14ac:dyDescent="0.25">
      <c r="A27" s="3">
        <v>42345</v>
      </c>
      <c r="B27" s="4" t="s">
        <v>535</v>
      </c>
      <c r="C27" s="4" t="s">
        <v>536</v>
      </c>
      <c r="D27" s="5" t="s">
        <v>561</v>
      </c>
    </row>
    <row r="28" spans="1:4" ht="31.5" x14ac:dyDescent="0.25">
      <c r="A28" s="3">
        <v>42375</v>
      </c>
      <c r="B28" s="4" t="s">
        <v>535</v>
      </c>
      <c r="C28" s="4" t="s">
        <v>536</v>
      </c>
      <c r="D28" s="5" t="s">
        <v>634</v>
      </c>
    </row>
    <row r="29" spans="1:4" x14ac:dyDescent="0.25">
      <c r="A29" s="3">
        <v>42375</v>
      </c>
      <c r="B29" s="4" t="s">
        <v>535</v>
      </c>
      <c r="C29" s="4"/>
      <c r="D29" s="1" t="s">
        <v>635</v>
      </c>
    </row>
    <row r="30" spans="1:4" ht="110.25" x14ac:dyDescent="0.25">
      <c r="A30" s="3">
        <v>42376</v>
      </c>
      <c r="B30" s="4" t="s">
        <v>535</v>
      </c>
      <c r="C30" s="4"/>
      <c r="D30" s="5" t="s">
        <v>679</v>
      </c>
    </row>
    <row r="31" spans="1:4" ht="31.5" x14ac:dyDescent="0.25">
      <c r="A31" s="3">
        <v>42376</v>
      </c>
      <c r="B31" s="4" t="s">
        <v>535</v>
      </c>
      <c r="D31" s="5" t="s">
        <v>675</v>
      </c>
    </row>
    <row r="32" spans="1:4"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sheetData>
  <phoneticPr fontId="2" type="noConversion"/>
  <pageMargins left="0.75" right="0.75" top="1" bottom="1" header="0.5" footer="0.5"/>
  <pageSetup scale="70" orientation="portrait" r:id="rId1"/>
  <headerFooter alignWithMargins="0">
    <oddFooter>&amp;L&amp;Z&amp;F&amp;R&amp;A</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showGridLines="0" workbookViewId="0">
      <selection activeCell="M9" sqref="M9:O15"/>
    </sheetView>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308" t="s">
        <v>428</v>
      </c>
      <c r="C1" s="308"/>
      <c r="D1" s="317"/>
      <c r="E1" s="317"/>
      <c r="F1" s="317"/>
    </row>
    <row r="2" spans="2:6" x14ac:dyDescent="0.2">
      <c r="B2" s="308" t="s">
        <v>429</v>
      </c>
      <c r="C2" s="308"/>
      <c r="D2" s="317"/>
      <c r="E2" s="317"/>
      <c r="F2" s="317"/>
    </row>
    <row r="3" spans="2:6" x14ac:dyDescent="0.2">
      <c r="B3" s="309"/>
      <c r="C3" s="309"/>
      <c r="D3" s="318"/>
      <c r="E3" s="318"/>
      <c r="F3" s="318"/>
    </row>
    <row r="4" spans="2:6" ht="51" x14ac:dyDescent="0.2">
      <c r="B4" s="309" t="s">
        <v>430</v>
      </c>
      <c r="C4" s="309"/>
      <c r="D4" s="318"/>
      <c r="E4" s="318"/>
      <c r="F4" s="318"/>
    </row>
    <row r="5" spans="2:6" x14ac:dyDescent="0.2">
      <c r="B5" s="309"/>
      <c r="C5" s="309"/>
      <c r="D5" s="318"/>
      <c r="E5" s="318"/>
      <c r="F5" s="318"/>
    </row>
    <row r="6" spans="2:6" x14ac:dyDescent="0.2">
      <c r="B6" s="308" t="s">
        <v>431</v>
      </c>
      <c r="C6" s="308"/>
      <c r="D6" s="317"/>
      <c r="E6" s="317" t="s">
        <v>432</v>
      </c>
      <c r="F6" s="317" t="s">
        <v>433</v>
      </c>
    </row>
    <row r="7" spans="2:6" ht="13.5" thickBot="1" x14ac:dyDescent="0.25">
      <c r="B7" s="309"/>
      <c r="C7" s="309"/>
      <c r="D7" s="318"/>
      <c r="E7" s="318"/>
      <c r="F7" s="318"/>
    </row>
    <row r="8" spans="2:6" ht="51" x14ac:dyDescent="0.2">
      <c r="B8" s="310" t="s">
        <v>434</v>
      </c>
      <c r="C8" s="311"/>
      <c r="D8" s="319"/>
      <c r="E8" s="319">
        <v>55</v>
      </c>
      <c r="F8" s="320"/>
    </row>
    <row r="9" spans="2:6" x14ac:dyDescent="0.2">
      <c r="B9" s="312"/>
      <c r="C9" s="309"/>
      <c r="D9" s="318"/>
      <c r="E9" s="321" t="s">
        <v>435</v>
      </c>
      <c r="F9" s="322" t="s">
        <v>444</v>
      </c>
    </row>
    <row r="10" spans="2:6" x14ac:dyDescent="0.2">
      <c r="B10" s="312"/>
      <c r="C10" s="309"/>
      <c r="D10" s="318"/>
      <c r="E10" s="321" t="s">
        <v>436</v>
      </c>
      <c r="F10" s="322"/>
    </row>
    <row r="11" spans="2:6" ht="25.5" x14ac:dyDescent="0.2">
      <c r="B11" s="312"/>
      <c r="C11" s="309"/>
      <c r="D11" s="318"/>
      <c r="E11" s="321" t="s">
        <v>437</v>
      </c>
      <c r="F11" s="322"/>
    </row>
    <row r="12" spans="2:6" ht="25.5" x14ac:dyDescent="0.2">
      <c r="B12" s="312"/>
      <c r="C12" s="309"/>
      <c r="D12" s="318"/>
      <c r="E12" s="321" t="s">
        <v>438</v>
      </c>
      <c r="F12" s="322"/>
    </row>
    <row r="13" spans="2:6" x14ac:dyDescent="0.2">
      <c r="B13" s="312"/>
      <c r="C13" s="309"/>
      <c r="D13" s="318"/>
      <c r="E13" s="321" t="s">
        <v>439</v>
      </c>
      <c r="F13" s="322"/>
    </row>
    <row r="14" spans="2:6" ht="25.5" x14ac:dyDescent="0.2">
      <c r="B14" s="312"/>
      <c r="C14" s="309"/>
      <c r="D14" s="318"/>
      <c r="E14" s="321" t="s">
        <v>440</v>
      </c>
      <c r="F14" s="322"/>
    </row>
    <row r="15" spans="2:6" ht="25.5" x14ac:dyDescent="0.2">
      <c r="B15" s="312"/>
      <c r="C15" s="309"/>
      <c r="D15" s="318"/>
      <c r="E15" s="321" t="s">
        <v>441</v>
      </c>
      <c r="F15" s="322"/>
    </row>
    <row r="16" spans="2:6" ht="25.5" x14ac:dyDescent="0.2">
      <c r="B16" s="312"/>
      <c r="C16" s="309"/>
      <c r="D16" s="318"/>
      <c r="E16" s="321" t="s">
        <v>442</v>
      </c>
      <c r="F16" s="322"/>
    </row>
    <row r="17" spans="2:6" ht="26.25" thickBot="1" x14ac:dyDescent="0.25">
      <c r="B17" s="313"/>
      <c r="C17" s="314"/>
      <c r="D17" s="323"/>
      <c r="E17" s="324" t="s">
        <v>443</v>
      </c>
      <c r="F17" s="325"/>
    </row>
    <row r="18" spans="2:6" ht="13.5" thickBot="1" x14ac:dyDescent="0.25">
      <c r="B18" s="309"/>
      <c r="C18" s="309"/>
      <c r="D18" s="318"/>
      <c r="E18" s="318"/>
      <c r="F18" s="318"/>
    </row>
    <row r="19" spans="2:6" ht="39" thickBot="1" x14ac:dyDescent="0.25">
      <c r="B19" s="315" t="s">
        <v>445</v>
      </c>
      <c r="C19" s="316"/>
      <c r="D19" s="326"/>
      <c r="E19" s="326">
        <v>1</v>
      </c>
      <c r="F19" s="327" t="s">
        <v>444</v>
      </c>
    </row>
    <row r="20" spans="2:6" x14ac:dyDescent="0.2">
      <c r="B20" s="309"/>
      <c r="C20" s="309"/>
      <c r="D20" s="318"/>
      <c r="E20" s="318"/>
      <c r="F20" s="318"/>
    </row>
    <row r="21" spans="2:6" x14ac:dyDescent="0.2">
      <c r="B21" s="309"/>
      <c r="C21" s="309"/>
      <c r="D21" s="318"/>
      <c r="E21" s="318"/>
      <c r="F21" s="318"/>
    </row>
  </sheetData>
  <hyperlinks>
    <hyperlink ref="E9" location="'GAAP BS'!G4:G7" display="'GAAP BS'!G4:G7"/>
    <hyperlink ref="E10" location="'GAAP BS'!G11" display="'GAAP BS'!G11"/>
    <hyperlink ref="E11" location="'GAAP BS'!G14:G27" display="'GAAP BS'!G14:G27"/>
    <hyperlink ref="E12" location="'GAAP BS'!G30:G41" display="'GAAP BS'!G30:G41"/>
    <hyperlink ref="E13" location="'GAAP BS'!G47" display="'GAAP BS'!G47"/>
    <hyperlink ref="E14" location="'GAAP BS'!G50:G53" display="'GAAP BS'!G50:G53"/>
    <hyperlink ref="E15" location="'GAAP BS'!G57:G61" display="'GAAP BS'!G57:G61"/>
    <hyperlink ref="E16" location="'GAAP BS'!G63:G69" display="'GAAP BS'!G63:G69"/>
    <hyperlink ref="E17" location="'GAAP BS'!G72:G78" display="'GAAP BS'!G72:G78"/>
  </hyperlinks>
  <pageMargins left="0.7" right="0.7" top="0.75" bottom="0.75" header="0.3" footer="0.3"/>
  <customProperties>
    <customPr name="_pios_id" r:id="rId1"/>
  </customPropertie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L62"/>
  <sheetViews>
    <sheetView topLeftCell="A22" zoomScale="80" zoomScaleNormal="80" workbookViewId="0">
      <selection activeCell="M9" sqref="M9:O15"/>
    </sheetView>
  </sheetViews>
  <sheetFormatPr defaultRowHeight="12.75" x14ac:dyDescent="0.2"/>
  <cols>
    <col min="2" max="2" width="123.42578125" hidden="1" customWidth="1"/>
    <col min="3" max="4" width="9.140625" hidden="1" customWidth="1"/>
    <col min="5" max="5" width="19.5703125" hidden="1" customWidth="1"/>
    <col min="6" max="6" width="9.140625" hidden="1" customWidth="1"/>
    <col min="7" max="7" width="68.5703125" hidden="1" customWidth="1"/>
    <col min="8" max="8" width="8.42578125" style="362" customWidth="1"/>
    <col min="9" max="9" width="47.5703125" style="354" customWidth="1"/>
    <col min="10" max="10" width="45.28515625" style="354" customWidth="1"/>
    <col min="11" max="11" width="39.85546875" customWidth="1"/>
    <col min="12" max="12" width="40.5703125" style="354" customWidth="1"/>
  </cols>
  <sheetData>
    <row r="3" spans="1:12" ht="13.5" thickBot="1" x14ac:dyDescent="0.25"/>
    <row r="4" spans="1:12" ht="36" x14ac:dyDescent="0.25">
      <c r="B4" s="42" t="s">
        <v>93</v>
      </c>
      <c r="C4" s="22"/>
      <c r="D4" s="22"/>
      <c r="E4" s="251" t="s">
        <v>94</v>
      </c>
      <c r="F4" s="22"/>
      <c r="G4" s="22" t="s">
        <v>95</v>
      </c>
      <c r="H4" s="22"/>
      <c r="I4" s="355" t="s">
        <v>491</v>
      </c>
      <c r="J4" s="355" t="s">
        <v>508</v>
      </c>
      <c r="K4" s="223" t="s">
        <v>465</v>
      </c>
      <c r="L4" s="355" t="s">
        <v>466</v>
      </c>
    </row>
    <row r="5" spans="1:12" ht="18" x14ac:dyDescent="0.25">
      <c r="B5" s="191"/>
      <c r="C5" s="192"/>
      <c r="D5" s="192"/>
      <c r="E5" s="252"/>
      <c r="F5" s="192"/>
      <c r="G5" s="192"/>
      <c r="H5" s="192"/>
      <c r="I5" s="356"/>
      <c r="J5" s="356"/>
      <c r="K5" s="18"/>
      <c r="L5" s="356"/>
    </row>
    <row r="6" spans="1:12" s="116" customFormat="1" ht="54" x14ac:dyDescent="0.25">
      <c r="B6" s="37" t="s">
        <v>288</v>
      </c>
      <c r="C6" s="29"/>
      <c r="D6" s="160"/>
      <c r="E6" s="344">
        <v>22830003</v>
      </c>
      <c r="F6" s="29"/>
      <c r="G6" s="13" t="s">
        <v>283</v>
      </c>
      <c r="H6" s="360">
        <v>1</v>
      </c>
      <c r="I6" s="353" t="s">
        <v>507</v>
      </c>
      <c r="J6" s="353" t="s">
        <v>520</v>
      </c>
      <c r="K6" s="361" t="s">
        <v>468</v>
      </c>
      <c r="L6" s="353" t="s">
        <v>467</v>
      </c>
    </row>
    <row r="7" spans="1:12" s="116" customFormat="1" ht="18" x14ac:dyDescent="0.25">
      <c r="B7" s="37"/>
      <c r="C7" s="13"/>
      <c r="D7" s="160"/>
      <c r="E7" s="263"/>
      <c r="F7" s="13"/>
      <c r="G7" s="13"/>
      <c r="H7" s="360"/>
      <c r="I7" s="353"/>
      <c r="J7" s="353"/>
      <c r="K7" s="345"/>
      <c r="L7" s="353"/>
    </row>
    <row r="8" spans="1:12" s="116" customFormat="1" ht="54" x14ac:dyDescent="0.25">
      <c r="B8" s="37" t="s">
        <v>289</v>
      </c>
      <c r="C8" s="13"/>
      <c r="D8" s="160"/>
      <c r="E8" s="263" t="s">
        <v>98</v>
      </c>
      <c r="F8" s="13"/>
      <c r="G8" s="13" t="s">
        <v>154</v>
      </c>
      <c r="H8" s="360">
        <v>2</v>
      </c>
      <c r="I8" s="353" t="s">
        <v>509</v>
      </c>
      <c r="J8" s="353" t="s">
        <v>521</v>
      </c>
      <c r="K8" s="361" t="s">
        <v>469</v>
      </c>
      <c r="L8" s="353" t="s">
        <v>470</v>
      </c>
    </row>
    <row r="9" spans="1:12" s="116" customFormat="1" ht="18" x14ac:dyDescent="0.25">
      <c r="B9" s="37"/>
      <c r="C9" s="13"/>
      <c r="D9" s="160"/>
      <c r="E9" s="263"/>
      <c r="F9" s="13"/>
      <c r="G9" s="13"/>
      <c r="H9" s="360"/>
      <c r="I9" s="353"/>
      <c r="J9" s="353"/>
      <c r="K9" s="345"/>
      <c r="L9" s="353"/>
    </row>
    <row r="10" spans="1:12" s="116" customFormat="1" ht="54" x14ac:dyDescent="0.25">
      <c r="A10" s="371"/>
      <c r="B10" s="372" t="s">
        <v>305</v>
      </c>
      <c r="C10" s="373"/>
      <c r="D10" s="374"/>
      <c r="E10" s="375" t="s">
        <v>99</v>
      </c>
      <c r="F10" s="373"/>
      <c r="G10" s="376" t="s">
        <v>100</v>
      </c>
      <c r="H10" s="377">
        <v>3</v>
      </c>
      <c r="I10" s="378" t="s">
        <v>532</v>
      </c>
      <c r="J10" s="378" t="s">
        <v>533</v>
      </c>
      <c r="K10" s="376"/>
      <c r="L10" s="378" t="s">
        <v>471</v>
      </c>
    </row>
    <row r="11" spans="1:12" s="116" customFormat="1" ht="18" x14ac:dyDescent="0.25">
      <c r="B11" s="346" t="s">
        <v>101</v>
      </c>
      <c r="C11" s="347"/>
      <c r="D11" s="348"/>
      <c r="E11" s="349"/>
      <c r="F11" s="347"/>
      <c r="G11" s="350"/>
      <c r="H11" s="363"/>
      <c r="I11" s="357"/>
      <c r="J11" s="357"/>
      <c r="K11" s="13"/>
      <c r="L11" s="357"/>
    </row>
    <row r="12" spans="1:12" s="116" customFormat="1" ht="72" x14ac:dyDescent="0.25">
      <c r="B12" s="37" t="s">
        <v>290</v>
      </c>
      <c r="C12" s="13"/>
      <c r="D12" s="160"/>
      <c r="E12" s="263"/>
      <c r="F12" s="13"/>
      <c r="G12" s="351" t="s">
        <v>306</v>
      </c>
      <c r="H12" s="360">
        <v>4</v>
      </c>
      <c r="I12" s="353" t="s">
        <v>472</v>
      </c>
      <c r="J12" s="353" t="s">
        <v>528</v>
      </c>
      <c r="K12" s="361" t="s">
        <v>510</v>
      </c>
      <c r="L12" s="353" t="s">
        <v>513</v>
      </c>
    </row>
    <row r="13" spans="1:12" s="116" customFormat="1" ht="18" x14ac:dyDescent="0.25">
      <c r="B13" s="37"/>
      <c r="C13" s="13"/>
      <c r="D13" s="160"/>
      <c r="E13" s="263"/>
      <c r="F13" s="13"/>
      <c r="G13" s="39"/>
      <c r="H13" s="364"/>
      <c r="I13" s="358"/>
      <c r="J13" s="358"/>
      <c r="K13" s="13"/>
      <c r="L13" s="358"/>
    </row>
    <row r="14" spans="1:12" s="116" customFormat="1" ht="72" x14ac:dyDescent="0.25">
      <c r="B14" s="37" t="s">
        <v>291</v>
      </c>
      <c r="C14" s="29"/>
      <c r="D14" s="160"/>
      <c r="E14" s="344">
        <v>18600511</v>
      </c>
      <c r="F14" s="29"/>
      <c r="G14" s="13" t="s">
        <v>160</v>
      </c>
      <c r="H14" s="360">
        <v>5</v>
      </c>
      <c r="I14" s="353" t="s">
        <v>511</v>
      </c>
      <c r="J14" s="353" t="s">
        <v>512</v>
      </c>
      <c r="K14" s="367">
        <v>18600511</v>
      </c>
      <c r="L14" s="353" t="s">
        <v>473</v>
      </c>
    </row>
    <row r="15" spans="1:12" s="116" customFormat="1" ht="18" x14ac:dyDescent="0.25">
      <c r="B15" s="37"/>
      <c r="C15" s="29"/>
      <c r="D15" s="160"/>
      <c r="E15" s="263"/>
      <c r="F15" s="29"/>
      <c r="G15" s="13"/>
      <c r="H15" s="360"/>
      <c r="I15" s="353"/>
      <c r="J15" s="353"/>
      <c r="K15" s="175"/>
      <c r="L15" s="353"/>
    </row>
    <row r="16" spans="1:12" s="116" customFormat="1" ht="36" x14ac:dyDescent="0.25">
      <c r="B16" s="37" t="s">
        <v>292</v>
      </c>
      <c r="C16" s="29"/>
      <c r="D16" s="160"/>
      <c r="E16" s="344">
        <v>18230361</v>
      </c>
      <c r="F16" s="29"/>
      <c r="G16" s="13" t="s">
        <v>102</v>
      </c>
      <c r="H16" s="360">
        <v>6</v>
      </c>
      <c r="I16" s="353" t="s">
        <v>474</v>
      </c>
      <c r="J16" s="353" t="s">
        <v>529</v>
      </c>
      <c r="K16" s="367">
        <v>18230361</v>
      </c>
      <c r="L16" s="353" t="s">
        <v>473</v>
      </c>
    </row>
    <row r="17" spans="2:12" s="116" customFormat="1" ht="18" x14ac:dyDescent="0.25">
      <c r="B17" s="37"/>
      <c r="C17" s="29"/>
      <c r="D17" s="160"/>
      <c r="E17" s="344"/>
      <c r="F17" s="29"/>
      <c r="G17" s="13"/>
      <c r="H17" s="360"/>
      <c r="I17" s="353"/>
      <c r="J17" s="353"/>
      <c r="K17" s="13"/>
      <c r="L17" s="353"/>
    </row>
    <row r="18" spans="2:12" s="116" customFormat="1" ht="54" x14ac:dyDescent="0.25">
      <c r="B18" s="37" t="s">
        <v>293</v>
      </c>
      <c r="C18" s="29"/>
      <c r="D18" s="160"/>
      <c r="E18" s="344">
        <v>18500003</v>
      </c>
      <c r="F18" s="29"/>
      <c r="G18" s="13" t="s">
        <v>103</v>
      </c>
      <c r="H18" s="360">
        <v>7</v>
      </c>
      <c r="I18" s="353" t="s">
        <v>475</v>
      </c>
      <c r="J18" s="353" t="s">
        <v>530</v>
      </c>
      <c r="K18" s="367">
        <v>18500003</v>
      </c>
      <c r="L18" s="353" t="s">
        <v>473</v>
      </c>
    </row>
    <row r="19" spans="2:12" s="116" customFormat="1" ht="18" x14ac:dyDescent="0.25">
      <c r="B19" s="37"/>
      <c r="C19" s="29"/>
      <c r="D19" s="160"/>
      <c r="E19" s="263"/>
      <c r="F19" s="29"/>
      <c r="G19" s="13"/>
      <c r="H19" s="360"/>
      <c r="I19" s="353"/>
      <c r="J19" s="353"/>
      <c r="K19" s="175"/>
      <c r="L19" s="353"/>
    </row>
    <row r="20" spans="2:12" s="116" customFormat="1" ht="54" x14ac:dyDescent="0.25">
      <c r="B20" s="37" t="s">
        <v>294</v>
      </c>
      <c r="C20" s="29"/>
      <c r="D20" s="160"/>
      <c r="E20" s="263" t="s">
        <v>343</v>
      </c>
      <c r="F20" s="29"/>
      <c r="G20" s="13" t="s">
        <v>104</v>
      </c>
      <c r="H20" s="360">
        <v>8</v>
      </c>
      <c r="I20" s="353" t="s">
        <v>476</v>
      </c>
      <c r="J20" s="353" t="s">
        <v>512</v>
      </c>
      <c r="K20" s="175" t="s">
        <v>478</v>
      </c>
      <c r="L20" s="353" t="s">
        <v>477</v>
      </c>
    </row>
    <row r="21" spans="2:12" s="116" customFormat="1" ht="18" x14ac:dyDescent="0.25">
      <c r="B21" s="37"/>
      <c r="C21" s="29"/>
      <c r="D21" s="160"/>
      <c r="E21" s="263"/>
      <c r="F21" s="29"/>
      <c r="G21" s="13"/>
      <c r="H21" s="360"/>
      <c r="I21" s="353"/>
      <c r="J21" s="353"/>
      <c r="K21" s="175"/>
      <c r="L21" s="353"/>
    </row>
    <row r="22" spans="2:12" s="116" customFormat="1" ht="36" x14ac:dyDescent="0.25">
      <c r="B22" s="37" t="s">
        <v>295</v>
      </c>
      <c r="C22" s="29"/>
      <c r="D22" s="160"/>
      <c r="E22" s="263" t="s">
        <v>105</v>
      </c>
      <c r="F22" s="29"/>
      <c r="G22" s="13" t="s">
        <v>106</v>
      </c>
      <c r="H22" s="360">
        <v>9</v>
      </c>
      <c r="I22" s="353" t="s">
        <v>479</v>
      </c>
      <c r="J22" s="353" t="s">
        <v>512</v>
      </c>
      <c r="K22" s="175" t="s">
        <v>481</v>
      </c>
      <c r="L22" s="353" t="s">
        <v>480</v>
      </c>
    </row>
    <row r="23" spans="2:12" s="116" customFormat="1" ht="18" x14ac:dyDescent="0.25">
      <c r="B23" s="37"/>
      <c r="C23" s="29"/>
      <c r="D23" s="160"/>
      <c r="E23" s="263"/>
      <c r="F23" s="29"/>
      <c r="G23" s="13"/>
      <c r="H23" s="360"/>
      <c r="I23" s="353"/>
      <c r="J23" s="353"/>
      <c r="K23" s="175"/>
      <c r="L23" s="353"/>
    </row>
    <row r="24" spans="2:12" s="116" customFormat="1" ht="54" x14ac:dyDescent="0.25">
      <c r="B24" s="37" t="s">
        <v>296</v>
      </c>
      <c r="C24" s="29"/>
      <c r="D24" s="160"/>
      <c r="E24" s="263"/>
      <c r="F24" s="29"/>
      <c r="G24" s="351" t="s">
        <v>306</v>
      </c>
      <c r="H24" s="360">
        <v>10</v>
      </c>
      <c r="I24" s="353" t="s">
        <v>483</v>
      </c>
      <c r="J24" s="353" t="s">
        <v>514</v>
      </c>
      <c r="K24" s="361" t="s">
        <v>482</v>
      </c>
      <c r="L24" s="353" t="s">
        <v>513</v>
      </c>
    </row>
    <row r="25" spans="2:12" s="116" customFormat="1" ht="18" x14ac:dyDescent="0.25">
      <c r="B25" s="37"/>
      <c r="C25" s="29"/>
      <c r="D25" s="160"/>
      <c r="E25" s="263"/>
      <c r="F25" s="29"/>
      <c r="G25" s="39"/>
      <c r="H25" s="364"/>
      <c r="I25" s="358"/>
      <c r="J25" s="358"/>
      <c r="K25" s="13"/>
      <c r="L25" s="358"/>
    </row>
    <row r="26" spans="2:12" s="116" customFormat="1" ht="36" x14ac:dyDescent="0.25">
      <c r="B26" s="37" t="s">
        <v>297</v>
      </c>
      <c r="C26" s="29"/>
      <c r="D26" s="160"/>
      <c r="E26" s="344" t="s">
        <v>426</v>
      </c>
      <c r="F26" s="29"/>
      <c r="G26" s="13" t="s">
        <v>107</v>
      </c>
      <c r="H26" s="360">
        <v>11</v>
      </c>
      <c r="I26" s="353" t="s">
        <v>484</v>
      </c>
      <c r="J26" s="353" t="s">
        <v>515</v>
      </c>
      <c r="K26" s="361" t="s">
        <v>485</v>
      </c>
      <c r="L26" s="353" t="s">
        <v>473</v>
      </c>
    </row>
    <row r="27" spans="2:12" s="116" customFormat="1" ht="18" x14ac:dyDescent="0.25">
      <c r="B27" s="37"/>
      <c r="C27" s="29"/>
      <c r="D27" s="160"/>
      <c r="E27" s="344"/>
      <c r="F27" s="29"/>
      <c r="G27" s="13"/>
      <c r="H27" s="360"/>
      <c r="I27" s="353"/>
      <c r="J27" s="353"/>
      <c r="K27" s="13"/>
      <c r="L27" s="353"/>
    </row>
    <row r="28" spans="2:12" s="116" customFormat="1" ht="36" x14ac:dyDescent="0.25">
      <c r="B28" s="37" t="s">
        <v>298</v>
      </c>
      <c r="C28" s="29"/>
      <c r="D28" s="160"/>
      <c r="E28" s="344">
        <v>18600321</v>
      </c>
      <c r="F28" s="29"/>
      <c r="G28" s="13" t="s">
        <v>108</v>
      </c>
      <c r="H28" s="360">
        <v>12</v>
      </c>
      <c r="I28" s="353" t="s">
        <v>486</v>
      </c>
      <c r="J28" s="353" t="s">
        <v>516</v>
      </c>
      <c r="K28" s="367">
        <v>18600321</v>
      </c>
      <c r="L28" s="353" t="s">
        <v>473</v>
      </c>
    </row>
    <row r="29" spans="2:12" s="116" customFormat="1" ht="18" x14ac:dyDescent="0.25">
      <c r="B29" s="37"/>
      <c r="C29" s="29"/>
      <c r="D29" s="160"/>
      <c r="E29" s="344"/>
      <c r="F29" s="29"/>
      <c r="G29" s="13"/>
      <c r="H29" s="360"/>
      <c r="I29" s="353"/>
      <c r="J29" s="353"/>
      <c r="K29" s="175"/>
      <c r="L29" s="353"/>
    </row>
    <row r="30" spans="2:12" s="116" customFormat="1" ht="54" x14ac:dyDescent="0.25">
      <c r="B30" s="37" t="s">
        <v>299</v>
      </c>
      <c r="C30" s="13"/>
      <c r="D30" s="160"/>
      <c r="E30" s="263" t="s">
        <v>109</v>
      </c>
      <c r="F30" s="13"/>
      <c r="G30" s="352" t="s">
        <v>307</v>
      </c>
      <c r="H30" s="360">
        <v>13</v>
      </c>
      <c r="I30" s="353" t="s">
        <v>487</v>
      </c>
      <c r="J30" s="353" t="s">
        <v>512</v>
      </c>
      <c r="K30" s="361" t="s">
        <v>488</v>
      </c>
      <c r="L30" s="353" t="s">
        <v>513</v>
      </c>
    </row>
    <row r="31" spans="2:12" s="116" customFormat="1" ht="18" x14ac:dyDescent="0.25">
      <c r="B31" s="37"/>
      <c r="C31" s="13"/>
      <c r="D31" s="160"/>
      <c r="E31" s="263"/>
      <c r="F31" s="13"/>
      <c r="G31" s="13"/>
      <c r="H31" s="360"/>
      <c r="I31" s="353"/>
      <c r="J31" s="353"/>
      <c r="K31" s="13"/>
      <c r="L31" s="353"/>
    </row>
    <row r="32" spans="2:12" s="116" customFormat="1" ht="54" x14ac:dyDescent="0.25">
      <c r="B32" s="37" t="s">
        <v>300</v>
      </c>
      <c r="C32" s="29"/>
      <c r="D32" s="160"/>
      <c r="E32" s="263" t="s">
        <v>110</v>
      </c>
      <c r="F32" s="29"/>
      <c r="G32" s="13" t="s">
        <v>287</v>
      </c>
      <c r="H32" s="360">
        <v>14</v>
      </c>
      <c r="I32" s="353" t="s">
        <v>517</v>
      </c>
      <c r="J32" s="353" t="s">
        <v>519</v>
      </c>
      <c r="K32" s="361" t="s">
        <v>518</v>
      </c>
      <c r="L32" s="353" t="s">
        <v>489</v>
      </c>
    </row>
    <row r="33" spans="2:12" s="116" customFormat="1" ht="18" x14ac:dyDescent="0.25">
      <c r="B33" s="37"/>
      <c r="C33" s="29"/>
      <c r="D33" s="160"/>
      <c r="E33" s="263"/>
      <c r="F33" s="29"/>
      <c r="G33" s="13"/>
      <c r="H33" s="360"/>
      <c r="I33" s="353"/>
      <c r="J33" s="353"/>
      <c r="K33" s="13"/>
      <c r="L33" s="353"/>
    </row>
    <row r="34" spans="2:12" s="116" customFormat="1" ht="54" x14ac:dyDescent="0.25">
      <c r="B34" s="37" t="s">
        <v>301</v>
      </c>
      <c r="C34" s="29"/>
      <c r="D34" s="160"/>
      <c r="E34" s="344">
        <v>18400013</v>
      </c>
      <c r="F34" s="29"/>
      <c r="G34" s="24" t="s">
        <v>111</v>
      </c>
      <c r="H34" s="365">
        <v>15</v>
      </c>
      <c r="I34" s="353" t="s">
        <v>490</v>
      </c>
      <c r="J34" s="353" t="s">
        <v>522</v>
      </c>
      <c r="K34" s="367">
        <v>18400013</v>
      </c>
      <c r="L34" s="353" t="s">
        <v>473</v>
      </c>
    </row>
    <row r="35" spans="2:12" s="116" customFormat="1" ht="18" x14ac:dyDescent="0.25">
      <c r="B35" s="37"/>
      <c r="C35" s="29"/>
      <c r="D35" s="160"/>
      <c r="E35" s="344"/>
      <c r="F35" s="29"/>
      <c r="G35" s="24"/>
      <c r="H35" s="365"/>
      <c r="I35" s="353"/>
      <c r="J35" s="353"/>
      <c r="K35" s="367"/>
      <c r="L35" s="353"/>
    </row>
    <row r="37" spans="2:12" ht="18" x14ac:dyDescent="0.25">
      <c r="B37" s="10"/>
      <c r="C37" s="10"/>
      <c r="D37" s="123"/>
      <c r="E37" s="10"/>
      <c r="F37" s="10"/>
      <c r="G37" s="10"/>
      <c r="H37" s="368"/>
      <c r="I37" s="369"/>
      <c r="J37" s="369"/>
      <c r="K37" s="10"/>
      <c r="L37" s="369"/>
    </row>
    <row r="38" spans="2:12" ht="18" x14ac:dyDescent="0.25">
      <c r="B38" s="10"/>
      <c r="C38" s="10"/>
      <c r="D38" s="123"/>
      <c r="E38" s="10"/>
      <c r="F38" s="10"/>
      <c r="G38" s="10"/>
      <c r="H38" s="368"/>
      <c r="I38" s="369"/>
      <c r="J38" s="369"/>
      <c r="K38" s="10"/>
      <c r="L38" s="369"/>
    </row>
    <row r="39" spans="2:12" ht="18" x14ac:dyDescent="0.25">
      <c r="B39" s="10"/>
      <c r="C39" s="10"/>
      <c r="D39" s="123"/>
      <c r="E39" s="10"/>
      <c r="F39" s="10"/>
      <c r="G39" s="10"/>
      <c r="H39" s="368"/>
      <c r="I39" s="369"/>
      <c r="J39" s="369"/>
      <c r="K39" s="10"/>
      <c r="L39" s="369"/>
    </row>
    <row r="40" spans="2:12" ht="18" x14ac:dyDescent="0.25">
      <c r="B40" s="10"/>
      <c r="C40" s="10"/>
      <c r="D40" s="123"/>
      <c r="E40" s="10"/>
      <c r="F40" s="10"/>
      <c r="G40" s="10"/>
      <c r="H40" s="368"/>
      <c r="I40" s="369"/>
      <c r="J40" s="369"/>
      <c r="K40" s="10"/>
      <c r="L40" s="369"/>
    </row>
    <row r="41" spans="2:12" ht="18" x14ac:dyDescent="0.25">
      <c r="B41" s="10"/>
      <c r="C41" s="10"/>
      <c r="D41" s="123"/>
      <c r="E41" s="10"/>
      <c r="F41" s="10"/>
      <c r="G41" s="10"/>
      <c r="H41" s="368"/>
      <c r="I41" s="369"/>
      <c r="J41" s="369"/>
      <c r="K41" s="10"/>
      <c r="L41" s="369"/>
    </row>
    <row r="42" spans="2:12" ht="18" x14ac:dyDescent="0.25">
      <c r="B42" s="10"/>
      <c r="C42" s="10"/>
      <c r="D42" s="123"/>
      <c r="E42" s="10"/>
      <c r="F42" s="10"/>
      <c r="G42" s="10"/>
      <c r="H42" s="368"/>
      <c r="I42" s="369"/>
      <c r="J42" s="369"/>
      <c r="K42" s="10"/>
      <c r="L42" s="369"/>
    </row>
    <row r="43" spans="2:12" ht="18" x14ac:dyDescent="0.25">
      <c r="B43" s="10"/>
      <c r="C43" s="10"/>
      <c r="D43" s="123"/>
      <c r="E43" s="10"/>
      <c r="F43" s="10"/>
      <c r="G43" s="10"/>
      <c r="H43" s="368"/>
      <c r="I43" s="369"/>
      <c r="J43" s="369"/>
      <c r="K43" s="10"/>
      <c r="L43" s="369"/>
    </row>
    <row r="44" spans="2:12" ht="18" x14ac:dyDescent="0.25">
      <c r="B44" s="10"/>
      <c r="C44" s="10"/>
      <c r="D44" s="123"/>
      <c r="E44" s="10"/>
      <c r="F44" s="10"/>
      <c r="G44" s="10"/>
      <c r="H44" s="368"/>
      <c r="I44" s="369"/>
      <c r="J44" s="369"/>
      <c r="K44" s="10"/>
      <c r="L44" s="369"/>
    </row>
    <row r="45" spans="2:12" ht="18" x14ac:dyDescent="0.25">
      <c r="B45" s="10"/>
      <c r="C45" s="10"/>
      <c r="D45" s="123"/>
      <c r="E45" s="10"/>
      <c r="F45" s="10"/>
      <c r="G45" s="10"/>
      <c r="H45" s="368"/>
      <c r="I45" s="369"/>
      <c r="J45" s="369"/>
      <c r="K45" s="10"/>
      <c r="L45" s="369"/>
    </row>
    <row r="46" spans="2:12" ht="18" x14ac:dyDescent="0.25">
      <c r="B46" s="10"/>
      <c r="C46" s="10"/>
      <c r="D46" s="123"/>
      <c r="E46" s="10"/>
      <c r="F46" s="10"/>
      <c r="G46" s="10"/>
      <c r="H46" s="368"/>
      <c r="I46" s="369"/>
      <c r="J46" s="369"/>
      <c r="K46" s="10"/>
      <c r="L46" s="369"/>
    </row>
    <row r="47" spans="2:12" ht="18.75" thickBot="1" x14ac:dyDescent="0.3">
      <c r="B47" s="104"/>
      <c r="C47" s="105"/>
      <c r="D47" s="200"/>
      <c r="E47" s="105"/>
      <c r="F47" s="105"/>
      <c r="G47" s="105"/>
      <c r="H47" s="366"/>
      <c r="I47" s="359"/>
      <c r="J47" s="359"/>
      <c r="K47" s="105"/>
      <c r="L47" s="359"/>
    </row>
    <row r="48" spans="2:12" ht="18" x14ac:dyDescent="0.25">
      <c r="I48" s="356" t="s">
        <v>492</v>
      </c>
      <c r="J48" s="356"/>
    </row>
    <row r="50" spans="8:12" ht="90" x14ac:dyDescent="0.25">
      <c r="H50" s="365">
        <v>16</v>
      </c>
      <c r="I50" s="353" t="s">
        <v>523</v>
      </c>
      <c r="J50" s="353" t="s">
        <v>512</v>
      </c>
      <c r="K50" s="361" t="s">
        <v>494</v>
      </c>
      <c r="L50" s="353" t="s">
        <v>493</v>
      </c>
    </row>
    <row r="51" spans="8:12" ht="18" x14ac:dyDescent="0.25">
      <c r="H51" s="365"/>
      <c r="I51" s="353"/>
      <c r="J51" s="353"/>
      <c r="K51" s="361"/>
      <c r="L51" s="353"/>
    </row>
    <row r="52" spans="8:12" ht="54" x14ac:dyDescent="0.25">
      <c r="H52" s="365">
        <v>17</v>
      </c>
      <c r="I52" s="353" t="s">
        <v>503</v>
      </c>
      <c r="J52" s="353" t="s">
        <v>512</v>
      </c>
      <c r="K52" s="361" t="s">
        <v>495</v>
      </c>
      <c r="L52" s="353" t="s">
        <v>473</v>
      </c>
    </row>
    <row r="54" spans="8:12" ht="54" x14ac:dyDescent="0.25">
      <c r="H54" s="365">
        <v>18</v>
      </c>
      <c r="I54" s="353" t="s">
        <v>524</v>
      </c>
      <c r="J54" s="353" t="s">
        <v>526</v>
      </c>
      <c r="K54" s="361" t="s">
        <v>499</v>
      </c>
      <c r="L54" s="353" t="s">
        <v>496</v>
      </c>
    </row>
    <row r="55" spans="8:12" ht="18.75" thickBot="1" x14ac:dyDescent="0.3">
      <c r="H55" s="366"/>
      <c r="I55" s="359"/>
      <c r="J55" s="359"/>
      <c r="K55" s="105"/>
      <c r="L55" s="359"/>
    </row>
    <row r="56" spans="8:12" ht="18" x14ac:dyDescent="0.25">
      <c r="I56" s="355" t="s">
        <v>497</v>
      </c>
      <c r="J56" s="356"/>
    </row>
    <row r="58" spans="8:12" ht="90" x14ac:dyDescent="0.25">
      <c r="H58" s="365">
        <v>19</v>
      </c>
      <c r="I58" s="353" t="s">
        <v>498</v>
      </c>
      <c r="J58" s="353" t="s">
        <v>525</v>
      </c>
      <c r="K58" s="361" t="s">
        <v>501</v>
      </c>
      <c r="L58" s="353" t="s">
        <v>500</v>
      </c>
    </row>
    <row r="60" spans="8:12" ht="54" x14ac:dyDescent="0.25">
      <c r="H60" s="365">
        <v>20</v>
      </c>
      <c r="I60" s="353" t="s">
        <v>527</v>
      </c>
      <c r="J60" s="353" t="s">
        <v>531</v>
      </c>
      <c r="K60" s="361" t="s">
        <v>502</v>
      </c>
      <c r="L60" s="353" t="s">
        <v>500</v>
      </c>
    </row>
    <row r="61" spans="8:12" ht="18.75" thickBot="1" x14ac:dyDescent="0.3">
      <c r="H61" s="366"/>
      <c r="I61" s="359"/>
      <c r="J61" s="359"/>
      <c r="K61" s="105"/>
      <c r="L61" s="359"/>
    </row>
    <row r="62" spans="8:12" ht="18" x14ac:dyDescent="0.25">
      <c r="I62" s="355"/>
      <c r="J62" s="356"/>
    </row>
  </sheetData>
  <pageMargins left="0.25" right="0.25" top="0.75" bottom="0.75" header="0.3" footer="0.3"/>
  <pageSetup scale="53" orientation="portrait" r:id="rId1"/>
  <headerFooter>
    <oddFooter>&amp;LPrepared by: Simona Blaga</oddFooter>
  </headerFooter>
  <customProperties>
    <customPr name="_pios_id" r:id="rId2"/>
  </customProperties>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
  <sheetViews>
    <sheetView workbookViewId="0">
      <selection activeCell="M9" sqref="M9:O15"/>
    </sheetView>
  </sheetViews>
  <sheetFormatPr defaultRowHeight="12.75" x14ac:dyDescent="0.2"/>
  <cols>
    <col min="2" max="2" width="36.85546875" customWidth="1"/>
    <col min="3" max="3" width="21.7109375" customWidth="1"/>
    <col min="4" max="4" width="24.42578125" customWidth="1"/>
  </cols>
  <sheetData>
    <row r="1" spans="2:4" ht="13.5" thickBot="1" x14ac:dyDescent="0.25"/>
    <row r="2" spans="2:4" ht="18" x14ac:dyDescent="0.25">
      <c r="B2" s="355" t="s">
        <v>504</v>
      </c>
      <c r="C2" s="223"/>
      <c r="D2" s="355"/>
    </row>
    <row r="4" spans="2:4" x14ac:dyDescent="0.2">
      <c r="B4" t="s">
        <v>505</v>
      </c>
    </row>
    <row r="5" spans="2:4" x14ac:dyDescent="0.2">
      <c r="B5" t="s">
        <v>506</v>
      </c>
    </row>
  </sheetData>
  <pageMargins left="0.7" right="0.7" top="0.75" bottom="0.75" header="0.3" footer="0.3"/>
  <customProperties>
    <customPr name="_pios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topLeftCell="A42" zoomScaleNormal="115" workbookViewId="0">
      <selection activeCell="M9" sqref="M9:O15"/>
    </sheetView>
  </sheetViews>
  <sheetFormatPr defaultRowHeight="12.75" outlineLevelRow="1" x14ac:dyDescent="0.2"/>
  <cols>
    <col min="1" max="1" width="10.7109375" style="421" customWidth="1"/>
    <col min="2" max="2" width="2.140625" style="421" customWidth="1"/>
    <col min="3" max="3" width="40" style="421" customWidth="1"/>
    <col min="4" max="4" width="1.42578125" style="421" customWidth="1"/>
    <col min="5" max="5" width="18.85546875" style="440" customWidth="1"/>
    <col min="6" max="6" width="1.28515625" style="421" customWidth="1"/>
    <col min="7" max="7" width="18.85546875" style="440" customWidth="1"/>
    <col min="8" max="8" width="1.28515625" style="421" customWidth="1"/>
    <col min="9" max="9" width="13.5703125" style="421" bestFit="1" customWidth="1"/>
    <col min="10" max="12" width="9.140625" style="421"/>
    <col min="13" max="13" width="15" style="421" bestFit="1" customWidth="1"/>
    <col min="14" max="16384" width="9.140625" style="421"/>
  </cols>
  <sheetData>
    <row r="1" spans="1:8" ht="18" x14ac:dyDescent="0.25">
      <c r="C1" s="422"/>
      <c r="D1" s="422"/>
      <c r="E1" s="423">
        <v>42369</v>
      </c>
      <c r="G1" s="423">
        <v>42004</v>
      </c>
      <c r="H1" s="424"/>
    </row>
    <row r="2" spans="1:8" x14ac:dyDescent="0.2">
      <c r="A2" s="425" t="s">
        <v>0</v>
      </c>
      <c r="E2" s="426"/>
      <c r="G2" s="426"/>
      <c r="H2" s="427"/>
    </row>
    <row r="3" spans="1:8" x14ac:dyDescent="0.2">
      <c r="A3" s="425" t="s">
        <v>1</v>
      </c>
      <c r="E3" s="426"/>
      <c r="G3" s="426"/>
      <c r="H3" s="427"/>
    </row>
    <row r="4" spans="1:8" x14ac:dyDescent="0.2">
      <c r="A4" s="428" t="s">
        <v>164</v>
      </c>
      <c r="E4" s="429">
        <f>'BS-PSE &amp; PE'!$R$8/1000</f>
        <v>7432490</v>
      </c>
      <c r="G4" s="429">
        <f>'[4]PE BS Final'!$E$4</f>
        <v>7135206</v>
      </c>
      <c r="H4" s="427"/>
    </row>
    <row r="5" spans="1:8" x14ac:dyDescent="0.2">
      <c r="A5" s="428" t="s">
        <v>538</v>
      </c>
      <c r="E5" s="430">
        <f>'BS-PSE &amp; PE'!$R$9/1000</f>
        <v>2850290</v>
      </c>
      <c r="G5" s="431">
        <f>'[4]PE BS Final'!$E5</f>
        <v>2680067</v>
      </c>
      <c r="H5" s="427"/>
    </row>
    <row r="6" spans="1:8" x14ac:dyDescent="0.2">
      <c r="A6" s="428" t="s">
        <v>165</v>
      </c>
      <c r="E6" s="430">
        <f>'BS-PSE &amp; PE'!$R$10/1000</f>
        <v>508750</v>
      </c>
      <c r="G6" s="431">
        <f>'[4]PE BS Final'!$E6</f>
        <v>472926</v>
      </c>
      <c r="H6" s="427"/>
    </row>
    <row r="7" spans="1:8" x14ac:dyDescent="0.2">
      <c r="A7" s="425" t="s">
        <v>166</v>
      </c>
      <c r="E7" s="430">
        <f>'BS-PSE &amp; PE'!$R$11/1000</f>
        <v>-1878868</v>
      </c>
      <c r="G7" s="431">
        <f>'[4]PE BS Final'!$E7</f>
        <v>-1611220</v>
      </c>
      <c r="H7" s="427"/>
    </row>
    <row r="8" spans="1:8" x14ac:dyDescent="0.2">
      <c r="A8" s="432" t="s">
        <v>167</v>
      </c>
      <c r="E8" s="433">
        <f>SUM(E4:E7)</f>
        <v>8912662</v>
      </c>
      <c r="G8" s="433">
        <f>SUM(G4:G7)</f>
        <v>8676979</v>
      </c>
      <c r="H8" s="427"/>
    </row>
    <row r="9" spans="1:8" x14ac:dyDescent="0.2">
      <c r="A9" s="425" t="s">
        <v>6</v>
      </c>
      <c r="E9" s="426"/>
      <c r="G9" s="426"/>
      <c r="H9" s="427"/>
    </row>
    <row r="10" spans="1:8" x14ac:dyDescent="0.2">
      <c r="A10" s="428" t="s">
        <v>637</v>
      </c>
      <c r="E10" s="430">
        <f>'BS-PSE &amp; PE'!$R$15/1000</f>
        <v>1656513</v>
      </c>
      <c r="G10" s="426">
        <f>'[4]PE BS Final'!$E10</f>
        <v>1656513</v>
      </c>
      <c r="H10" s="427"/>
    </row>
    <row r="11" spans="1:8" x14ac:dyDescent="0.2">
      <c r="A11" s="428" t="s">
        <v>6</v>
      </c>
      <c r="E11" s="430">
        <f>'BS-PSE &amp; PE'!$R$17/1000</f>
        <v>86731</v>
      </c>
      <c r="G11" s="426">
        <f>'[4]PE BS Final'!$E18</f>
        <v>91139</v>
      </c>
      <c r="H11" s="427"/>
    </row>
    <row r="12" spans="1:8" x14ac:dyDescent="0.2">
      <c r="A12" s="437" t="s">
        <v>638</v>
      </c>
      <c r="E12" s="433">
        <f>SUM(E10:E11)</f>
        <v>1743244</v>
      </c>
      <c r="G12" s="433">
        <f>SUM(G10:G11)</f>
        <v>1747652</v>
      </c>
      <c r="H12" s="427"/>
    </row>
    <row r="13" spans="1:8" x14ac:dyDescent="0.2">
      <c r="A13" s="425" t="s">
        <v>9</v>
      </c>
      <c r="E13" s="426"/>
      <c r="G13" s="426"/>
      <c r="H13" s="427"/>
    </row>
    <row r="14" spans="1:8" x14ac:dyDescent="0.2">
      <c r="A14" s="428" t="s">
        <v>60</v>
      </c>
      <c r="E14" s="430">
        <f>'BS-PSE &amp; PE'!$R$20/1000</f>
        <v>42494</v>
      </c>
      <c r="G14" s="426">
        <f>'[4]PE BS Final'!$E21</f>
        <v>37527</v>
      </c>
      <c r="H14" s="427"/>
    </row>
    <row r="15" spans="1:8" x14ac:dyDescent="0.2">
      <c r="A15" s="428" t="s">
        <v>61</v>
      </c>
      <c r="E15" s="430">
        <f>'BS-PSE &amp; PE'!$R$21/1000</f>
        <v>7949</v>
      </c>
      <c r="G15" s="426">
        <f>'[4]PE BS Final'!$E22</f>
        <v>32863</v>
      </c>
      <c r="H15" s="427"/>
    </row>
    <row r="16" spans="1:8" x14ac:dyDescent="0.2">
      <c r="A16" s="428" t="s">
        <v>62</v>
      </c>
      <c r="E16" s="430">
        <f>'BS-PSE &amp; PE'!$R$22/1000</f>
        <v>334147</v>
      </c>
      <c r="G16" s="426">
        <f>'[4]PE BS Final'!$E23</f>
        <v>314395</v>
      </c>
      <c r="H16" s="427"/>
    </row>
    <row r="17" spans="1:8" x14ac:dyDescent="0.2">
      <c r="A17" s="428" t="s">
        <v>639</v>
      </c>
      <c r="E17" s="430">
        <f>'BS-PSE &amp; PE'!$R$23/1000</f>
        <v>-9756</v>
      </c>
      <c r="G17" s="426">
        <f>'[4]PE BS Final'!$E24</f>
        <v>-7472</v>
      </c>
      <c r="H17" s="427"/>
    </row>
    <row r="18" spans="1:8" x14ac:dyDescent="0.2">
      <c r="A18" s="428" t="s">
        <v>64</v>
      </c>
      <c r="E18" s="430">
        <f>'BS-PSE &amp; PE'!$R$25/1000</f>
        <v>217274</v>
      </c>
      <c r="G18" s="426">
        <f>'[4]PE BS Final'!$E26</f>
        <v>168039</v>
      </c>
      <c r="H18" s="427"/>
    </row>
    <row r="19" spans="1:8" x14ac:dyDescent="0.2">
      <c r="A19" s="428" t="s">
        <v>174</v>
      </c>
      <c r="E19" s="430">
        <f>'BS-PSE &amp; PE'!$R$26/1000</f>
        <v>0</v>
      </c>
      <c r="G19" s="426">
        <f>'[4]PE BS Final'!$E$27</f>
        <v>21073</v>
      </c>
      <c r="H19" s="427"/>
    </row>
    <row r="20" spans="1:8" x14ac:dyDescent="0.2">
      <c r="A20" s="428" t="s">
        <v>175</v>
      </c>
      <c r="E20" s="430">
        <f>'BS-PSE &amp; PE'!$R$27/1000</f>
        <v>78244</v>
      </c>
      <c r="G20" s="426">
        <f>'[4]PE BS Final'!$E28</f>
        <v>83189</v>
      </c>
      <c r="H20" s="427"/>
    </row>
    <row r="21" spans="1:8" x14ac:dyDescent="0.2">
      <c r="A21" s="428" t="s">
        <v>176</v>
      </c>
      <c r="E21" s="430">
        <f>'BS-PSE &amp; PE'!$R$28/1000</f>
        <v>58658</v>
      </c>
      <c r="G21" s="426">
        <f>'[4]PE BS Final'!$E29</f>
        <v>69433</v>
      </c>
      <c r="H21" s="427"/>
    </row>
    <row r="22" spans="1:8" x14ac:dyDescent="0.2">
      <c r="A22" s="428" t="s">
        <v>177</v>
      </c>
      <c r="E22" s="430">
        <f>'BS-PSE &amp; PE'!$R$29/1000</f>
        <v>24418</v>
      </c>
      <c r="G22" s="426">
        <f>'[4]PE BS Final'!$E30</f>
        <v>21178</v>
      </c>
      <c r="H22" s="427"/>
    </row>
    <row r="23" spans="1:8" x14ac:dyDescent="0.2">
      <c r="A23" s="428" t="s">
        <v>424</v>
      </c>
      <c r="E23" s="430">
        <f>'BS-PSE &amp; PE'!$R$30/1000</f>
        <v>293</v>
      </c>
      <c r="G23" s="426">
        <f>'[4]PE BS Final'!$E31</f>
        <v>301</v>
      </c>
      <c r="H23" s="427"/>
    </row>
    <row r="24" spans="1:8" x14ac:dyDescent="0.2">
      <c r="A24" s="428" t="s">
        <v>640</v>
      </c>
      <c r="E24" s="430">
        <f>'BS-PSE &amp; PE'!$R$31/1000</f>
        <v>16827</v>
      </c>
      <c r="G24" s="426">
        <f>'[4]PE BS Final'!$E32</f>
        <v>20905</v>
      </c>
      <c r="H24" s="427"/>
    </row>
    <row r="25" spans="1:8" ht="13.5" customHeight="1" x14ac:dyDescent="0.2">
      <c r="A25" s="428" t="s">
        <v>641</v>
      </c>
      <c r="E25" s="430">
        <f>'BS-PSE &amp; PE'!$R$32/1000</f>
        <v>37031</v>
      </c>
      <c r="G25" s="426">
        <f>'[4]PE BS Final'!$E33</f>
        <v>43843</v>
      </c>
      <c r="H25" s="427"/>
    </row>
    <row r="26" spans="1:8" x14ac:dyDescent="0.2">
      <c r="A26" s="439" t="s">
        <v>317</v>
      </c>
      <c r="E26" s="433">
        <f>SUM(E14:E25)</f>
        <v>807579</v>
      </c>
      <c r="G26" s="433">
        <f>SUM(G13:G25)</f>
        <v>805274</v>
      </c>
      <c r="H26" s="427"/>
    </row>
    <row r="27" spans="1:8" x14ac:dyDescent="0.2">
      <c r="A27" s="425" t="s">
        <v>28</v>
      </c>
      <c r="E27" s="426"/>
      <c r="G27" s="426"/>
      <c r="H27" s="427"/>
    </row>
    <row r="28" spans="1:8" hidden="1" outlineLevel="1" x14ac:dyDescent="0.2">
      <c r="A28" s="428" t="s">
        <v>61</v>
      </c>
      <c r="E28" s="430">
        <f>+'[3]PE BS post 141R'!L36/1000</f>
        <v>0</v>
      </c>
      <c r="G28" s="426">
        <f>'[5]PE BS Final'!$E37</f>
        <v>0</v>
      </c>
      <c r="H28" s="427"/>
    </row>
    <row r="29" spans="1:8" hidden="1" outlineLevel="1" x14ac:dyDescent="0.2">
      <c r="A29" s="428" t="s">
        <v>174</v>
      </c>
      <c r="E29" s="426"/>
      <c r="G29" s="426">
        <f>'[5]PE BS Final'!$E38</f>
        <v>0</v>
      </c>
      <c r="H29" s="427"/>
    </row>
    <row r="30" spans="1:8" collapsed="1" x14ac:dyDescent="0.2">
      <c r="A30" s="428" t="s">
        <v>183</v>
      </c>
      <c r="E30" s="430">
        <f>'BS-PSE &amp; PE'!$R$38/1000</f>
        <v>73231</v>
      </c>
      <c r="G30" s="426">
        <f>'[4]PE BS Final'!$E40</f>
        <v>95432</v>
      </c>
      <c r="H30" s="427"/>
    </row>
    <row r="31" spans="1:8" x14ac:dyDescent="0.2">
      <c r="A31" s="428" t="s">
        <v>55</v>
      </c>
      <c r="E31" s="430">
        <f>'BS-PSE &amp; PE'!$R$40/1000</f>
        <v>4749</v>
      </c>
      <c r="F31" s="438"/>
      <c r="G31" s="426">
        <f>'[4]PE BS Final'!$E42</f>
        <v>4623</v>
      </c>
      <c r="H31" s="427"/>
    </row>
    <row r="32" spans="1:8" x14ac:dyDescent="0.2">
      <c r="A32" s="428" t="s">
        <v>603</v>
      </c>
      <c r="E32" s="430">
        <f>'BS-PSE &amp; PE'!$R$47/1000</f>
        <v>26223</v>
      </c>
      <c r="F32" s="438"/>
      <c r="G32" s="426">
        <f>'[4]PE BS Final'!$E43</f>
        <v>29816</v>
      </c>
      <c r="H32" s="427"/>
    </row>
    <row r="33" spans="1:13" x14ac:dyDescent="0.2">
      <c r="A33" s="428" t="s">
        <v>70</v>
      </c>
      <c r="E33" s="430">
        <f>'BS-PSE &amp; PE'!$R$48/1000</f>
        <v>894071</v>
      </c>
      <c r="F33" s="440"/>
      <c r="G33" s="426">
        <f>'[4]PE BS Final'!$E44+'[6]PE BS Final'!$E11</f>
        <v>866835</v>
      </c>
      <c r="H33" s="427"/>
    </row>
    <row r="34" spans="1:13" x14ac:dyDescent="0.2">
      <c r="A34" s="428" t="s">
        <v>185</v>
      </c>
      <c r="E34" s="430">
        <f>'BS-PSE &amp; PE'!$R$50/1000</f>
        <v>5225</v>
      </c>
      <c r="G34" s="426">
        <f>'[4]PE BS Final'!$E45</f>
        <v>3170</v>
      </c>
      <c r="H34" s="427"/>
    </row>
    <row r="35" spans="1:13" x14ac:dyDescent="0.2">
      <c r="A35" s="428" t="s">
        <v>641</v>
      </c>
      <c r="E35" s="430">
        <f>'BS-PSE &amp; PE'!$R$51/1000</f>
        <v>288757</v>
      </c>
      <c r="G35" s="426">
        <f>'[4]PE BS Final'!$E46</f>
        <v>347547</v>
      </c>
      <c r="H35" s="427"/>
    </row>
    <row r="36" spans="1:13" x14ac:dyDescent="0.2">
      <c r="A36" s="428" t="s">
        <v>186</v>
      </c>
      <c r="E36" s="430">
        <f>'BS-PSE &amp; PE'!$R$53/1000+1</f>
        <v>96878</v>
      </c>
      <c r="G36" s="426">
        <f>'[4]PE BS Final'!$E47</f>
        <v>96275</v>
      </c>
      <c r="H36" s="427"/>
      <c r="K36" s="441" t="s">
        <v>642</v>
      </c>
      <c r="L36" s="442"/>
    </row>
    <row r="37" spans="1:13" x14ac:dyDescent="0.2">
      <c r="A37" s="439" t="s">
        <v>643</v>
      </c>
      <c r="E37" s="433">
        <f>SUM(E28:E36)</f>
        <v>1389134</v>
      </c>
      <c r="G37" s="433">
        <f>SUM(G28:G36)</f>
        <v>1443698</v>
      </c>
      <c r="H37" s="427"/>
    </row>
    <row r="38" spans="1:13" ht="13.5" thickBot="1" x14ac:dyDescent="0.25">
      <c r="A38" s="425" t="s">
        <v>31</v>
      </c>
      <c r="E38" s="443">
        <f>E8+E12+E26+E37</f>
        <v>12852619</v>
      </c>
      <c r="G38" s="443">
        <f>+G8+G12+G26+G37</f>
        <v>12673603</v>
      </c>
      <c r="H38" s="444"/>
      <c r="M38" s="445"/>
    </row>
    <row r="39" spans="1:13" ht="13.5" thickTop="1" x14ac:dyDescent="0.2">
      <c r="A39" s="425"/>
      <c r="E39" s="426"/>
      <c r="G39" s="426"/>
      <c r="H39" s="427"/>
    </row>
    <row r="40" spans="1:13" x14ac:dyDescent="0.2">
      <c r="A40" s="425" t="s">
        <v>33</v>
      </c>
      <c r="E40" s="426"/>
      <c r="G40" s="426"/>
      <c r="H40" s="427"/>
    </row>
    <row r="41" spans="1:13" x14ac:dyDescent="0.2">
      <c r="A41" s="425" t="s">
        <v>32</v>
      </c>
      <c r="E41" s="426"/>
      <c r="G41" s="426"/>
      <c r="H41" s="427"/>
    </row>
    <row r="42" spans="1:13" x14ac:dyDescent="0.2">
      <c r="A42" s="428" t="s">
        <v>188</v>
      </c>
      <c r="E42" s="429">
        <f>'BS-PSE &amp; PE'!$R$58/1000</f>
        <v>3531225</v>
      </c>
      <c r="G42" s="429">
        <f>'[4]PE BS Final'!$E53</f>
        <v>3543328</v>
      </c>
      <c r="H42" s="446"/>
    </row>
    <row r="43" spans="1:13" x14ac:dyDescent="0.2">
      <c r="A43" s="432" t="s">
        <v>644</v>
      </c>
      <c r="E43" s="433">
        <f>SUM(E42:E42)</f>
        <v>3531225</v>
      </c>
      <c r="G43" s="433">
        <f>SUM(G42)</f>
        <v>3543328</v>
      </c>
      <c r="H43" s="427"/>
    </row>
    <row r="44" spans="1:13" x14ac:dyDescent="0.2">
      <c r="A44" s="428" t="s">
        <v>190</v>
      </c>
      <c r="E44" s="426"/>
      <c r="G44" s="426"/>
      <c r="H44" s="427"/>
    </row>
    <row r="45" spans="1:13" x14ac:dyDescent="0.2">
      <c r="A45" s="428" t="s">
        <v>191</v>
      </c>
      <c r="E45" s="430">
        <f>'BS-PSE &amp; PE'!$R$62/1000</f>
        <v>250000</v>
      </c>
      <c r="G45" s="426">
        <f>'[4]PE BS Final'!$E56</f>
        <v>250000</v>
      </c>
      <c r="H45" s="427"/>
    </row>
    <row r="46" spans="1:13" x14ac:dyDescent="0.2">
      <c r="A46" s="428" t="s">
        <v>194</v>
      </c>
      <c r="E46" s="447">
        <f>'BS-PSE &amp; PE'!$R$66/1000+1</f>
        <v>5115883</v>
      </c>
      <c r="G46" s="447">
        <f>'[4]PE BS Final'!$E57</f>
        <v>4831608</v>
      </c>
      <c r="H46" s="427"/>
      <c r="K46" s="448" t="s">
        <v>645</v>
      </c>
    </row>
    <row r="47" spans="1:13" x14ac:dyDescent="0.2">
      <c r="A47" s="432" t="s">
        <v>646</v>
      </c>
      <c r="E47" s="430">
        <f>SUM(E45:E46)</f>
        <v>5365883</v>
      </c>
      <c r="G47" s="430">
        <f>SUM(G45:G46)</f>
        <v>5081608</v>
      </c>
      <c r="H47" s="446"/>
    </row>
    <row r="48" spans="1:13" x14ac:dyDescent="0.2">
      <c r="A48" s="439" t="s">
        <v>647</v>
      </c>
      <c r="E48" s="433">
        <f>SUM(E43+E47)</f>
        <v>8897108</v>
      </c>
      <c r="G48" s="433">
        <f>+G43+G47</f>
        <v>8624936</v>
      </c>
      <c r="H48" s="427"/>
    </row>
    <row r="49" spans="1:12" hidden="1" outlineLevel="1" x14ac:dyDescent="0.2">
      <c r="A49" s="449" t="s">
        <v>648</v>
      </c>
      <c r="E49" s="433">
        <f>'[7]BS-PSE'!$K$63</f>
        <v>0</v>
      </c>
      <c r="G49" s="433">
        <f>'[5]PE BS Final'!$E60</f>
        <v>0</v>
      </c>
      <c r="H49" s="427"/>
    </row>
    <row r="50" spans="1:12" collapsed="1" x14ac:dyDescent="0.2">
      <c r="A50" s="425" t="s">
        <v>40</v>
      </c>
      <c r="E50" s="426"/>
      <c r="G50" s="426"/>
      <c r="H50" s="427"/>
    </row>
    <row r="51" spans="1:12" x14ac:dyDescent="0.2">
      <c r="A51" s="428" t="s">
        <v>75</v>
      </c>
      <c r="E51" s="430">
        <f>'BS-PSE &amp; PE'!$R$69/1000</f>
        <v>259353</v>
      </c>
      <c r="G51" s="426">
        <f>'[4]PE BS Final'!$E62</f>
        <v>307578</v>
      </c>
      <c r="H51" s="427"/>
    </row>
    <row r="52" spans="1:12" ht="12" customHeight="1" x14ac:dyDescent="0.2">
      <c r="A52" s="428" t="s">
        <v>198</v>
      </c>
      <c r="E52" s="430">
        <f>'BS-PSE &amp; PE'!$R$71/1000</f>
        <v>159004</v>
      </c>
      <c r="G52" s="426">
        <f>'[4]PE BS Final'!$E65</f>
        <v>85000</v>
      </c>
      <c r="H52" s="427"/>
    </row>
    <row r="53" spans="1:12" x14ac:dyDescent="0.2">
      <c r="A53" s="428" t="s">
        <v>199</v>
      </c>
      <c r="E53" s="430">
        <f>'BS-PSE &amp; PE'!$R$73/1000</f>
        <v>0</v>
      </c>
      <c r="G53" s="426">
        <f>'[4]PE BS Final'!$E67</f>
        <v>162000</v>
      </c>
      <c r="H53" s="427"/>
    </row>
    <row r="54" spans="1:12" x14ac:dyDescent="0.2">
      <c r="A54" s="436" t="s">
        <v>200</v>
      </c>
      <c r="E54" s="430"/>
      <c r="G54" s="426"/>
      <c r="H54" s="427"/>
    </row>
    <row r="55" spans="1:12" x14ac:dyDescent="0.2">
      <c r="A55" s="428" t="s">
        <v>649</v>
      </c>
      <c r="E55" s="430">
        <f>'BS-PSE &amp; PE'!$R$75/1000</f>
        <v>12589</v>
      </c>
      <c r="G55" s="426">
        <f>'[4]PE BS Final'!$E69</f>
        <v>0</v>
      </c>
      <c r="H55" s="427"/>
    </row>
    <row r="56" spans="1:12" x14ac:dyDescent="0.2">
      <c r="A56" s="428" t="s">
        <v>650</v>
      </c>
      <c r="E56" s="430">
        <f>'BS-PSE &amp; PE'!$R$76/1000</f>
        <v>114854</v>
      </c>
      <c r="G56" s="426">
        <f>'[4]PE BS Final'!$E70</f>
        <v>107782</v>
      </c>
      <c r="H56" s="427"/>
    </row>
    <row r="57" spans="1:12" x14ac:dyDescent="0.2">
      <c r="A57" s="428" t="s">
        <v>651</v>
      </c>
      <c r="E57" s="430">
        <f>'BS-PSE &amp; PE'!$R$77/1000</f>
        <v>38457</v>
      </c>
      <c r="G57" s="426">
        <f>'[4]PE BS Final'!$E71</f>
        <v>40970</v>
      </c>
      <c r="H57" s="427"/>
      <c r="K57" s="434" t="s">
        <v>636</v>
      </c>
      <c r="L57" s="435"/>
    </row>
    <row r="58" spans="1:12" x14ac:dyDescent="0.2">
      <c r="A58" s="428" t="s">
        <v>652</v>
      </c>
      <c r="E58" s="430">
        <f>'BS-PSE &amp; PE'!$R$78/1000</f>
        <v>73378</v>
      </c>
      <c r="G58" s="426">
        <f>'[4]PE BS Final'!$E72</f>
        <v>78914</v>
      </c>
      <c r="H58" s="427"/>
    </row>
    <row r="59" spans="1:12" x14ac:dyDescent="0.2">
      <c r="A59" s="428" t="s">
        <v>653</v>
      </c>
      <c r="E59" s="430">
        <f>'BS-PSE &amp; PE'!$R$79/1000</f>
        <v>136173</v>
      </c>
      <c r="G59" s="426">
        <f>'[4]PE BS Final'!$E73</f>
        <v>142195</v>
      </c>
      <c r="H59" s="427"/>
    </row>
    <row r="60" spans="1:12" x14ac:dyDescent="0.2">
      <c r="A60" s="428" t="s">
        <v>654</v>
      </c>
      <c r="E60" s="430">
        <f>'BS-PSE &amp; PE'!$R$81/1000</f>
        <v>3611</v>
      </c>
      <c r="G60" s="426">
        <f>'[4]PE BS Final'!$E75</f>
        <v>3593</v>
      </c>
      <c r="H60" s="427"/>
    </row>
    <row r="61" spans="1:12" x14ac:dyDescent="0.2">
      <c r="A61" s="428" t="s">
        <v>186</v>
      </c>
      <c r="E61" s="430">
        <f>'BS-PSE &amp; PE'!$R$82/1000+1</f>
        <v>53867</v>
      </c>
      <c r="G61" s="426">
        <f>'[4]PE BS Final'!$E76</f>
        <v>62464</v>
      </c>
      <c r="H61" s="446"/>
      <c r="K61" s="441" t="s">
        <v>459</v>
      </c>
      <c r="L61" s="442"/>
    </row>
    <row r="62" spans="1:12" x14ac:dyDescent="0.2">
      <c r="A62" s="439" t="s">
        <v>364</v>
      </c>
      <c r="E62" s="433">
        <f>SUM(E51:E61)</f>
        <v>851286</v>
      </c>
      <c r="G62" s="433">
        <f>SUM(G51:G61)</f>
        <v>990496</v>
      </c>
      <c r="H62" s="427"/>
    </row>
    <row r="63" spans="1:12" x14ac:dyDescent="0.2">
      <c r="A63" s="425" t="s">
        <v>52</v>
      </c>
      <c r="E63" s="450"/>
      <c r="G63" s="450"/>
      <c r="H63" s="427"/>
    </row>
    <row r="64" spans="1:12" x14ac:dyDescent="0.2">
      <c r="A64" s="428" t="s">
        <v>180</v>
      </c>
      <c r="E64" s="430">
        <f>'BS-PSE &amp; PE'!$R$85/1000</f>
        <v>1435955</v>
      </c>
      <c r="G64" s="430">
        <f>'[4]PE BS Final'!$E79-'[4]PE BS Final'!$E35</f>
        <v>1360912</v>
      </c>
      <c r="H64" s="446"/>
    </row>
    <row r="65" spans="1:12" x14ac:dyDescent="0.2">
      <c r="A65" s="428" t="s">
        <v>206</v>
      </c>
      <c r="E65" s="430">
        <f>'BS-PSE &amp; PE'!$R$86/1000</f>
        <v>48073</v>
      </c>
      <c r="G65" s="430">
        <f>'[4]PE BS Final'!$E80</f>
        <v>62913</v>
      </c>
      <c r="H65" s="446"/>
    </row>
    <row r="66" spans="1:12" x14ac:dyDescent="0.2">
      <c r="A66" s="428" t="s">
        <v>207</v>
      </c>
      <c r="E66" s="430">
        <f>'BS-PSE &amp; PE'!$R$90/1000</f>
        <v>652441</v>
      </c>
      <c r="G66" s="430">
        <f>'[4]PE BS Final'!$E82</f>
        <v>633471</v>
      </c>
      <c r="H66" s="446"/>
    </row>
    <row r="67" spans="1:12" x14ac:dyDescent="0.2">
      <c r="A67" s="428" t="s">
        <v>655</v>
      </c>
      <c r="E67" s="430">
        <f>'BS-PSE &amp; PE'!$R$91/1000</f>
        <v>325788</v>
      </c>
      <c r="G67" s="430">
        <f>'[4]PE BS Final'!$E83</f>
        <v>391389</v>
      </c>
      <c r="H67" s="446"/>
    </row>
    <row r="68" spans="1:12" x14ac:dyDescent="0.2">
      <c r="A68" s="428" t="s">
        <v>654</v>
      </c>
      <c r="E68" s="430">
        <f>'BS-PSE &amp; PE'!$R$92/1000</f>
        <v>22613</v>
      </c>
      <c r="G68" s="430">
        <f>'[4]PE BS Final'!$E84</f>
        <v>26223</v>
      </c>
      <c r="H68" s="446"/>
    </row>
    <row r="69" spans="1:12" x14ac:dyDescent="0.2">
      <c r="A69" s="428" t="s">
        <v>82</v>
      </c>
      <c r="E69" s="430">
        <f>'BS-PSE &amp; PE'!$R$93/1000-1</f>
        <v>619355</v>
      </c>
      <c r="G69" s="430">
        <f>'[4]PE BS Final'!$E85</f>
        <v>583263</v>
      </c>
      <c r="H69" s="427"/>
      <c r="K69" s="441" t="s">
        <v>459</v>
      </c>
      <c r="L69" s="442"/>
    </row>
    <row r="70" spans="1:12" x14ac:dyDescent="0.2">
      <c r="A70" s="439" t="s">
        <v>332</v>
      </c>
      <c r="E70" s="450">
        <f>SUM(E64:E69)</f>
        <v>3104225</v>
      </c>
      <c r="G70" s="450">
        <f>SUM(G64:G69)</f>
        <v>3058171</v>
      </c>
      <c r="H70" s="446"/>
    </row>
    <row r="71" spans="1:12" ht="13.5" thickBot="1" x14ac:dyDescent="0.25">
      <c r="A71" s="425" t="s">
        <v>209</v>
      </c>
      <c r="E71" s="443">
        <f>E48+E62+E70+E49</f>
        <v>12852619</v>
      </c>
      <c r="G71" s="443">
        <f>G48+G62+G70</f>
        <v>12673603</v>
      </c>
      <c r="H71" s="444"/>
      <c r="I71" s="444">
        <f>E38-E71</f>
        <v>0</v>
      </c>
      <c r="J71" s="444">
        <f>F38-F71</f>
        <v>0</v>
      </c>
    </row>
    <row r="72" spans="1:12" ht="13.5" thickTop="1" x14ac:dyDescent="0.2"/>
    <row r="75" spans="1:12" x14ac:dyDescent="0.2">
      <c r="A75" s="425"/>
    </row>
    <row r="78" spans="1:12" x14ac:dyDescent="0.2">
      <c r="A78" s="425"/>
      <c r="C78" s="451"/>
      <c r="D78" s="451"/>
      <c r="E78" s="452"/>
      <c r="F78" s="451"/>
      <c r="G78" s="452"/>
    </row>
    <row r="79" spans="1:12" x14ac:dyDescent="0.2">
      <c r="C79" s="451"/>
      <c r="D79" s="451"/>
      <c r="E79" s="452"/>
      <c r="F79" s="451"/>
      <c r="G79" s="452"/>
    </row>
    <row r="80" spans="1:12" x14ac:dyDescent="0.2">
      <c r="C80" s="453"/>
      <c r="D80" s="453"/>
      <c r="E80" s="454"/>
      <c r="F80" s="453"/>
      <c r="G80" s="454"/>
    </row>
    <row r="81" spans="3:7" x14ac:dyDescent="0.2">
      <c r="C81" s="453"/>
      <c r="D81" s="453"/>
      <c r="E81" s="454"/>
      <c r="F81" s="453"/>
      <c r="G81" s="454"/>
    </row>
    <row r="82" spans="3:7" x14ac:dyDescent="0.2">
      <c r="C82" s="453"/>
      <c r="D82" s="453"/>
      <c r="E82" s="454"/>
      <c r="F82" s="453"/>
      <c r="G82" s="454"/>
    </row>
  </sheetData>
  <printOptions horizontalCentered="1"/>
  <pageMargins left="0.65" right="0.78" top="1" bottom="1" header="0.5" footer="0.25"/>
  <pageSetup scale="73" orientation="portrait" r:id="rId1"/>
  <headerFooter alignWithMargins="0">
    <oddHeader>&amp;C&amp;"Arial,Bold"&amp;14PUGET ENERGY, INC.
BALANCE SHEET&amp;"Arial,Regular"&amp;10
(Dollars in Thousands)</oddHeader>
    <oddFooter>&amp;C&amp;12 2</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90"/>
  <sheetViews>
    <sheetView tabSelected="1" zoomScale="60" zoomScaleNormal="60" zoomScaleSheetLayoutView="55" workbookViewId="0">
      <pane xSplit="2" ySplit="4" topLeftCell="C5" activePane="bottomRight" state="frozen"/>
      <selection activeCell="E80" sqref="E80"/>
      <selection pane="topRight" activeCell="E80" sqref="E80"/>
      <selection pane="bottomLeft" activeCell="E80" sqref="E80"/>
      <selection pane="bottomRight" activeCell="K1" sqref="K1:S65536"/>
    </sheetView>
  </sheetViews>
  <sheetFormatPr defaultRowHeight="18" outlineLevelRow="1" outlineLevelCol="1" x14ac:dyDescent="0.25"/>
  <cols>
    <col min="1" max="1" width="105.5703125" style="9" customWidth="1"/>
    <col min="2" max="2" width="80.42578125" style="9" hidden="1" customWidth="1" outlineLevel="1"/>
    <col min="3" max="3" width="29.7109375" style="250" customWidth="1" collapsed="1"/>
    <col min="4" max="4" width="25.7109375" style="18" customWidth="1"/>
    <col min="5" max="5" width="25.7109375" style="18" hidden="1" customWidth="1" outlineLevel="1"/>
    <col min="6" max="6" width="33.85546875" style="18" bestFit="1" customWidth="1" collapsed="1"/>
    <col min="7" max="8" width="25.7109375" style="18" customWidth="1"/>
    <col min="9" max="9" width="27.42578125" style="18" customWidth="1"/>
    <col min="10" max="10" width="41.7109375" style="18" hidden="1" customWidth="1"/>
    <col min="11" max="11" width="17.140625" style="18" hidden="1" customWidth="1"/>
    <col min="12" max="12" width="31.140625" style="18" hidden="1" customWidth="1"/>
    <col min="13" max="13" width="27.7109375" style="18" hidden="1" customWidth="1"/>
    <col min="14" max="14" width="32.7109375" style="18" hidden="1" customWidth="1"/>
    <col min="15" max="15" width="18.140625" style="18" hidden="1" customWidth="1"/>
    <col min="16" max="16" width="24.85546875" style="18" hidden="1" customWidth="1"/>
    <col min="17" max="17" width="13.85546875" style="18" hidden="1" customWidth="1"/>
    <col min="18" max="18" width="29.28515625" style="18" hidden="1" customWidth="1"/>
    <col min="19" max="19" width="5.140625" style="18" hidden="1" customWidth="1"/>
    <col min="20" max="20" width="14.7109375" style="18" customWidth="1"/>
    <col min="21" max="21" width="22.5703125" style="18" customWidth="1"/>
    <col min="22" max="22" width="6.42578125" style="18" customWidth="1"/>
    <col min="23" max="16384" width="9.140625" style="18"/>
  </cols>
  <sheetData>
    <row r="1" spans="1:41" s="7" customFormat="1" ht="20.25" x14ac:dyDescent="0.3">
      <c r="A1" s="103"/>
      <c r="B1" s="43"/>
      <c r="C1" s="237"/>
      <c r="D1" s="44"/>
      <c r="E1" s="44"/>
      <c r="F1" s="48" t="s">
        <v>409</v>
      </c>
      <c r="G1" s="224" t="s">
        <v>85</v>
      </c>
      <c r="H1" s="51"/>
      <c r="I1" s="45"/>
      <c r="J1" s="43"/>
      <c r="K1" s="43"/>
      <c r="L1" s="8"/>
      <c r="M1" s="9"/>
      <c r="N1" s="9"/>
      <c r="O1" s="9"/>
      <c r="P1" s="9"/>
      <c r="Q1" s="9"/>
      <c r="R1" s="9"/>
      <c r="S1" s="9"/>
      <c r="T1" s="9"/>
      <c r="U1" s="9"/>
      <c r="V1" s="9"/>
      <c r="W1" s="9"/>
      <c r="X1" s="9"/>
      <c r="Y1" s="9"/>
      <c r="Z1" s="9"/>
      <c r="AA1" s="9"/>
      <c r="AB1" s="9"/>
      <c r="AC1" s="9"/>
      <c r="AD1" s="9"/>
      <c r="AE1" s="40"/>
      <c r="AF1" s="40"/>
      <c r="AG1" s="40"/>
      <c r="AH1" s="11"/>
      <c r="AI1" s="11"/>
      <c r="AJ1" s="11"/>
      <c r="AK1" s="11"/>
      <c r="AL1" s="11"/>
      <c r="AM1" s="11"/>
      <c r="AN1" s="11"/>
      <c r="AO1" s="11"/>
    </row>
    <row r="2" spans="1:41" s="7" customFormat="1" ht="20.25" x14ac:dyDescent="0.3">
      <c r="A2" s="46"/>
      <c r="B2" s="47"/>
      <c r="C2" s="238" t="s">
        <v>84</v>
      </c>
      <c r="D2" s="48" t="s">
        <v>408</v>
      </c>
      <c r="E2" s="48" t="s">
        <v>158</v>
      </c>
      <c r="F2" s="48" t="s">
        <v>159</v>
      </c>
      <c r="G2" s="224" t="s">
        <v>87</v>
      </c>
      <c r="H2" s="52" t="s">
        <v>156</v>
      </c>
      <c r="I2" s="238" t="s">
        <v>86</v>
      </c>
      <c r="J2" s="43"/>
      <c r="K2" s="43"/>
      <c r="L2" s="397" t="s">
        <v>621</v>
      </c>
      <c r="M2" s="9"/>
      <c r="N2" s="397" t="s">
        <v>84</v>
      </c>
      <c r="O2" s="9"/>
      <c r="P2" s="9"/>
      <c r="Q2" s="9"/>
      <c r="R2" s="397" t="s">
        <v>633</v>
      </c>
      <c r="S2" s="9"/>
      <c r="T2" s="9"/>
      <c r="U2" s="9"/>
      <c r="V2" s="9"/>
      <c r="W2" s="9"/>
      <c r="X2" s="9"/>
      <c r="Y2" s="9"/>
      <c r="Z2" s="9"/>
      <c r="AA2" s="9"/>
      <c r="AB2" s="9"/>
      <c r="AC2" s="9"/>
      <c r="AD2" s="9"/>
      <c r="AE2" s="40"/>
      <c r="AF2" s="173"/>
      <c r="AG2" s="173"/>
      <c r="AH2" s="11"/>
      <c r="AI2" s="11"/>
      <c r="AJ2" s="11"/>
      <c r="AK2" s="11"/>
      <c r="AL2" s="11"/>
      <c r="AM2" s="11"/>
    </row>
    <row r="3" spans="1:41" s="12" customFormat="1" ht="21" thickBot="1" x14ac:dyDescent="0.35">
      <c r="A3" s="49"/>
      <c r="B3" s="50"/>
      <c r="C3" s="238" t="s">
        <v>86</v>
      </c>
      <c r="D3" s="51" t="s">
        <v>159</v>
      </c>
      <c r="E3" s="51" t="s">
        <v>157</v>
      </c>
      <c r="F3" s="51" t="s">
        <v>410</v>
      </c>
      <c r="G3" s="224" t="s">
        <v>89</v>
      </c>
      <c r="H3" s="52" t="s">
        <v>411</v>
      </c>
      <c r="I3" s="53" t="s">
        <v>88</v>
      </c>
      <c r="J3" s="398"/>
      <c r="K3" s="398"/>
      <c r="L3" s="127" t="s">
        <v>622</v>
      </c>
      <c r="M3" s="127" t="s">
        <v>630</v>
      </c>
      <c r="N3" s="127" t="s">
        <v>632</v>
      </c>
      <c r="O3" s="127"/>
      <c r="P3" s="127" t="s">
        <v>156</v>
      </c>
      <c r="Q3" s="127"/>
      <c r="R3" s="127" t="s">
        <v>91</v>
      </c>
      <c r="S3" s="9"/>
      <c r="T3" s="9"/>
      <c r="U3" s="9"/>
      <c r="V3" s="9"/>
      <c r="W3" s="9"/>
      <c r="X3" s="9"/>
      <c r="Y3" s="9"/>
      <c r="Z3" s="9"/>
      <c r="AA3" s="9"/>
      <c r="AB3" s="9"/>
      <c r="AC3" s="9"/>
      <c r="AD3" s="9"/>
      <c r="AE3" s="40"/>
      <c r="AF3" s="174"/>
      <c r="AG3" s="174"/>
      <c r="AH3" s="14"/>
      <c r="AI3" s="14"/>
      <c r="AJ3" s="15"/>
      <c r="AK3" s="15"/>
      <c r="AL3" s="15"/>
      <c r="AM3" s="14"/>
    </row>
    <row r="4" spans="1:41" s="12" customFormat="1" ht="21" thickBot="1" x14ac:dyDescent="0.35">
      <c r="A4" s="54"/>
      <c r="B4" s="55"/>
      <c r="C4" s="239"/>
      <c r="D4" s="56"/>
      <c r="E4" s="56"/>
      <c r="F4" s="56"/>
      <c r="G4" s="225"/>
      <c r="H4" s="57"/>
      <c r="I4" s="58"/>
      <c r="J4" s="398"/>
      <c r="K4" s="398"/>
      <c r="L4" s="399"/>
      <c r="M4" s="16"/>
      <c r="N4" s="16"/>
      <c r="P4" s="16"/>
      <c r="Q4" s="17"/>
      <c r="R4" s="17"/>
      <c r="S4" s="17"/>
      <c r="T4" s="17"/>
      <c r="U4" s="17"/>
      <c r="V4" s="11"/>
      <c r="W4" s="11"/>
      <c r="X4" s="11"/>
      <c r="Y4" s="11"/>
      <c r="Z4" s="11"/>
      <c r="AA4" s="11"/>
      <c r="AB4" s="11"/>
      <c r="AC4" s="11"/>
      <c r="AD4" s="11"/>
      <c r="AE4" s="173"/>
      <c r="AF4" s="174"/>
      <c r="AG4" s="174"/>
      <c r="AH4" s="14"/>
      <c r="AI4" s="14"/>
      <c r="AJ4" s="15"/>
      <c r="AK4" s="15"/>
      <c r="AL4" s="15"/>
      <c r="AM4" s="14"/>
    </row>
    <row r="5" spans="1:41" ht="20.25" x14ac:dyDescent="0.3">
      <c r="A5" s="59"/>
      <c r="B5" s="59"/>
      <c r="C5" s="240"/>
      <c r="D5" s="60"/>
      <c r="E5" s="60"/>
      <c r="F5" s="60"/>
      <c r="G5" s="226"/>
      <c r="H5" s="60"/>
      <c r="I5" s="60"/>
      <c r="J5" s="61"/>
      <c r="K5" s="61"/>
      <c r="L5" s="61"/>
    </row>
    <row r="6" spans="1:41" ht="20.25" x14ac:dyDescent="0.3">
      <c r="A6" s="62" t="s">
        <v>0</v>
      </c>
      <c r="B6" s="62"/>
      <c r="C6" s="240"/>
      <c r="D6" s="60"/>
      <c r="E6" s="60"/>
      <c r="F6" s="60"/>
      <c r="G6" s="226"/>
      <c r="H6" s="60"/>
      <c r="I6" s="60"/>
      <c r="J6" s="61"/>
      <c r="K6" s="61"/>
      <c r="L6" s="61"/>
    </row>
    <row r="7" spans="1:41" ht="20.25" x14ac:dyDescent="0.3">
      <c r="A7" s="64" t="s">
        <v>1</v>
      </c>
      <c r="B7" s="64"/>
      <c r="C7" s="240"/>
      <c r="D7" s="60"/>
      <c r="E7" s="60"/>
      <c r="F7" s="60"/>
      <c r="G7" s="226"/>
      <c r="H7" s="60"/>
      <c r="I7" s="60"/>
      <c r="J7" s="400"/>
      <c r="K7" s="196" t="s">
        <v>690</v>
      </c>
      <c r="L7" s="93"/>
      <c r="M7" s="93"/>
      <c r="N7" s="93"/>
      <c r="P7" s="93"/>
      <c r="R7" s="71"/>
      <c r="S7" s="89" t="s">
        <v>385</v>
      </c>
    </row>
    <row r="8" spans="1:41" ht="20.25" x14ac:dyDescent="0.3">
      <c r="A8" s="78" t="s">
        <v>2</v>
      </c>
      <c r="B8" s="65" t="s">
        <v>239</v>
      </c>
      <c r="C8" s="240">
        <f>VLOOKUP($B$8,'SAP-PSE'!$A$4:$B$200,2,0)</f>
        <v>9601090721</v>
      </c>
      <c r="D8" s="71"/>
      <c r="E8" s="60"/>
      <c r="F8" s="71"/>
      <c r="G8" s="226"/>
      <c r="H8" s="60"/>
      <c r="I8" s="60">
        <f>+SUM(C8:H8)</f>
        <v>9601090721</v>
      </c>
      <c r="J8" s="401" t="s">
        <v>239</v>
      </c>
      <c r="K8" s="401"/>
      <c r="L8" s="402">
        <f>VLOOKUP(J8,'SAP-PE'!$A$7:$B$230,2,0)</f>
        <v>-2168600314</v>
      </c>
      <c r="M8" s="93"/>
      <c r="N8" s="71">
        <f>$I8</f>
        <v>9601090721</v>
      </c>
      <c r="P8" s="93"/>
      <c r="R8" s="71">
        <f>L8+M8+N8+P8</f>
        <v>7432490407</v>
      </c>
      <c r="S8" s="89"/>
    </row>
    <row r="9" spans="1:41" ht="20.25" x14ac:dyDescent="0.3">
      <c r="A9" s="78" t="s">
        <v>558</v>
      </c>
      <c r="B9" s="65" t="s">
        <v>240</v>
      </c>
      <c r="C9" s="240">
        <f>VLOOKUP($B$9,'SAP-PSE'!$A$4:$B$300,2,0)</f>
        <v>3444744410</v>
      </c>
      <c r="D9" s="71"/>
      <c r="E9" s="60"/>
      <c r="F9" s="71"/>
      <c r="G9" s="226"/>
      <c r="H9" s="60"/>
      <c r="I9" s="60">
        <f>+SUM(C9:H9)</f>
        <v>3444744410</v>
      </c>
      <c r="J9" s="403" t="s">
        <v>240</v>
      </c>
      <c r="K9" s="403"/>
      <c r="L9" s="402">
        <f>VLOOKUP(J9,'SAP-PE'!$A$7:$B$230,2,0)</f>
        <v>-594454438</v>
      </c>
      <c r="M9" s="93"/>
      <c r="N9" s="71">
        <f>$I9</f>
        <v>3444744410</v>
      </c>
      <c r="P9" s="93"/>
      <c r="R9" s="71">
        <f>L9+M9+N9+P9</f>
        <v>2850289972</v>
      </c>
      <c r="S9" s="89"/>
    </row>
    <row r="10" spans="1:41" ht="20.25" x14ac:dyDescent="0.3">
      <c r="A10" s="78" t="s">
        <v>3</v>
      </c>
      <c r="B10" s="65" t="s">
        <v>241</v>
      </c>
      <c r="C10" s="240">
        <f>VLOOKUP($B$10,'SAP-PSE'!$A$4:$B$300,2,0)</f>
        <v>548656694</v>
      </c>
      <c r="D10" s="71"/>
      <c r="E10" s="60"/>
      <c r="F10" s="71"/>
      <c r="G10" s="226"/>
      <c r="H10" s="60"/>
      <c r="I10" s="60">
        <f>+SUM(C10:H10)</f>
        <v>548656694</v>
      </c>
      <c r="J10" s="403" t="s">
        <v>241</v>
      </c>
      <c r="K10" s="403"/>
      <c r="L10" s="402">
        <f>VLOOKUP(J10,'SAP-PE'!$A$7:$B$230,2,0)</f>
        <v>-39906538</v>
      </c>
      <c r="M10" s="93"/>
      <c r="N10" s="71">
        <f>$I10</f>
        <v>548656694</v>
      </c>
      <c r="P10" s="93"/>
      <c r="R10" s="71">
        <f>L10+M10+N10+P10</f>
        <v>508750156</v>
      </c>
      <c r="S10" s="89"/>
    </row>
    <row r="11" spans="1:41" ht="20.25" x14ac:dyDescent="0.3">
      <c r="A11" s="64" t="s">
        <v>4</v>
      </c>
      <c r="B11" s="177" t="s">
        <v>282</v>
      </c>
      <c r="C11" s="240">
        <f>VLOOKUP($B$11,'SAP-PSE'!$A$4:$B$300,2,0)</f>
        <v>-4681829545</v>
      </c>
      <c r="D11" s="71"/>
      <c r="E11" s="60"/>
      <c r="F11" s="71"/>
      <c r="G11" s="226"/>
      <c r="H11" s="60"/>
      <c r="I11" s="60">
        <f>+SUM(C11:H11)</f>
        <v>-4681829545</v>
      </c>
      <c r="J11" s="403" t="s">
        <v>282</v>
      </c>
      <c r="K11" s="403"/>
      <c r="L11" s="402">
        <f>VLOOKUP(J11,'SAP-PE'!$A$7:$B$230,2,0)-1</f>
        <v>2802961290</v>
      </c>
      <c r="M11" s="93"/>
      <c r="N11" s="71">
        <f>$I11</f>
        <v>-4681829545</v>
      </c>
      <c r="P11" s="93"/>
      <c r="R11" s="71">
        <f>L11+M11+N11+P11</f>
        <v>-1878868255</v>
      </c>
      <c r="S11" s="89"/>
    </row>
    <row r="12" spans="1:41" ht="20.25" x14ac:dyDescent="0.3">
      <c r="A12" s="64" t="s">
        <v>5</v>
      </c>
      <c r="B12" s="66" t="s">
        <v>90</v>
      </c>
      <c r="C12" s="241">
        <f>SUM(C8:C11)</f>
        <v>8912662280</v>
      </c>
      <c r="D12" s="267">
        <f>SUM(D8:D11)</f>
        <v>0</v>
      </c>
      <c r="E12" s="60"/>
      <c r="F12" s="241">
        <f>SUM(F8:F11)</f>
        <v>0</v>
      </c>
      <c r="G12" s="226"/>
      <c r="H12" s="60"/>
      <c r="I12" s="60">
        <f>+SUM(C12:H12)</f>
        <v>8912662280</v>
      </c>
      <c r="J12" s="404" t="s">
        <v>90</v>
      </c>
      <c r="K12" s="405"/>
      <c r="L12" s="413">
        <f t="shared" ref="L12:R12" si="0">SUM(L8:L11)</f>
        <v>0</v>
      </c>
      <c r="M12" s="414">
        <f t="shared" si="0"/>
        <v>0</v>
      </c>
      <c r="N12" s="414">
        <f t="shared" si="0"/>
        <v>8912662280</v>
      </c>
      <c r="O12" s="414">
        <f t="shared" si="0"/>
        <v>0</v>
      </c>
      <c r="P12" s="414">
        <f t="shared" si="0"/>
        <v>0</v>
      </c>
      <c r="Q12" s="414">
        <f t="shared" si="0"/>
        <v>0</v>
      </c>
      <c r="R12" s="415">
        <f t="shared" si="0"/>
        <v>8912662280</v>
      </c>
      <c r="S12" s="89"/>
    </row>
    <row r="13" spans="1:41" ht="20.25" x14ac:dyDescent="0.3">
      <c r="A13" s="64"/>
      <c r="B13" s="65"/>
      <c r="C13" s="240"/>
      <c r="D13" s="60"/>
      <c r="E13" s="60"/>
      <c r="F13" s="60"/>
      <c r="G13" s="226"/>
      <c r="H13" s="68"/>
      <c r="I13" s="60">
        <f>+SUM(C13:H13)</f>
        <v>0</v>
      </c>
      <c r="J13" s="403"/>
      <c r="K13" s="403"/>
      <c r="L13" s="93"/>
      <c r="M13" s="93"/>
      <c r="N13" s="93"/>
      <c r="O13" s="93"/>
      <c r="P13" s="93"/>
      <c r="Q13" s="93"/>
      <c r="R13" s="89"/>
      <c r="S13" s="89"/>
    </row>
    <row r="14" spans="1:41" ht="20.25" x14ac:dyDescent="0.3">
      <c r="A14" s="64" t="s">
        <v>6</v>
      </c>
      <c r="B14" s="65"/>
      <c r="C14" s="240"/>
      <c r="D14" s="60"/>
      <c r="E14" s="60"/>
      <c r="F14" s="60"/>
      <c r="G14" s="226"/>
      <c r="H14" s="60"/>
      <c r="I14" s="60">
        <f>+SUM(C14:H14)</f>
        <v>0</v>
      </c>
      <c r="J14" s="403"/>
      <c r="K14" s="403"/>
      <c r="L14" s="93"/>
      <c r="M14" s="93"/>
      <c r="N14" s="93"/>
      <c r="O14" s="93"/>
      <c r="P14" s="93"/>
      <c r="Q14" s="93"/>
      <c r="R14" s="89"/>
      <c r="S14" s="89"/>
    </row>
    <row r="15" spans="1:41" ht="20.25" x14ac:dyDescent="0.3">
      <c r="A15" s="64" t="s">
        <v>624</v>
      </c>
      <c r="B15" s="65"/>
      <c r="C15" s="240"/>
      <c r="D15" s="60"/>
      <c r="E15" s="60"/>
      <c r="F15" s="60"/>
      <c r="G15" s="226"/>
      <c r="H15" s="60"/>
      <c r="I15" s="60">
        <f>+SUM(C15:H15)</f>
        <v>0</v>
      </c>
      <c r="J15" s="61" t="s">
        <v>599</v>
      </c>
      <c r="K15" s="61"/>
      <c r="L15" s="402">
        <f>VLOOKUP(J15,'SAP-PE'!$A$7:$B$230,2,0)</f>
        <v>1656512951</v>
      </c>
      <c r="M15" s="93"/>
      <c r="N15" s="71">
        <f>$I15</f>
        <v>0</v>
      </c>
      <c r="O15" s="93"/>
      <c r="P15" s="93"/>
      <c r="Q15" s="93"/>
      <c r="R15" s="71">
        <f>L15+M15+N15+P15</f>
        <v>1656512951</v>
      </c>
      <c r="S15" s="89"/>
    </row>
    <row r="16" spans="1:41" ht="20.25" x14ac:dyDescent="0.3">
      <c r="A16" s="78" t="s">
        <v>7</v>
      </c>
      <c r="B16" s="65" t="s">
        <v>242</v>
      </c>
      <c r="C16" s="240"/>
      <c r="D16" s="60"/>
      <c r="E16" s="60"/>
      <c r="F16" s="60"/>
      <c r="G16" s="226"/>
      <c r="H16" s="60"/>
      <c r="I16" s="60">
        <f>+SUM(C16:H16)</f>
        <v>0</v>
      </c>
      <c r="J16" s="403"/>
      <c r="K16" s="403"/>
      <c r="L16" s="402"/>
      <c r="M16" s="93"/>
      <c r="N16" s="71">
        <f>$I16</f>
        <v>0</v>
      </c>
      <c r="O16" s="93"/>
      <c r="P16" s="93"/>
      <c r="Q16" s="93"/>
      <c r="R16" s="71">
        <f>L16+M16+N16+P16</f>
        <v>0</v>
      </c>
      <c r="S16" s="89"/>
    </row>
    <row r="17" spans="1:19" ht="20.25" x14ac:dyDescent="0.3">
      <c r="A17" s="78" t="s">
        <v>286</v>
      </c>
      <c r="B17" s="65" t="s">
        <v>243</v>
      </c>
      <c r="C17" s="240">
        <f>VLOOKUP($B$17,'SAP-PSE'!$A$4:$B$300,2,0)</f>
        <v>84651974</v>
      </c>
      <c r="D17" s="60"/>
      <c r="E17" s="60"/>
      <c r="F17" s="60"/>
      <c r="G17" s="226">
        <f>PWI!G15</f>
        <v>28314721</v>
      </c>
      <c r="H17" s="102">
        <f>H58</f>
        <v>-29897629</v>
      </c>
      <c r="I17" s="60">
        <f>+SUM(C17:H17)</f>
        <v>83069066</v>
      </c>
      <c r="J17" s="61" t="s">
        <v>243</v>
      </c>
      <c r="K17" s="61"/>
      <c r="L17" s="402">
        <f>VLOOKUP(J17,'SAP-PE'!$A$7:$B$230,2,0)-L15</f>
        <v>3366653668</v>
      </c>
      <c r="M17" s="93"/>
      <c r="N17" s="71">
        <f>$I17</f>
        <v>83069066</v>
      </c>
      <c r="O17" s="416">
        <f>O58</f>
        <v>0</v>
      </c>
      <c r="P17" s="416">
        <f>P58</f>
        <v>-3362991534</v>
      </c>
      <c r="Q17" s="416">
        <f>Q58</f>
        <v>0</v>
      </c>
      <c r="R17" s="71">
        <f>L17+M17+N17+P17</f>
        <v>86731200</v>
      </c>
      <c r="S17" s="89"/>
    </row>
    <row r="18" spans="1:19" s="19" customFormat="1" ht="20.25" x14ac:dyDescent="0.3">
      <c r="A18" s="85" t="s">
        <v>8</v>
      </c>
      <c r="B18" s="84" t="s">
        <v>169</v>
      </c>
      <c r="C18" s="242">
        <f>VLOOKUP($B$18,'SAP-PSE'!$A$4:$B$300,2,0)</f>
        <v>84651974</v>
      </c>
      <c r="D18" s="69">
        <f>D16+D17</f>
        <v>0</v>
      </c>
      <c r="E18" s="70"/>
      <c r="F18" s="69">
        <f>F16+F17</f>
        <v>0</v>
      </c>
      <c r="G18" s="227">
        <f>G16+G17</f>
        <v>28314721</v>
      </c>
      <c r="H18" s="69">
        <f>H16+H17</f>
        <v>-29897629</v>
      </c>
      <c r="I18" s="69">
        <f>+SUM(C18:H18)</f>
        <v>83069066</v>
      </c>
      <c r="J18" s="406"/>
      <c r="K18" s="407"/>
      <c r="L18" s="408">
        <f t="shared" ref="L18:R18" si="1">SUM(L15:L17)</f>
        <v>5023166619</v>
      </c>
      <c r="M18" s="414">
        <f t="shared" si="1"/>
        <v>0</v>
      </c>
      <c r="N18" s="415">
        <f t="shared" si="1"/>
        <v>83069066</v>
      </c>
      <c r="O18" s="415">
        <f t="shared" si="1"/>
        <v>0</v>
      </c>
      <c r="P18" s="415">
        <f t="shared" si="1"/>
        <v>-3362991534</v>
      </c>
      <c r="Q18" s="415">
        <f t="shared" si="1"/>
        <v>0</v>
      </c>
      <c r="R18" s="415">
        <f t="shared" si="1"/>
        <v>1743244151</v>
      </c>
      <c r="S18" s="98"/>
    </row>
    <row r="19" spans="1:19" ht="20.25" x14ac:dyDescent="0.3">
      <c r="A19" s="64" t="s">
        <v>9</v>
      </c>
      <c r="B19" s="64"/>
      <c r="C19" s="240"/>
      <c r="D19" s="60"/>
      <c r="E19" s="60"/>
      <c r="F19" s="60"/>
      <c r="G19" s="226"/>
      <c r="H19" s="60"/>
      <c r="I19" s="60"/>
      <c r="J19" s="403"/>
      <c r="K19" s="403"/>
      <c r="L19" s="93"/>
      <c r="M19" s="93"/>
      <c r="N19" s="93"/>
      <c r="P19" s="93"/>
      <c r="R19" s="89"/>
      <c r="S19" s="89"/>
    </row>
    <row r="20" spans="1:19" ht="20.25" x14ac:dyDescent="0.3">
      <c r="A20" s="78" t="s">
        <v>10</v>
      </c>
      <c r="B20" s="65" t="s">
        <v>60</v>
      </c>
      <c r="C20" s="240">
        <f>VLOOKUP($B$20,'SAP-PSE'!$A$4:$B$300,2,0)</f>
        <v>43650969</v>
      </c>
      <c r="D20" s="60">
        <f>+Adj!$Z$47</f>
        <v>0</v>
      </c>
      <c r="E20" s="60"/>
      <c r="F20" s="71">
        <v>-4200322</v>
      </c>
      <c r="G20" s="226">
        <f>PWI!E23</f>
        <v>2405069</v>
      </c>
      <c r="H20" s="60"/>
      <c r="I20" s="60">
        <f>+SUM(C20:H20)</f>
        <v>41855716</v>
      </c>
      <c r="J20" s="61" t="s">
        <v>60</v>
      </c>
      <c r="K20" s="61"/>
      <c r="L20" s="402">
        <f>VLOOKUP(J20,'SAP-PE'!$A$7:$B$230,2,0)</f>
        <v>638667</v>
      </c>
      <c r="M20" s="93"/>
      <c r="N20" s="71">
        <f t="shared" ref="N20:N33" si="2">$I20</f>
        <v>41855716</v>
      </c>
      <c r="P20" s="93"/>
      <c r="R20" s="71">
        <f t="shared" ref="R20:R33" si="3">L20+M20+N20+P20</f>
        <v>42494383</v>
      </c>
      <c r="S20" s="89"/>
    </row>
    <row r="21" spans="1:19" ht="20.25" x14ac:dyDescent="0.3">
      <c r="A21" s="78" t="s">
        <v>11</v>
      </c>
      <c r="B21" s="65" t="s">
        <v>61</v>
      </c>
      <c r="C21" s="243">
        <f>IF(ISNA(VLOOKUP($B$21,'SAP-PSE'!$A$4:$B$300,2,0)),0,VLOOKUP($B$21,'SAP-PSE'!$A$4:$B$300,2,0))</f>
        <v>3659936</v>
      </c>
      <c r="D21" s="60">
        <f>+Adj!$Z$48</f>
        <v>0</v>
      </c>
      <c r="E21" s="60"/>
      <c r="F21" s="71">
        <f>-F20</f>
        <v>4200322</v>
      </c>
      <c r="G21" s="226">
        <f>PWI!E26</f>
        <v>88392</v>
      </c>
      <c r="H21" s="60"/>
      <c r="I21" s="60">
        <f>+SUM(C21:H21)</f>
        <v>7948650</v>
      </c>
      <c r="J21" s="403"/>
      <c r="K21" s="403"/>
      <c r="L21" s="402"/>
      <c r="M21" s="416">
        <f>-M37</f>
        <v>0</v>
      </c>
      <c r="N21" s="71">
        <f t="shared" si="2"/>
        <v>7948650</v>
      </c>
      <c r="P21" s="93"/>
      <c r="R21" s="71">
        <f t="shared" si="3"/>
        <v>7948650</v>
      </c>
      <c r="S21" s="89"/>
    </row>
    <row r="22" spans="1:19" ht="20.25" x14ac:dyDescent="0.3">
      <c r="A22" s="78" t="s">
        <v>12</v>
      </c>
      <c r="B22" s="65" t="s">
        <v>245</v>
      </c>
      <c r="C22" s="240">
        <f>VLOOKUP($B$22,'SAP-PSE'!$A$4:$B$300,2,0)</f>
        <v>321397916</v>
      </c>
      <c r="D22" s="71">
        <f>+Adj!$Z$49</f>
        <v>0</v>
      </c>
      <c r="E22" s="71"/>
      <c r="F22" s="71">
        <v>12716458</v>
      </c>
      <c r="G22" s="226">
        <f>PWI!E30</f>
        <v>0</v>
      </c>
      <c r="H22" s="60">
        <v>0</v>
      </c>
      <c r="I22" s="60">
        <f>+SUM(C22:H22)</f>
        <v>334114374</v>
      </c>
      <c r="J22" s="61" t="s">
        <v>245</v>
      </c>
      <c r="K22" s="61"/>
      <c r="L22" s="402">
        <f>VLOOKUP(J22,'SAP-PE'!$A$7:$B$230,2,0)</f>
        <v>203470</v>
      </c>
      <c r="M22" s="93"/>
      <c r="N22" s="71">
        <f t="shared" si="2"/>
        <v>334114374</v>
      </c>
      <c r="P22" s="417">
        <f>P69+P72+P78+P76</f>
        <v>-170680</v>
      </c>
      <c r="R22" s="71">
        <f t="shared" si="3"/>
        <v>334147164</v>
      </c>
      <c r="S22" s="89"/>
    </row>
    <row r="23" spans="1:19" ht="20.25" x14ac:dyDescent="0.3">
      <c r="A23" s="78" t="s">
        <v>13</v>
      </c>
      <c r="B23" s="65" t="s">
        <v>172</v>
      </c>
      <c r="C23" s="243">
        <f>VLOOKUP($B$23,'SAP-PSE'!$A$4:$B$300,2,0)</f>
        <v>-9755943</v>
      </c>
      <c r="D23" s="60">
        <f>+Adj!$Z$50</f>
        <v>0</v>
      </c>
      <c r="E23" s="60"/>
      <c r="F23" s="71"/>
      <c r="G23" s="226"/>
      <c r="H23" s="60"/>
      <c r="I23" s="60">
        <f>+SUM(C23:H23)</f>
        <v>-9755943</v>
      </c>
      <c r="J23" s="403"/>
      <c r="K23" s="403"/>
      <c r="L23" s="402"/>
      <c r="M23" s="93"/>
      <c r="N23" s="71">
        <f t="shared" si="2"/>
        <v>-9755943</v>
      </c>
      <c r="P23" s="93"/>
      <c r="R23" s="71">
        <f t="shared" si="3"/>
        <v>-9755943</v>
      </c>
      <c r="S23" s="89"/>
    </row>
    <row r="24" spans="1:19" ht="20.25" hidden="1" x14ac:dyDescent="0.3">
      <c r="A24" s="78" t="s">
        <v>14</v>
      </c>
      <c r="B24" s="65" t="s">
        <v>173</v>
      </c>
      <c r="C24" s="243">
        <f>IF(ISNA(VLOOKUP($B$24,'SAP-PSE'!$A$4:$B$300,2,0)),0,VLOOKUP($B$24,'SAP-PSE'!$A$4:$B$300,2,0))</f>
        <v>0</v>
      </c>
      <c r="D24" s="60"/>
      <c r="E24" s="60"/>
      <c r="F24" s="60"/>
      <c r="G24" s="226"/>
      <c r="H24" s="60"/>
      <c r="I24" s="60">
        <f>+SUM(C24:H24)</f>
        <v>0</v>
      </c>
      <c r="J24" s="403"/>
      <c r="K24" s="403"/>
      <c r="L24" s="402"/>
      <c r="M24" s="93"/>
      <c r="N24" s="71">
        <f t="shared" si="2"/>
        <v>0</v>
      </c>
      <c r="P24" s="93"/>
      <c r="R24" s="71">
        <f t="shared" si="3"/>
        <v>0</v>
      </c>
      <c r="S24" s="89"/>
    </row>
    <row r="25" spans="1:19" ht="20.25" x14ac:dyDescent="0.3">
      <c r="A25" s="78" t="s">
        <v>15</v>
      </c>
      <c r="B25" s="65" t="s">
        <v>246</v>
      </c>
      <c r="C25" s="243">
        <f>VLOOKUP($B$25,'SAP-PSE'!$A$4:$B$300,2,0)</f>
        <v>217273664</v>
      </c>
      <c r="D25" s="60">
        <f>+Adj!$Z$51</f>
        <v>0</v>
      </c>
      <c r="E25" s="60"/>
      <c r="F25" s="60"/>
      <c r="G25" s="226"/>
      <c r="H25" s="60"/>
      <c r="I25" s="60">
        <f>+SUM(C25:H25)</f>
        <v>217273664</v>
      </c>
      <c r="J25" s="403"/>
      <c r="K25" s="403"/>
      <c r="L25" s="402"/>
      <c r="M25" s="93"/>
      <c r="N25" s="71">
        <f t="shared" si="2"/>
        <v>217273664</v>
      </c>
      <c r="P25" s="93"/>
      <c r="R25" s="71">
        <f t="shared" si="3"/>
        <v>217273664</v>
      </c>
      <c r="S25" s="89"/>
    </row>
    <row r="26" spans="1:19" ht="20.25" x14ac:dyDescent="0.3">
      <c r="A26" s="78" t="s">
        <v>153</v>
      </c>
      <c r="B26" s="65" t="s">
        <v>247</v>
      </c>
      <c r="C26" s="243">
        <f>VLOOKUP($B$26,'SAP-PSE'!$A$4:$B$300,2,0)</f>
        <v>-12589440</v>
      </c>
      <c r="D26" s="60">
        <f>+Adj!$Z$56</f>
        <v>12589440</v>
      </c>
      <c r="E26" s="60"/>
      <c r="F26" s="60"/>
      <c r="G26" s="226"/>
      <c r="H26" s="60"/>
      <c r="I26" s="60">
        <f>+SUM(C26:H26)</f>
        <v>0</v>
      </c>
      <c r="J26" s="403"/>
      <c r="K26" s="403"/>
      <c r="L26" s="402"/>
      <c r="M26" s="93"/>
      <c r="N26" s="71">
        <f t="shared" si="2"/>
        <v>0</v>
      </c>
      <c r="P26" s="93"/>
      <c r="R26" s="71">
        <f t="shared" si="3"/>
        <v>0</v>
      </c>
      <c r="S26" s="89"/>
    </row>
    <row r="27" spans="1:19" ht="20.25" x14ac:dyDescent="0.3">
      <c r="A27" s="78" t="s">
        <v>16</v>
      </c>
      <c r="B27" s="65" t="s">
        <v>175</v>
      </c>
      <c r="C27" s="243">
        <f>VLOOKUP($B$27,'SAP-PSE'!$A$4:$B$300,2,0)</f>
        <v>78244398</v>
      </c>
      <c r="D27" s="60"/>
      <c r="E27" s="60"/>
      <c r="F27" s="60"/>
      <c r="G27" s="226"/>
      <c r="H27" s="60"/>
      <c r="I27" s="60">
        <f>+SUM(C27:H27)</f>
        <v>78244398</v>
      </c>
      <c r="J27" s="61" t="s">
        <v>175</v>
      </c>
      <c r="K27" s="61"/>
      <c r="L27" s="402"/>
      <c r="M27" s="93"/>
      <c r="N27" s="71">
        <f t="shared" si="2"/>
        <v>78244398</v>
      </c>
      <c r="P27" s="93"/>
      <c r="R27" s="71">
        <f t="shared" si="3"/>
        <v>78244398</v>
      </c>
      <c r="S27" s="89"/>
    </row>
    <row r="28" spans="1:19" ht="20.25" x14ac:dyDescent="0.3">
      <c r="A28" s="78" t="s">
        <v>17</v>
      </c>
      <c r="B28" s="65" t="s">
        <v>176</v>
      </c>
      <c r="C28" s="243">
        <f>VLOOKUP($B$28,'SAP-PSE'!$A$4:$B$300,2,0)</f>
        <v>57323690</v>
      </c>
      <c r="D28" s="60"/>
      <c r="E28" s="60"/>
      <c r="F28" s="60"/>
      <c r="G28" s="226"/>
      <c r="H28" s="60"/>
      <c r="I28" s="60">
        <f>+SUM(C28:H28)</f>
        <v>57323690</v>
      </c>
      <c r="J28" s="61" t="s">
        <v>176</v>
      </c>
      <c r="K28" s="61"/>
      <c r="L28" s="402">
        <f>VLOOKUP(J28,'SAP-PE'!$A$7:$B$230,2,0)</f>
        <v>1334172</v>
      </c>
      <c r="M28" s="93"/>
      <c r="N28" s="71">
        <f t="shared" si="2"/>
        <v>57323690</v>
      </c>
      <c r="P28" s="93"/>
      <c r="R28" s="71">
        <f t="shared" si="3"/>
        <v>58657862</v>
      </c>
      <c r="S28" s="89"/>
    </row>
    <row r="29" spans="1:19" ht="20.25" x14ac:dyDescent="0.3">
      <c r="A29" s="78" t="s">
        <v>18</v>
      </c>
      <c r="B29" s="65" t="s">
        <v>248</v>
      </c>
      <c r="C29" s="243">
        <f>VLOOKUP($B$29,'SAP-PSE'!$A$4:$B$300,2,0)</f>
        <v>24418315</v>
      </c>
      <c r="D29" s="60">
        <f>+Adj!$Z$52</f>
        <v>0</v>
      </c>
      <c r="E29" s="60"/>
      <c r="F29" s="60"/>
      <c r="G29" s="226"/>
      <c r="H29" s="60"/>
      <c r="I29" s="60">
        <f>+SUM(C29:H29)</f>
        <v>24418315</v>
      </c>
      <c r="J29" s="93" t="s">
        <v>248</v>
      </c>
      <c r="K29" s="93"/>
      <c r="L29" s="402">
        <f>VLOOKUP(J29,'SAP-PE'!$A$7:$B$230,2,0)</f>
        <v>0</v>
      </c>
      <c r="M29" s="93"/>
      <c r="N29" s="71">
        <f>$I29</f>
        <v>24418315</v>
      </c>
      <c r="P29" s="93"/>
      <c r="R29" s="71">
        <f t="shared" si="3"/>
        <v>24418315</v>
      </c>
      <c r="S29" s="89"/>
    </row>
    <row r="30" spans="1:19" ht="20.25" x14ac:dyDescent="0.3">
      <c r="A30" s="78" t="s">
        <v>425</v>
      </c>
      <c r="B30" s="65" t="s">
        <v>272</v>
      </c>
      <c r="C30" s="243">
        <f>IF(ISNA(VLOOKUP($B$30,'SAP-PSE'!$A$4:$B$300,2,0)),0,VLOOKUP($B$30,'SAP-PSE'!$A$4:$B$300,2,0))</f>
        <v>0</v>
      </c>
      <c r="D30" s="60">
        <f>+Adj!$Z$53</f>
        <v>292577</v>
      </c>
      <c r="E30" s="60"/>
      <c r="F30" s="60"/>
      <c r="G30" s="226"/>
      <c r="H30" s="60"/>
      <c r="I30" s="60">
        <f>+SUM(C30:H30)</f>
        <v>292577</v>
      </c>
      <c r="J30" s="403"/>
      <c r="K30" s="403"/>
      <c r="L30" s="402"/>
      <c r="M30" s="417">
        <f>+M76</f>
        <v>0</v>
      </c>
      <c r="N30" s="71">
        <f t="shared" si="2"/>
        <v>292577</v>
      </c>
      <c r="P30" s="93"/>
      <c r="R30" s="71">
        <f t="shared" si="3"/>
        <v>292577</v>
      </c>
      <c r="S30" s="89"/>
    </row>
    <row r="31" spans="1:19" ht="20.25" x14ac:dyDescent="0.3">
      <c r="A31" s="78" t="s">
        <v>19</v>
      </c>
      <c r="B31" s="65" t="s">
        <v>66</v>
      </c>
      <c r="C31" s="334">
        <f>VLOOKUP($B$31,'SAP-PSE'!$A$4:$B$300,2,0)-1</f>
        <v>16778724</v>
      </c>
      <c r="D31" s="71"/>
      <c r="E31" s="71"/>
      <c r="F31" s="71"/>
      <c r="G31" s="226">
        <f>PWI!E39</f>
        <v>48199</v>
      </c>
      <c r="H31" s="60"/>
      <c r="I31" s="60">
        <f>+SUM(C31:H31)</f>
        <v>16826923</v>
      </c>
      <c r="J31" s="93" t="s">
        <v>66</v>
      </c>
      <c r="K31" s="93"/>
      <c r="L31" s="402"/>
      <c r="M31" s="93"/>
      <c r="N31" s="71">
        <f t="shared" si="2"/>
        <v>16826923</v>
      </c>
      <c r="P31" s="93"/>
      <c r="R31" s="71">
        <f t="shared" si="3"/>
        <v>16826923</v>
      </c>
      <c r="S31" s="89"/>
    </row>
    <row r="32" spans="1:19" ht="20.25" x14ac:dyDescent="0.3">
      <c r="A32" s="78" t="s">
        <v>625</v>
      </c>
      <c r="B32" s="65"/>
      <c r="C32" s="334"/>
      <c r="D32" s="71"/>
      <c r="E32" s="71"/>
      <c r="F32" s="71"/>
      <c r="G32" s="226"/>
      <c r="H32" s="60"/>
      <c r="I32" s="60">
        <f>+SUM(C32:H32)</f>
        <v>0</v>
      </c>
      <c r="J32" s="93" t="s">
        <v>602</v>
      </c>
      <c r="K32" s="93"/>
      <c r="L32" s="402">
        <f>VLOOKUP(J32,'SAP-PE'!$A$7:$B$230,2,0)</f>
        <v>37030729</v>
      </c>
      <c r="M32" s="93"/>
      <c r="N32" s="71">
        <f t="shared" si="2"/>
        <v>0</v>
      </c>
      <c r="P32" s="93"/>
      <c r="R32" s="71">
        <f t="shared" si="3"/>
        <v>37030729</v>
      </c>
      <c r="S32" s="89"/>
    </row>
    <row r="33" spans="1:19" ht="20.25" x14ac:dyDescent="0.3">
      <c r="A33" s="78" t="s">
        <v>20</v>
      </c>
      <c r="B33" s="65" t="s">
        <v>179</v>
      </c>
      <c r="C33" s="243">
        <f>IF(ISNA(VLOOKUP($B$33,'SAP-PSE'!$A$4:$B$300,2,0)),0,VLOOKUP($B$33,'SAP-PSE'!$A$4:$B$300,2,0))</f>
        <v>0</v>
      </c>
      <c r="D33" s="60"/>
      <c r="E33" s="60"/>
      <c r="F33" s="60"/>
      <c r="G33" s="226"/>
      <c r="H33" s="60"/>
      <c r="I33" s="60">
        <f>+SUM(C33:H33)</f>
        <v>0</v>
      </c>
      <c r="J33" s="403"/>
      <c r="K33" s="403"/>
      <c r="L33" s="402"/>
      <c r="M33" s="93"/>
      <c r="N33" s="71">
        <f t="shared" si="2"/>
        <v>0</v>
      </c>
      <c r="P33" s="93"/>
      <c r="R33" s="71">
        <f t="shared" si="3"/>
        <v>0</v>
      </c>
      <c r="S33" s="89"/>
    </row>
    <row r="34" spans="1:19" s="19" customFormat="1" ht="20.25" x14ac:dyDescent="0.3">
      <c r="A34" s="84" t="s">
        <v>22</v>
      </c>
      <c r="B34" s="72"/>
      <c r="C34" s="244">
        <f>SUM(C20:C27)+C28+C29+C30+C31+C33</f>
        <v>740402229</v>
      </c>
      <c r="D34" s="244">
        <f>SUM(D20:D27)+D28+D29+D30+D31+D33</f>
        <v>12882017</v>
      </c>
      <c r="E34" s="70"/>
      <c r="F34" s="100">
        <f>SUM(F20:F27)+F28+F29+F30+F31+F33</f>
        <v>12716458</v>
      </c>
      <c r="G34" s="228">
        <f>SUM(G20:G33)</f>
        <v>2541660</v>
      </c>
      <c r="H34" s="73">
        <f>SUM(H20:H33)</f>
        <v>0</v>
      </c>
      <c r="I34" s="73">
        <f>SUM(I20:I33)</f>
        <v>768542364</v>
      </c>
      <c r="J34" s="404" t="s">
        <v>90</v>
      </c>
      <c r="K34" s="405"/>
      <c r="L34" s="408">
        <f t="shared" ref="L34:R34" si="4">SUM(L20:L33)</f>
        <v>39207038</v>
      </c>
      <c r="M34" s="414">
        <f t="shared" si="4"/>
        <v>0</v>
      </c>
      <c r="N34" s="415">
        <f t="shared" si="4"/>
        <v>768542364</v>
      </c>
      <c r="O34" s="415">
        <f t="shared" si="4"/>
        <v>0</v>
      </c>
      <c r="P34" s="415">
        <f t="shared" si="4"/>
        <v>-170680</v>
      </c>
      <c r="Q34" s="415">
        <f t="shared" si="4"/>
        <v>0</v>
      </c>
      <c r="R34" s="415">
        <f t="shared" si="4"/>
        <v>807578722</v>
      </c>
      <c r="S34" s="98"/>
    </row>
    <row r="35" spans="1:19" ht="20.25" x14ac:dyDescent="0.3">
      <c r="A35" s="86" t="s">
        <v>23</v>
      </c>
      <c r="B35" s="65"/>
      <c r="C35" s="240"/>
      <c r="D35" s="60"/>
      <c r="E35" s="60"/>
      <c r="F35" s="60"/>
      <c r="G35" s="226"/>
      <c r="H35" s="60"/>
      <c r="I35" s="60"/>
      <c r="J35" s="403"/>
      <c r="K35" s="403"/>
      <c r="L35" s="93"/>
      <c r="M35" s="93"/>
      <c r="N35" s="93"/>
      <c r="P35" s="93"/>
      <c r="R35" s="89"/>
      <c r="S35" s="89"/>
    </row>
    <row r="36" spans="1:19" ht="20.25" x14ac:dyDescent="0.3">
      <c r="A36" s="86" t="s">
        <v>24</v>
      </c>
      <c r="B36" s="65"/>
      <c r="C36" s="240"/>
      <c r="D36" s="60"/>
      <c r="E36" s="60"/>
      <c r="F36" s="60"/>
      <c r="G36" s="226"/>
      <c r="H36" s="60"/>
      <c r="I36" s="60"/>
      <c r="J36" s="61"/>
      <c r="K36" s="61"/>
      <c r="L36" s="93"/>
      <c r="M36" s="93"/>
      <c r="N36" s="93"/>
      <c r="P36" s="93"/>
      <c r="R36" s="89"/>
      <c r="S36" s="89"/>
    </row>
    <row r="37" spans="1:19" ht="20.25" x14ac:dyDescent="0.3">
      <c r="A37" s="78" t="s">
        <v>631</v>
      </c>
      <c r="B37" s="65"/>
      <c r="C37" s="240"/>
      <c r="D37" s="60"/>
      <c r="E37" s="60"/>
      <c r="F37" s="60"/>
      <c r="G37" s="226"/>
      <c r="H37" s="60"/>
      <c r="I37" s="60"/>
      <c r="J37" s="61"/>
      <c r="K37" s="61"/>
      <c r="L37" s="93"/>
      <c r="M37" s="416">
        <f>-L37</f>
        <v>0</v>
      </c>
      <c r="N37" s="71">
        <f t="shared" ref="N37:N53" si="5">$I37</f>
        <v>0</v>
      </c>
      <c r="P37" s="93"/>
      <c r="R37" s="71">
        <f>L37+M37+N37+P37</f>
        <v>0</v>
      </c>
      <c r="S37" s="89"/>
    </row>
    <row r="38" spans="1:19" ht="20.25" x14ac:dyDescent="0.3">
      <c r="A38" s="78" t="s">
        <v>25</v>
      </c>
      <c r="B38" s="65" t="s">
        <v>251</v>
      </c>
      <c r="C38" s="240">
        <f>VLOOKUP($B$38,'SAP-PSE'!$A$4:$B$300,2,0)</f>
        <v>72693724</v>
      </c>
      <c r="D38" s="60"/>
      <c r="E38" s="60"/>
      <c r="F38" s="60"/>
      <c r="G38" s="226"/>
      <c r="H38" s="60"/>
      <c r="I38" s="60">
        <f>+SUM(C38:H38)</f>
        <v>72693724</v>
      </c>
      <c r="J38" s="93" t="s">
        <v>251</v>
      </c>
      <c r="K38" s="93"/>
      <c r="L38" s="402">
        <f>VLOOKUP(J38,'SAP-PE'!$A$7:$B$230,2,0)</f>
        <v>537402</v>
      </c>
      <c r="M38" s="93"/>
      <c r="N38" s="71">
        <f t="shared" si="5"/>
        <v>72693724</v>
      </c>
      <c r="P38" s="93"/>
      <c r="R38" s="71">
        <f t="shared" ref="R38:R53" si="6">L38+M38+N38+P38</f>
        <v>73231126</v>
      </c>
      <c r="S38" s="89"/>
    </row>
    <row r="39" spans="1:19" ht="20.25" x14ac:dyDescent="0.3">
      <c r="A39" s="78" t="s">
        <v>26</v>
      </c>
      <c r="B39" s="65" t="s">
        <v>252</v>
      </c>
      <c r="C39" s="240"/>
      <c r="D39" s="60"/>
      <c r="E39" s="60"/>
      <c r="F39" s="60"/>
      <c r="G39" s="226"/>
      <c r="H39" s="60"/>
      <c r="I39" s="60">
        <f>+SUM(C39:H39)</f>
        <v>0</v>
      </c>
      <c r="J39" s="403"/>
      <c r="K39" s="403"/>
      <c r="L39" s="402"/>
      <c r="M39" s="93"/>
      <c r="N39" s="71">
        <f t="shared" si="5"/>
        <v>0</v>
      </c>
      <c r="P39" s="93"/>
      <c r="R39" s="71">
        <f t="shared" si="6"/>
        <v>0</v>
      </c>
      <c r="S39" s="89"/>
    </row>
    <row r="40" spans="1:19" ht="20.25" x14ac:dyDescent="0.3">
      <c r="A40" s="78" t="s">
        <v>152</v>
      </c>
      <c r="B40" s="65" t="s">
        <v>55</v>
      </c>
      <c r="C40" s="240">
        <f>VLOOKUP($B$40,'SAP-PSE'!$A$4:$B$300,2,0)</f>
        <v>4748727</v>
      </c>
      <c r="D40" s="60">
        <f>+Adj!$Z$72</f>
        <v>0</v>
      </c>
      <c r="E40" s="60"/>
      <c r="F40" s="60"/>
      <c r="G40" s="226"/>
      <c r="H40" s="60"/>
      <c r="I40" s="60">
        <f>+SUM(C40:H40)</f>
        <v>4748727</v>
      </c>
      <c r="J40" s="403"/>
      <c r="K40" s="403"/>
      <c r="L40" s="402"/>
      <c r="M40" s="93"/>
      <c r="N40" s="71">
        <f t="shared" si="5"/>
        <v>4748727</v>
      </c>
      <c r="P40" s="93"/>
      <c r="R40" s="71">
        <f t="shared" si="6"/>
        <v>4748727</v>
      </c>
      <c r="S40" s="89"/>
    </row>
    <row r="41" spans="1:19" ht="20.25" outlineLevel="1" x14ac:dyDescent="0.3">
      <c r="A41" s="64" t="s">
        <v>213</v>
      </c>
      <c r="B41" s="65"/>
      <c r="C41" s="240"/>
      <c r="D41" s="60"/>
      <c r="E41" s="60"/>
      <c r="F41" s="60"/>
      <c r="G41" s="226"/>
      <c r="H41" s="60"/>
      <c r="I41" s="60">
        <f>+SUM(C41:H41)</f>
        <v>0</v>
      </c>
      <c r="J41" s="61"/>
      <c r="K41" s="61"/>
      <c r="L41" s="402"/>
      <c r="M41" s="93"/>
      <c r="N41" s="71">
        <f t="shared" si="5"/>
        <v>0</v>
      </c>
      <c r="P41" s="93"/>
      <c r="R41" s="71">
        <f t="shared" si="6"/>
        <v>0</v>
      </c>
      <c r="S41" s="89"/>
    </row>
    <row r="42" spans="1:19" ht="20.25" outlineLevel="1" x14ac:dyDescent="0.3">
      <c r="A42" s="64" t="s">
        <v>214</v>
      </c>
      <c r="B42" s="65"/>
      <c r="C42" s="240"/>
      <c r="D42" s="60"/>
      <c r="E42" s="60"/>
      <c r="F42" s="60"/>
      <c r="G42" s="226"/>
      <c r="H42" s="60"/>
      <c r="I42" s="60">
        <f>+SUM(C42:H42)</f>
        <v>0</v>
      </c>
      <c r="J42" s="61"/>
      <c r="K42" s="61"/>
      <c r="L42" s="402"/>
      <c r="M42" s="93"/>
      <c r="N42" s="71">
        <f t="shared" si="5"/>
        <v>0</v>
      </c>
      <c r="P42" s="93"/>
      <c r="R42" s="71">
        <f t="shared" si="6"/>
        <v>0</v>
      </c>
      <c r="S42" s="89"/>
    </row>
    <row r="43" spans="1:19" ht="20.25" outlineLevel="1" x14ac:dyDescent="0.3">
      <c r="A43" s="64" t="s">
        <v>215</v>
      </c>
      <c r="B43" s="65"/>
      <c r="C43" s="240"/>
      <c r="D43" s="60"/>
      <c r="E43" s="60"/>
      <c r="F43" s="60"/>
      <c r="G43" s="226"/>
      <c r="H43" s="60"/>
      <c r="I43" s="60">
        <f>+SUM(C43:H43)</f>
        <v>0</v>
      </c>
      <c r="J43" s="61"/>
      <c r="K43" s="61"/>
      <c r="L43" s="402"/>
      <c r="M43" s="93"/>
      <c r="N43" s="71">
        <f t="shared" si="5"/>
        <v>0</v>
      </c>
      <c r="P43" s="93"/>
      <c r="R43" s="71">
        <f t="shared" si="6"/>
        <v>0</v>
      </c>
      <c r="S43" s="89"/>
    </row>
    <row r="44" spans="1:19" ht="20.25" outlineLevel="1" x14ac:dyDescent="0.3">
      <c r="A44" s="64" t="s">
        <v>216</v>
      </c>
      <c r="B44" s="65"/>
      <c r="C44" s="240"/>
      <c r="D44" s="60"/>
      <c r="E44" s="60"/>
      <c r="F44" s="60"/>
      <c r="G44" s="226"/>
      <c r="H44" s="60"/>
      <c r="I44" s="60">
        <f>+SUM(C44:H44)</f>
        <v>0</v>
      </c>
      <c r="J44" s="61"/>
      <c r="K44" s="61"/>
      <c r="L44" s="402"/>
      <c r="M44" s="93"/>
      <c r="N44" s="71">
        <f t="shared" si="5"/>
        <v>0</v>
      </c>
      <c r="P44" s="93"/>
      <c r="R44" s="71">
        <f t="shared" si="6"/>
        <v>0</v>
      </c>
      <c r="S44" s="89"/>
    </row>
    <row r="45" spans="1:19" ht="20.25" outlineLevel="1" x14ac:dyDescent="0.3">
      <c r="A45" s="64" t="s">
        <v>218</v>
      </c>
      <c r="B45" s="65"/>
      <c r="C45" s="240"/>
      <c r="D45" s="60"/>
      <c r="E45" s="60"/>
      <c r="F45" s="60"/>
      <c r="G45" s="226"/>
      <c r="H45" s="60"/>
      <c r="I45" s="60">
        <f>+SUM(C45:H45)</f>
        <v>0</v>
      </c>
      <c r="J45" s="61"/>
      <c r="K45" s="61"/>
      <c r="L45" s="402"/>
      <c r="M45" s="93"/>
      <c r="N45" s="71">
        <f t="shared" si="5"/>
        <v>0</v>
      </c>
      <c r="P45" s="93"/>
      <c r="R45" s="71">
        <f t="shared" si="6"/>
        <v>0</v>
      </c>
      <c r="S45" s="89"/>
    </row>
    <row r="46" spans="1:19" ht="20.25" outlineLevel="1" x14ac:dyDescent="0.3">
      <c r="A46" s="64" t="s">
        <v>217</v>
      </c>
      <c r="B46" s="65"/>
      <c r="C46" s="240"/>
      <c r="D46" s="60"/>
      <c r="E46" s="60"/>
      <c r="F46" s="60"/>
      <c r="G46" s="226"/>
      <c r="H46" s="60"/>
      <c r="I46" s="60">
        <f>+SUM(C46:H46)</f>
        <v>0</v>
      </c>
      <c r="J46" s="61"/>
      <c r="K46" s="61"/>
      <c r="L46" s="402"/>
      <c r="M46" s="93"/>
      <c r="N46" s="71">
        <f t="shared" si="5"/>
        <v>0</v>
      </c>
      <c r="P46" s="93"/>
      <c r="R46" s="71">
        <f t="shared" si="6"/>
        <v>0</v>
      </c>
      <c r="S46" s="89"/>
    </row>
    <row r="47" spans="1:19" ht="20.25" outlineLevel="1" x14ac:dyDescent="0.3">
      <c r="A47" s="64" t="s">
        <v>626</v>
      </c>
      <c r="B47" s="65"/>
      <c r="C47" s="240"/>
      <c r="D47" s="60"/>
      <c r="E47" s="60"/>
      <c r="F47" s="60"/>
      <c r="G47" s="226"/>
      <c r="H47" s="60"/>
      <c r="I47" s="60">
        <f>+SUM(C47:H47)</f>
        <v>0</v>
      </c>
      <c r="J47" s="93" t="s">
        <v>603</v>
      </c>
      <c r="K47" s="93"/>
      <c r="L47" s="402">
        <f>VLOOKUP(J47,'SAP-PE'!$A$7:$B$230,2,0)</f>
        <v>26223385</v>
      </c>
      <c r="M47" s="93"/>
      <c r="N47" s="71">
        <f t="shared" si="5"/>
        <v>0</v>
      </c>
      <c r="P47" s="93"/>
      <c r="R47" s="71">
        <f t="shared" si="6"/>
        <v>26223385</v>
      </c>
      <c r="S47" s="89"/>
    </row>
    <row r="48" spans="1:19" ht="20.25" x14ac:dyDescent="0.3">
      <c r="A48" s="78" t="s">
        <v>27</v>
      </c>
      <c r="B48" s="65" t="s">
        <v>70</v>
      </c>
      <c r="C48" s="240">
        <f>VLOOKUP($B$48,'SAP-PSE'!$A$4:$B$300,2,0)</f>
        <v>894059091</v>
      </c>
      <c r="D48" s="60">
        <f>+Adj!$Z$58-(SUM(D41:D46))</f>
        <v>0</v>
      </c>
      <c r="E48" s="60"/>
      <c r="F48" s="71"/>
      <c r="G48" s="226"/>
      <c r="H48" s="60"/>
      <c r="I48" s="60">
        <f>+SUM(C48:H48)</f>
        <v>894059091</v>
      </c>
      <c r="J48" s="93" t="s">
        <v>70</v>
      </c>
      <c r="K48" s="93"/>
      <c r="L48" s="402">
        <f>VLOOKUP(J48,'SAP-PE'!$A$7:$B$230,2,0)</f>
        <v>12061</v>
      </c>
      <c r="M48" s="418">
        <f>-M47</f>
        <v>0</v>
      </c>
      <c r="N48" s="71">
        <f t="shared" si="5"/>
        <v>894059091</v>
      </c>
      <c r="P48" s="93"/>
      <c r="R48" s="71">
        <f t="shared" si="6"/>
        <v>894071152</v>
      </c>
      <c r="S48" s="89"/>
    </row>
    <row r="49" spans="1:19" ht="20.25" x14ac:dyDescent="0.3">
      <c r="A49" s="86" t="s">
        <v>28</v>
      </c>
      <c r="B49" s="65"/>
      <c r="C49" s="240"/>
      <c r="D49" s="60"/>
      <c r="E49" s="60"/>
      <c r="F49" s="60"/>
      <c r="G49" s="226"/>
      <c r="H49" s="60"/>
      <c r="I49" s="60">
        <f>+SUM(C49:H49)</f>
        <v>0</v>
      </c>
      <c r="J49" s="61"/>
      <c r="K49" s="61"/>
      <c r="L49" s="402"/>
      <c r="M49" s="93"/>
      <c r="N49" s="71">
        <f t="shared" si="5"/>
        <v>0</v>
      </c>
      <c r="P49" s="93"/>
      <c r="R49" s="71">
        <f t="shared" si="6"/>
        <v>0</v>
      </c>
      <c r="S49" s="89"/>
    </row>
    <row r="50" spans="1:19" ht="20.25" x14ac:dyDescent="0.3">
      <c r="A50" s="78" t="s">
        <v>54</v>
      </c>
      <c r="B50" s="65" t="s">
        <v>253</v>
      </c>
      <c r="C50" s="240">
        <f>VLOOKUP($B$50,'SAP-PSE'!$A$4:$B$300,2,0)</f>
        <v>5225474</v>
      </c>
      <c r="D50" s="60"/>
      <c r="E50" s="60"/>
      <c r="F50" s="60"/>
      <c r="G50" s="226"/>
      <c r="H50" s="60"/>
      <c r="I50" s="60">
        <f>+SUM(C50:H50)</f>
        <v>5225474</v>
      </c>
      <c r="J50" s="93" t="s">
        <v>253</v>
      </c>
      <c r="K50" s="93"/>
      <c r="L50" s="402">
        <f>VLOOKUP(J50,'SAP-PE'!$A$7:$B$230,2,0)</f>
        <v>0</v>
      </c>
      <c r="M50" s="93"/>
      <c r="N50" s="71">
        <f t="shared" si="5"/>
        <v>5225474</v>
      </c>
      <c r="P50" s="93"/>
      <c r="R50" s="71">
        <f t="shared" si="6"/>
        <v>5225474</v>
      </c>
      <c r="S50" s="89"/>
    </row>
    <row r="51" spans="1:19" ht="20.25" x14ac:dyDescent="0.3">
      <c r="A51" s="78" t="s">
        <v>625</v>
      </c>
      <c r="B51" s="65"/>
      <c r="C51" s="240"/>
      <c r="D51" s="60"/>
      <c r="E51" s="60"/>
      <c r="F51" s="60"/>
      <c r="G51" s="226"/>
      <c r="H51" s="60"/>
      <c r="I51" s="60"/>
      <c r="J51" s="61" t="s">
        <v>604</v>
      </c>
      <c r="K51" s="61"/>
      <c r="L51" s="402">
        <f>VLOOKUP(J51,'SAP-PE'!$A$7:$B$230,2,0)</f>
        <v>288757429</v>
      </c>
      <c r="M51" s="93"/>
      <c r="N51" s="71">
        <f t="shared" si="5"/>
        <v>0</v>
      </c>
      <c r="P51" s="93"/>
      <c r="R51" s="71">
        <f t="shared" si="6"/>
        <v>288757429</v>
      </c>
      <c r="S51" s="89"/>
    </row>
    <row r="52" spans="1:19" ht="20.25" x14ac:dyDescent="0.3">
      <c r="A52" s="64" t="s">
        <v>162</v>
      </c>
      <c r="B52" s="65"/>
      <c r="C52" s="240"/>
      <c r="D52" s="60"/>
      <c r="E52" s="60"/>
      <c r="F52" s="60"/>
      <c r="G52" s="226">
        <f>PWI!C43</f>
        <v>0</v>
      </c>
      <c r="H52" s="71">
        <f>-G52</f>
        <v>0</v>
      </c>
      <c r="I52" s="60">
        <f>+SUM(C52:H52)</f>
        <v>0</v>
      </c>
      <c r="J52" s="61"/>
      <c r="K52" s="61"/>
      <c r="L52" s="402"/>
      <c r="M52" s="93"/>
      <c r="N52" s="71">
        <f t="shared" si="5"/>
        <v>0</v>
      </c>
      <c r="P52" s="93"/>
      <c r="R52" s="71">
        <f t="shared" si="6"/>
        <v>0</v>
      </c>
      <c r="S52" s="89"/>
    </row>
    <row r="53" spans="1:19" ht="20.25" x14ac:dyDescent="0.3">
      <c r="A53" s="163" t="s">
        <v>29</v>
      </c>
      <c r="B53" s="164" t="s">
        <v>254</v>
      </c>
      <c r="C53" s="341">
        <f>VLOOKUP($B$53,'SAP-PSE'!$A$4:$B$300,2,0)</f>
        <v>88534275</v>
      </c>
      <c r="D53" s="166">
        <f>+Adj!$Z$59+Adj!$Z$60</f>
        <v>0</v>
      </c>
      <c r="E53" s="166"/>
      <c r="F53" s="166">
        <v>0</v>
      </c>
      <c r="G53" s="229"/>
      <c r="H53" s="165"/>
      <c r="I53" s="165">
        <f>+SUM(C53:H53)</f>
        <v>88534275</v>
      </c>
      <c r="J53" s="93" t="s">
        <v>254</v>
      </c>
      <c r="K53" s="93"/>
      <c r="L53" s="402">
        <f>VLOOKUP(J53,'SAP-PE'!$A$7:$B$230,2,0)</f>
        <v>8342693</v>
      </c>
      <c r="M53" s="418">
        <v>0</v>
      </c>
      <c r="N53" s="71">
        <f t="shared" si="5"/>
        <v>88534275</v>
      </c>
      <c r="P53" s="93"/>
      <c r="R53" s="71">
        <f t="shared" si="6"/>
        <v>96876968</v>
      </c>
      <c r="S53" s="89"/>
    </row>
    <row r="54" spans="1:19" s="19" customFormat="1" ht="20.25" x14ac:dyDescent="0.3">
      <c r="A54" s="86" t="s">
        <v>30</v>
      </c>
      <c r="B54" s="64"/>
      <c r="C54" s="245">
        <f>SUM(C38:C53)</f>
        <v>1065261291</v>
      </c>
      <c r="D54" s="101">
        <f>SUM(D38:D53)</f>
        <v>0</v>
      </c>
      <c r="E54" s="74"/>
      <c r="F54" s="101">
        <f>SUM(F38:F53)</f>
        <v>0</v>
      </c>
      <c r="G54" s="279">
        <f>SUM(G38:G53)</f>
        <v>0</v>
      </c>
      <c r="H54" s="280">
        <f>SUM(H38:H53)</f>
        <v>0</v>
      </c>
      <c r="I54" s="92">
        <f>SUM(I38:I53)</f>
        <v>1065261291</v>
      </c>
      <c r="J54" s="404" t="s">
        <v>90</v>
      </c>
      <c r="K54" s="405"/>
      <c r="L54" s="408">
        <f>SUM(L38:L53)</f>
        <v>323872970</v>
      </c>
      <c r="M54" s="414">
        <f t="shared" ref="M54:R54" si="7">SUM(M37:M53)</f>
        <v>0</v>
      </c>
      <c r="N54" s="415">
        <f t="shared" si="7"/>
        <v>1065261291</v>
      </c>
      <c r="O54" s="415">
        <f t="shared" si="7"/>
        <v>0</v>
      </c>
      <c r="P54" s="415">
        <f t="shared" si="7"/>
        <v>0</v>
      </c>
      <c r="Q54" s="415">
        <f t="shared" si="7"/>
        <v>0</v>
      </c>
      <c r="R54" s="415">
        <f t="shared" si="7"/>
        <v>1389134261</v>
      </c>
      <c r="S54" s="98"/>
    </row>
    <row r="55" spans="1:19" s="19" customFormat="1" ht="21" thickBot="1" x14ac:dyDescent="0.35">
      <c r="A55" s="75" t="s">
        <v>31</v>
      </c>
      <c r="B55" s="75"/>
      <c r="C55" s="246">
        <f>SUM(C12+C18+C34+C54)</f>
        <v>10802977774</v>
      </c>
      <c r="D55" s="87">
        <f>+D12+D18+D34+D54</f>
        <v>12882017</v>
      </c>
      <c r="E55" s="76">
        <f>SUM(E6:E54)</f>
        <v>0</v>
      </c>
      <c r="F55" s="87">
        <f>+F12+F18+F34+F54</f>
        <v>12716458</v>
      </c>
      <c r="G55" s="230">
        <f>SUM(G12+G18+G34+G54)</f>
        <v>30856381</v>
      </c>
      <c r="H55" s="77">
        <f>SUM(H12+H18+H34+H54)</f>
        <v>-29897629</v>
      </c>
      <c r="I55" s="77">
        <f>SUM(I12+I18+I34+I54)</f>
        <v>10829535001</v>
      </c>
      <c r="J55" s="409" t="s">
        <v>91</v>
      </c>
      <c r="K55" s="405"/>
      <c r="L55" s="246">
        <f t="shared" ref="L55:R55" si="8">SUM(L12+L18+L34+L54)</f>
        <v>5386246627</v>
      </c>
      <c r="M55" s="246">
        <f t="shared" si="8"/>
        <v>0</v>
      </c>
      <c r="N55" s="246">
        <f t="shared" si="8"/>
        <v>10829535001</v>
      </c>
      <c r="O55" s="246">
        <f t="shared" si="8"/>
        <v>0</v>
      </c>
      <c r="P55" s="246">
        <f t="shared" si="8"/>
        <v>-3363162214</v>
      </c>
      <c r="Q55" s="246">
        <f t="shared" si="8"/>
        <v>0</v>
      </c>
      <c r="R55" s="246">
        <f t="shared" si="8"/>
        <v>12852619414</v>
      </c>
      <c r="S55" s="98"/>
    </row>
    <row r="56" spans="1:19" ht="21" thickTop="1" x14ac:dyDescent="0.3">
      <c r="A56" s="64" t="s">
        <v>32</v>
      </c>
      <c r="B56" s="64"/>
      <c r="C56" s="243"/>
      <c r="D56" s="60"/>
      <c r="E56" s="60"/>
      <c r="F56" s="60"/>
      <c r="G56" s="226"/>
      <c r="H56" s="60"/>
      <c r="I56" s="60"/>
      <c r="J56" s="403"/>
      <c r="K56" s="403"/>
      <c r="L56" s="93"/>
      <c r="M56" s="93"/>
      <c r="N56" s="93"/>
      <c r="P56" s="93"/>
      <c r="R56" s="89"/>
      <c r="S56" s="89"/>
    </row>
    <row r="57" spans="1:19" ht="20.25" x14ac:dyDescent="0.3">
      <c r="A57" s="64" t="s">
        <v>33</v>
      </c>
      <c r="B57" s="64"/>
      <c r="C57" s="243"/>
      <c r="D57" s="60"/>
      <c r="E57" s="60"/>
      <c r="F57" s="60"/>
      <c r="G57" s="226"/>
      <c r="H57" s="60"/>
      <c r="I57" s="67"/>
      <c r="J57" s="403"/>
      <c r="K57" s="403"/>
      <c r="L57" s="93"/>
      <c r="M57" s="93"/>
      <c r="N57" s="93"/>
      <c r="P57" s="93"/>
      <c r="R57" s="89"/>
      <c r="S57" s="89"/>
    </row>
    <row r="58" spans="1:19" s="89" customFormat="1" ht="20.25" x14ac:dyDescent="0.3">
      <c r="A58" s="78" t="s">
        <v>34</v>
      </c>
      <c r="B58" s="65" t="s">
        <v>267</v>
      </c>
      <c r="C58" s="243">
        <f>VLOOKUP($B$58,'SAP-PSE'!$A$4:$B$300,2,0)</f>
        <v>3362991534</v>
      </c>
      <c r="D58" s="71"/>
      <c r="E58" s="71"/>
      <c r="F58" s="71"/>
      <c r="G58" s="226">
        <f>PWI!E53</f>
        <v>29897629</v>
      </c>
      <c r="H58" s="71">
        <f>-$G$58</f>
        <v>-29897629</v>
      </c>
      <c r="I58" s="71">
        <f>+SUM(C58:H58)</f>
        <v>3362991534</v>
      </c>
      <c r="J58" s="61" t="s">
        <v>267</v>
      </c>
      <c r="K58" s="61"/>
      <c r="L58" s="402">
        <f>VLOOKUP(J58,'SAP-PE'!$A$7:$B$230,2,0)</f>
        <v>3531225463</v>
      </c>
      <c r="M58" s="418">
        <v>0</v>
      </c>
      <c r="N58" s="71">
        <f>$I58</f>
        <v>3362991534</v>
      </c>
      <c r="P58" s="71">
        <f>-N58</f>
        <v>-3362991534</v>
      </c>
      <c r="R58" s="71">
        <f>L58+M58+N58+P58</f>
        <v>3531225463</v>
      </c>
    </row>
    <row r="59" spans="1:19" s="89" customFormat="1" ht="20.25" x14ac:dyDescent="0.3">
      <c r="A59" s="78" t="s">
        <v>35</v>
      </c>
      <c r="B59" s="65" t="s">
        <v>273</v>
      </c>
      <c r="C59" s="243">
        <f>IF(ISNA(VLOOKUP($B$59,'SAP-PSE'!$A$4:$B$300,2,0)),0,VLOOKUP($B$59,'SAP-PSE'!$A$4:$B$300,2,0))</f>
        <v>0</v>
      </c>
      <c r="D59" s="71"/>
      <c r="E59" s="71"/>
      <c r="F59" s="71"/>
      <c r="G59" s="226"/>
      <c r="H59" s="71"/>
      <c r="I59" s="71">
        <f>+SUM(C59:H59)</f>
        <v>0</v>
      </c>
      <c r="J59" s="410"/>
      <c r="K59" s="407"/>
      <c r="L59" s="402"/>
      <c r="M59" s="93"/>
      <c r="N59" s="71">
        <f>$I59</f>
        <v>0</v>
      </c>
      <c r="P59" s="93"/>
      <c r="R59" s="71">
        <f>L59+M59+N59+P59</f>
        <v>0</v>
      </c>
    </row>
    <row r="60" spans="1:19" s="89" customFormat="1" ht="20.25" x14ac:dyDescent="0.3">
      <c r="A60" s="124" t="s">
        <v>36</v>
      </c>
      <c r="B60" s="125" t="s">
        <v>90</v>
      </c>
      <c r="C60" s="247">
        <f>SUM(C58:C59)</f>
        <v>3362991534</v>
      </c>
      <c r="D60" s="100">
        <f>SUM(D58:D59)</f>
        <v>0</v>
      </c>
      <c r="E60" s="100">
        <f>SUM(E58:E59)</f>
        <v>0</v>
      </c>
      <c r="F60" s="100">
        <f>SUM(F58:F59)</f>
        <v>0</v>
      </c>
      <c r="G60" s="231">
        <f>SUM(G58:G59)</f>
        <v>29897629</v>
      </c>
      <c r="H60" s="100">
        <f>SUM(H58:H59)</f>
        <v>-29897629</v>
      </c>
      <c r="I60" s="100">
        <f>SUM(I58:I59)</f>
        <v>3362991534</v>
      </c>
      <c r="J60" s="411" t="s">
        <v>90</v>
      </c>
      <c r="K60" s="411"/>
      <c r="L60" s="408">
        <f t="shared" ref="L60:R60" si="9">SUM(L58:L59)</f>
        <v>3531225463</v>
      </c>
      <c r="M60" s="414">
        <f t="shared" si="9"/>
        <v>0</v>
      </c>
      <c r="N60" s="414">
        <f t="shared" si="9"/>
        <v>3362991534</v>
      </c>
      <c r="O60" s="415">
        <f t="shared" si="9"/>
        <v>0</v>
      </c>
      <c r="P60" s="415">
        <f t="shared" si="9"/>
        <v>-3362991534</v>
      </c>
      <c r="Q60" s="415">
        <f t="shared" si="9"/>
        <v>0</v>
      </c>
      <c r="R60" s="415">
        <f t="shared" si="9"/>
        <v>3531225463</v>
      </c>
    </row>
    <row r="61" spans="1:19" s="89" customFormat="1" ht="20.25" x14ac:dyDescent="0.3">
      <c r="A61" s="78" t="s">
        <v>37</v>
      </c>
      <c r="B61" s="65" t="s">
        <v>274</v>
      </c>
      <c r="C61" s="243"/>
      <c r="D61" s="71"/>
      <c r="E61" s="71"/>
      <c r="F61" s="71"/>
      <c r="G61" s="226"/>
      <c r="H61" s="71"/>
      <c r="I61" s="71">
        <f>+SUM(C61:H61)</f>
        <v>0</v>
      </c>
      <c r="J61" s="403"/>
      <c r="K61" s="403"/>
      <c r="L61" s="402"/>
      <c r="M61" s="93"/>
      <c r="N61" s="93"/>
      <c r="P61" s="93"/>
      <c r="R61" s="71">
        <f>L61+M61+N61+P61</f>
        <v>0</v>
      </c>
    </row>
    <row r="62" spans="1:19" s="89" customFormat="1" ht="20.25" x14ac:dyDescent="0.3">
      <c r="A62" s="94" t="s">
        <v>38</v>
      </c>
      <c r="B62" s="65" t="s">
        <v>275</v>
      </c>
      <c r="C62" s="243">
        <f>VLOOKUP($B$62,'SAP-PSE'!$A$4:$B$300,2,0)</f>
        <v>250000000</v>
      </c>
      <c r="D62" s="71"/>
      <c r="E62" s="71"/>
      <c r="F62" s="71"/>
      <c r="G62" s="226"/>
      <c r="H62" s="71"/>
      <c r="I62" s="71">
        <f>+SUM(C62:H62)</f>
        <v>250000000</v>
      </c>
      <c r="J62" s="403"/>
      <c r="K62" s="403"/>
      <c r="L62" s="402"/>
      <c r="M62" s="93"/>
      <c r="N62" s="71">
        <f>$I62</f>
        <v>250000000</v>
      </c>
      <c r="P62" s="93"/>
      <c r="R62" s="71">
        <f>L62+M62+N62+P62</f>
        <v>250000000</v>
      </c>
    </row>
    <row r="63" spans="1:19" s="89" customFormat="1" ht="20.25" x14ac:dyDescent="0.3">
      <c r="A63" s="94" t="s">
        <v>281</v>
      </c>
      <c r="B63" s="65" t="s">
        <v>276</v>
      </c>
      <c r="C63" s="243">
        <f>VLOOKUP($B$63,'SAP-PSE'!$A$4:$B$300,2,0)</f>
        <v>3523860000</v>
      </c>
      <c r="D63" s="71">
        <f>+Adj!$Z$63</f>
        <v>0</v>
      </c>
      <c r="E63" s="71"/>
      <c r="F63" s="71"/>
      <c r="G63" s="226">
        <f>PWI!E56</f>
        <v>2411777</v>
      </c>
      <c r="H63" s="71"/>
      <c r="I63" s="71">
        <f>+SUM(C63:H63)</f>
        <v>3526271777</v>
      </c>
      <c r="J63" s="93"/>
      <c r="K63" s="93"/>
      <c r="L63" s="402">
        <f>VLOOKUP($J$64,'SAP-PE'!$A$7:$B$230,2,0)</f>
        <v>1591497560</v>
      </c>
      <c r="M63" s="93"/>
      <c r="N63" s="71">
        <f>$I63</f>
        <v>3526271777</v>
      </c>
      <c r="P63" s="93"/>
      <c r="R63" s="71">
        <f>L63+M63+N63+P63</f>
        <v>5117769337</v>
      </c>
    </row>
    <row r="64" spans="1:19" s="89" customFormat="1" ht="20.25" x14ac:dyDescent="0.3">
      <c r="A64" s="94" t="s">
        <v>342</v>
      </c>
      <c r="B64" s="65" t="s">
        <v>277</v>
      </c>
      <c r="C64" s="243">
        <f>VLOOKUP($B$64,'SAP-PSE'!$A$4:$B$300,2,0)-1</f>
        <v>-1887065</v>
      </c>
      <c r="D64" s="71"/>
      <c r="E64" s="71"/>
      <c r="F64" s="71"/>
      <c r="G64" s="226"/>
      <c r="H64" s="71"/>
      <c r="I64" s="71">
        <f>+SUM(C64:H64)</f>
        <v>-1887065</v>
      </c>
      <c r="J64" s="402" t="s">
        <v>268</v>
      </c>
      <c r="K64" s="402"/>
      <c r="M64" s="93"/>
      <c r="N64" s="71">
        <f>$I64</f>
        <v>-1887065</v>
      </c>
      <c r="P64" s="93"/>
      <c r="R64" s="71">
        <f>L64+M64+N64+P64</f>
        <v>-1887065</v>
      </c>
    </row>
    <row r="65" spans="1:18" s="89" customFormat="1" ht="20.25" hidden="1" x14ac:dyDescent="0.3">
      <c r="A65" s="94" t="s">
        <v>344</v>
      </c>
      <c r="B65" s="178" t="s">
        <v>90</v>
      </c>
      <c r="C65" s="243">
        <f>SUM(C63:C64)</f>
        <v>3521972935</v>
      </c>
      <c r="D65" s="71">
        <f>SUM(D63:D64)</f>
        <v>0</v>
      </c>
      <c r="E65" s="71"/>
      <c r="F65" s="71"/>
      <c r="G65" s="226">
        <f>SUM(G63:G64)</f>
        <v>2411777</v>
      </c>
      <c r="H65" s="71"/>
      <c r="I65" s="71">
        <f>+SUM(C65:H65)</f>
        <v>3524384712</v>
      </c>
      <c r="J65" s="402"/>
      <c r="K65" s="402"/>
      <c r="L65" s="402" t="e">
        <f>VLOOKUP(J65,'SAP-PE'!$A$7:$B$230,2,0)</f>
        <v>#N/A</v>
      </c>
      <c r="M65" s="93"/>
      <c r="N65" s="93"/>
      <c r="P65" s="93"/>
    </row>
    <row r="66" spans="1:18" s="89" customFormat="1" ht="20.25" x14ac:dyDescent="0.3">
      <c r="A66" s="124" t="s">
        <v>345</v>
      </c>
      <c r="B66" s="125" t="s">
        <v>90</v>
      </c>
      <c r="C66" s="244">
        <f>SUM(C61:C64)</f>
        <v>3771972935</v>
      </c>
      <c r="D66" s="100">
        <f>SUM(D61:D64)</f>
        <v>0</v>
      </c>
      <c r="E66" s="100">
        <f>SUM(E61:E64)</f>
        <v>0</v>
      </c>
      <c r="F66" s="100">
        <f>SUM(F61:F64)</f>
        <v>0</v>
      </c>
      <c r="G66" s="231">
        <f>SUM(G61:G64)</f>
        <v>2411777</v>
      </c>
      <c r="H66" s="100">
        <f>SUM(H61:H64)</f>
        <v>0</v>
      </c>
      <c r="I66" s="100">
        <f>SUM(I61:I64)</f>
        <v>3774384712</v>
      </c>
      <c r="J66" s="402" t="s">
        <v>90</v>
      </c>
      <c r="K66" s="402"/>
      <c r="L66" s="408">
        <f t="shared" ref="L66:Q66" si="10">SUM(L63:L64)</f>
        <v>1591497560</v>
      </c>
      <c r="M66" s="414">
        <f t="shared" si="10"/>
        <v>0</v>
      </c>
      <c r="N66" s="415">
        <f t="shared" si="10"/>
        <v>3524384712</v>
      </c>
      <c r="O66" s="415">
        <f t="shared" si="10"/>
        <v>0</v>
      </c>
      <c r="P66" s="415">
        <f t="shared" si="10"/>
        <v>0</v>
      </c>
      <c r="Q66" s="415">
        <f t="shared" si="10"/>
        <v>0</v>
      </c>
      <c r="R66" s="415">
        <f>SUM(R63:R64)</f>
        <v>5115882272</v>
      </c>
    </row>
    <row r="67" spans="1:18" s="89" customFormat="1" ht="20.25" x14ac:dyDescent="0.3">
      <c r="A67" s="79" t="s">
        <v>39</v>
      </c>
      <c r="B67" s="79" t="s">
        <v>39</v>
      </c>
      <c r="C67" s="241">
        <f>SUM(C60+C66)</f>
        <v>7134964469</v>
      </c>
      <c r="D67" s="71">
        <f>D60+D66</f>
        <v>0</v>
      </c>
      <c r="E67" s="71"/>
      <c r="F67" s="71">
        <f>F60+F66</f>
        <v>0</v>
      </c>
      <c r="G67" s="226">
        <f>G60+G66</f>
        <v>32309406</v>
      </c>
      <c r="H67" s="71">
        <f>H60+H66</f>
        <v>-29897629</v>
      </c>
      <c r="I67" s="95">
        <f>SUM(I60+I66)</f>
        <v>7137376246</v>
      </c>
      <c r="J67" s="93"/>
      <c r="K67" s="93"/>
      <c r="L67" s="247">
        <f>SUM(L60+L66)</f>
        <v>5122723023</v>
      </c>
      <c r="M67" s="247">
        <f>SUM(M60+M66)</f>
        <v>0</v>
      </c>
      <c r="N67" s="247">
        <f>SUM(N60+N66+N62)</f>
        <v>7137376246</v>
      </c>
      <c r="O67" s="247">
        <f>SUM(O60+O66+O62)</f>
        <v>0</v>
      </c>
      <c r="P67" s="247">
        <f>SUM(P60+P66+P62)</f>
        <v>-3362991534</v>
      </c>
      <c r="Q67" s="247">
        <f>SUM(Q60+Q66+Q62)</f>
        <v>0</v>
      </c>
      <c r="R67" s="247">
        <f>SUM(R60+R66+R62)</f>
        <v>8897107735</v>
      </c>
    </row>
    <row r="68" spans="1:18" s="89" customFormat="1" ht="20.25" x14ac:dyDescent="0.3">
      <c r="A68" s="64" t="s">
        <v>40</v>
      </c>
      <c r="B68" s="65"/>
      <c r="C68" s="243"/>
      <c r="D68" s="71"/>
      <c r="E68" s="71"/>
      <c r="F68" s="71"/>
      <c r="G68" s="226"/>
      <c r="H68" s="71"/>
      <c r="I68" s="71"/>
      <c r="J68" s="93"/>
      <c r="K68" s="93"/>
      <c r="L68" s="402"/>
      <c r="M68" s="93"/>
      <c r="N68" s="93"/>
      <c r="P68" s="93"/>
      <c r="R68" s="71">
        <f t="shared" ref="R68:R82" si="11">L68+M68+N68+P68</f>
        <v>0</v>
      </c>
    </row>
    <row r="69" spans="1:18" s="89" customFormat="1" ht="20.25" x14ac:dyDescent="0.3">
      <c r="A69" s="78" t="s">
        <v>41</v>
      </c>
      <c r="B69" s="65" t="s">
        <v>75</v>
      </c>
      <c r="C69" s="243">
        <f>VLOOKUP($B$69,'SAP-PSE'!$A$4:$B$300,2,0)</f>
        <v>246548984</v>
      </c>
      <c r="D69" s="71">
        <f>+Adj!$Z$65</f>
        <v>0</v>
      </c>
      <c r="E69" s="71"/>
      <c r="F69" s="71">
        <f>+F22</f>
        <v>12716458</v>
      </c>
      <c r="G69" s="226">
        <f>PWI!E66</f>
        <v>87848</v>
      </c>
      <c r="H69" s="71"/>
      <c r="I69" s="71">
        <f>+SUM(C69:H69)</f>
        <v>259353290</v>
      </c>
      <c r="J69" s="61" t="s">
        <v>75</v>
      </c>
      <c r="K69" s="61"/>
      <c r="L69" s="402">
        <f>VLOOKUP(J69,'SAP-PE'!$A$7:$B$230,2,0)</f>
        <v>170680</v>
      </c>
      <c r="M69" s="418">
        <v>0</v>
      </c>
      <c r="N69" s="71">
        <f t="shared" ref="N69:N82" si="12">$I69</f>
        <v>259353290</v>
      </c>
      <c r="O69" s="419" t="s">
        <v>681</v>
      </c>
      <c r="P69" s="420">
        <v>-170680</v>
      </c>
      <c r="Q69" s="419"/>
      <c r="R69" s="71">
        <f t="shared" si="11"/>
        <v>259353290</v>
      </c>
    </row>
    <row r="70" spans="1:18" s="89" customFormat="1" ht="20.25" x14ac:dyDescent="0.3">
      <c r="A70" s="78" t="s">
        <v>42</v>
      </c>
      <c r="B70" s="65" t="s">
        <v>278</v>
      </c>
      <c r="C70" s="243">
        <f>IF(ISNA(VLOOKUP($B$70,'SAP-PSE'!$A$4:$B$300,2,0)),0,VLOOKUP($B$70,'SAP-PSE'!$A$4:$B$300,2,0))</f>
        <v>0</v>
      </c>
      <c r="D70" s="71"/>
      <c r="E70" s="71"/>
      <c r="F70" s="71"/>
      <c r="G70" s="226"/>
      <c r="H70" s="71"/>
      <c r="I70" s="71">
        <f>+SUM(C70:H70)</f>
        <v>0</v>
      </c>
      <c r="J70" s="403"/>
      <c r="K70" s="403"/>
      <c r="L70" s="402"/>
      <c r="M70" s="93"/>
      <c r="N70" s="71">
        <f t="shared" si="12"/>
        <v>0</v>
      </c>
      <c r="P70" s="93"/>
      <c r="R70" s="71">
        <f t="shared" si="11"/>
        <v>0</v>
      </c>
    </row>
    <row r="71" spans="1:18" s="89" customFormat="1" ht="20.25" x14ac:dyDescent="0.3">
      <c r="A71" s="78" t="s">
        <v>43</v>
      </c>
      <c r="B71" s="65" t="s">
        <v>257</v>
      </c>
      <c r="C71" s="243">
        <f>VLOOKUP($B$71,'SAP-PSE'!$A$4:$B$300,2,0)</f>
        <v>159004000</v>
      </c>
      <c r="D71" s="71"/>
      <c r="E71" s="71"/>
      <c r="F71" s="71"/>
      <c r="G71" s="226"/>
      <c r="H71" s="71"/>
      <c r="I71" s="71">
        <f>+SUM(C71:H71)</f>
        <v>159004000</v>
      </c>
      <c r="J71" s="403"/>
      <c r="K71" s="403"/>
      <c r="L71" s="402"/>
      <c r="M71" s="93"/>
      <c r="N71" s="71">
        <f t="shared" si="12"/>
        <v>159004000</v>
      </c>
      <c r="P71" s="93"/>
      <c r="R71" s="71">
        <f t="shared" si="11"/>
        <v>159004000</v>
      </c>
    </row>
    <row r="72" spans="1:18" s="89" customFormat="1" ht="20.25" x14ac:dyDescent="0.3">
      <c r="A72" s="78" t="s">
        <v>44</v>
      </c>
      <c r="B72" s="65" t="s">
        <v>258</v>
      </c>
      <c r="C72" s="243">
        <f>VLOOKUP($B$72,'SAP-PSE'!$A$4:$B$300,2,0)</f>
        <v>0</v>
      </c>
      <c r="D72" s="71"/>
      <c r="E72" s="71"/>
      <c r="F72" s="71"/>
      <c r="G72" s="226"/>
      <c r="H72" s="71"/>
      <c r="I72" s="71">
        <f>+SUM(C72:H72)</f>
        <v>0</v>
      </c>
      <c r="J72" s="403"/>
      <c r="K72" s="403"/>
      <c r="L72" s="402"/>
      <c r="M72" s="93"/>
      <c r="N72" s="71">
        <f t="shared" si="12"/>
        <v>0</v>
      </c>
      <c r="O72" s="419" t="s">
        <v>682</v>
      </c>
      <c r="P72" s="420">
        <v>0</v>
      </c>
      <c r="Q72" s="419"/>
      <c r="R72" s="71">
        <f t="shared" si="11"/>
        <v>0</v>
      </c>
    </row>
    <row r="73" spans="1:18" s="89" customFormat="1" ht="20.25" x14ac:dyDescent="0.3">
      <c r="A73" s="78" t="s">
        <v>45</v>
      </c>
      <c r="B73" s="78" t="s">
        <v>45</v>
      </c>
      <c r="C73" s="243">
        <f>IF(ISNA(VLOOKUP($B$73,'SAP-PSE'!$A$4:$B$300,2,0)),0,VLOOKUP($B$73,'SAP-PSE'!$A$4:$B$300,2,0))</f>
        <v>0</v>
      </c>
      <c r="D73" s="71">
        <f>+Adj!$Z$64</f>
        <v>0</v>
      </c>
      <c r="E73" s="71"/>
      <c r="F73" s="71"/>
      <c r="G73" s="226"/>
      <c r="H73" s="71"/>
      <c r="I73" s="71">
        <f>+SUM(C73:H73)</f>
        <v>0</v>
      </c>
      <c r="J73" s="403"/>
      <c r="K73" s="403"/>
      <c r="L73" s="402"/>
      <c r="M73" s="93"/>
      <c r="N73" s="71">
        <f t="shared" si="12"/>
        <v>0</v>
      </c>
      <c r="P73" s="93"/>
      <c r="R73" s="71">
        <f t="shared" si="11"/>
        <v>0</v>
      </c>
    </row>
    <row r="74" spans="1:18" s="89" customFormat="1" ht="20.25" x14ac:dyDescent="0.3">
      <c r="A74" s="86" t="s">
        <v>46</v>
      </c>
      <c r="B74" s="65"/>
      <c r="C74" s="243"/>
      <c r="D74" s="71"/>
      <c r="E74" s="71"/>
      <c r="F74" s="71"/>
      <c r="G74" s="226"/>
      <c r="H74" s="71"/>
      <c r="I74" s="71">
        <f>+SUM(C74:H74)</f>
        <v>0</v>
      </c>
      <c r="J74" s="403"/>
      <c r="K74" s="403"/>
      <c r="L74" s="402"/>
      <c r="M74" s="93"/>
      <c r="N74" s="71">
        <f t="shared" si="12"/>
        <v>0</v>
      </c>
      <c r="P74" s="93"/>
      <c r="R74" s="71">
        <f t="shared" si="11"/>
        <v>0</v>
      </c>
    </row>
    <row r="75" spans="1:18" s="89" customFormat="1" ht="20.25" x14ac:dyDescent="0.3">
      <c r="A75" s="78" t="s">
        <v>47</v>
      </c>
      <c r="B75" s="78" t="s">
        <v>47</v>
      </c>
      <c r="C75" s="243">
        <f>IF(ISNA(VLOOKUP($B$75,'SAP-PSE'!$A$4:$B$300,2,0)),0,VLOOKUP($B$75,'SAP-PSE'!$A$4:$B$300,2,0))</f>
        <v>0</v>
      </c>
      <c r="D75" s="71">
        <f>+Adj!$Z$67</f>
        <v>12589440</v>
      </c>
      <c r="E75" s="71"/>
      <c r="F75" s="71"/>
      <c r="G75" s="226"/>
      <c r="H75" s="71"/>
      <c r="I75" s="71">
        <f>+SUM(C75:H75)</f>
        <v>12589440</v>
      </c>
      <c r="J75" s="403"/>
      <c r="K75" s="403"/>
      <c r="L75" s="402"/>
      <c r="M75" s="93"/>
      <c r="N75" s="71">
        <f t="shared" si="12"/>
        <v>12589440</v>
      </c>
      <c r="P75" s="93"/>
      <c r="R75" s="71">
        <f t="shared" si="11"/>
        <v>12589440</v>
      </c>
    </row>
    <row r="76" spans="1:18" s="89" customFormat="1" ht="20.25" x14ac:dyDescent="0.3">
      <c r="A76" s="78" t="s">
        <v>48</v>
      </c>
      <c r="B76" s="65" t="s">
        <v>76</v>
      </c>
      <c r="C76" s="243">
        <f>VLOOKUP($B$76,'SAP-PSE'!$A$4:$B$300,2,0)</f>
        <v>114561816</v>
      </c>
      <c r="D76" s="71">
        <f>+Adj!$Z$66</f>
        <v>292577</v>
      </c>
      <c r="E76" s="71"/>
      <c r="F76" s="71"/>
      <c r="G76" s="226">
        <f>PWI!C68</f>
        <v>0</v>
      </c>
      <c r="H76" s="71"/>
      <c r="I76" s="71">
        <f>+SUM(C76:H76)</f>
        <v>114854393</v>
      </c>
      <c r="J76" s="61" t="s">
        <v>76</v>
      </c>
      <c r="K76" s="61"/>
      <c r="L76" s="402"/>
      <c r="M76" s="418">
        <f>-L76</f>
        <v>0</v>
      </c>
      <c r="N76" s="71">
        <f t="shared" si="12"/>
        <v>114854393</v>
      </c>
      <c r="P76" s="93"/>
      <c r="R76" s="71">
        <f t="shared" si="11"/>
        <v>114854393</v>
      </c>
    </row>
    <row r="77" spans="1:18" s="89" customFormat="1" ht="20.25" x14ac:dyDescent="0.3">
      <c r="A77" s="78" t="s">
        <v>49</v>
      </c>
      <c r="B77" s="65" t="s">
        <v>259</v>
      </c>
      <c r="C77" s="243">
        <f>VLOOKUP($B$77,'SAP-PSE'!$A$4:$B$300,2,0)</f>
        <v>38457319</v>
      </c>
      <c r="D77" s="71"/>
      <c r="E77" s="71"/>
      <c r="F77" s="71"/>
      <c r="G77" s="226"/>
      <c r="H77" s="71"/>
      <c r="I77" s="71">
        <f>+SUM(C77:H77)</f>
        <v>38457319</v>
      </c>
      <c r="J77" s="403"/>
      <c r="K77" s="403"/>
      <c r="L77" s="402"/>
      <c r="M77" s="93"/>
      <c r="N77" s="71">
        <f t="shared" si="12"/>
        <v>38457319</v>
      </c>
      <c r="P77" s="93"/>
      <c r="R77" s="71">
        <f t="shared" si="11"/>
        <v>38457319</v>
      </c>
    </row>
    <row r="78" spans="1:18" s="89" customFormat="1" ht="20.25" x14ac:dyDescent="0.3">
      <c r="A78" s="78" t="s">
        <v>50</v>
      </c>
      <c r="B78" s="65" t="s">
        <v>260</v>
      </c>
      <c r="C78" s="243">
        <f>VLOOKUP($B$78,'SAP-PSE'!$A$4:$B$300,2,0)</f>
        <v>47771880</v>
      </c>
      <c r="D78" s="71"/>
      <c r="E78" s="71"/>
      <c r="F78" s="71"/>
      <c r="G78" s="226"/>
      <c r="H78" s="71"/>
      <c r="I78" s="71">
        <f>+SUM(C78:H78)</f>
        <v>47771880</v>
      </c>
      <c r="J78" s="61" t="s">
        <v>260</v>
      </c>
      <c r="K78" s="61"/>
      <c r="L78" s="402">
        <f>VLOOKUP(J78,'SAP-PE'!$A$7:$B$230,2,0)</f>
        <v>25606148</v>
      </c>
      <c r="M78" s="93"/>
      <c r="N78" s="71">
        <f t="shared" si="12"/>
        <v>47771880</v>
      </c>
      <c r="O78" s="419" t="s">
        <v>683</v>
      </c>
      <c r="P78" s="420">
        <v>0</v>
      </c>
      <c r="Q78" s="419"/>
      <c r="R78" s="71">
        <f t="shared" si="11"/>
        <v>73378028</v>
      </c>
    </row>
    <row r="79" spans="1:18" s="89" customFormat="1" ht="20.25" x14ac:dyDescent="0.3">
      <c r="A79" s="78" t="s">
        <v>18</v>
      </c>
      <c r="B79" s="65" t="s">
        <v>261</v>
      </c>
      <c r="C79" s="243">
        <f>VLOOKUP($B$79,'SAP-PSE'!$A$4:$B$300,2,0)</f>
        <v>131420314</v>
      </c>
      <c r="D79" s="71"/>
      <c r="E79" s="71"/>
      <c r="F79" s="71"/>
      <c r="G79" s="226"/>
      <c r="H79" s="71"/>
      <c r="I79" s="71">
        <f>+SUM(C79:H79)</f>
        <v>131420314</v>
      </c>
      <c r="J79" s="93" t="s">
        <v>261</v>
      </c>
      <c r="K79" s="93"/>
      <c r="L79" s="402">
        <f>VLOOKUP(J79,'SAP-PE'!$A$7:$B$230,2,0)</f>
        <v>4752920</v>
      </c>
      <c r="M79" s="93"/>
      <c r="N79" s="71">
        <f t="shared" si="12"/>
        <v>131420314</v>
      </c>
      <c r="P79" s="93"/>
      <c r="R79" s="71">
        <f t="shared" si="11"/>
        <v>136173234</v>
      </c>
    </row>
    <row r="80" spans="1:18" s="89" customFormat="1" ht="20.25" x14ac:dyDescent="0.3">
      <c r="A80" s="78" t="s">
        <v>21</v>
      </c>
      <c r="B80" s="65"/>
      <c r="C80" s="243">
        <f>IF(ISNA(VLOOKUP($B$80,'SAP-PSE'!$A$4:$B$300,2,0)),0,VLOOKUP($B$80,'SAP-PSE'!$A$4:$B$300,2,0))</f>
        <v>0</v>
      </c>
      <c r="D80" s="71">
        <f>+Adj!$Z$69</f>
        <v>0</v>
      </c>
      <c r="E80" s="71"/>
      <c r="F80" s="71"/>
      <c r="G80" s="226"/>
      <c r="H80" s="71"/>
      <c r="I80" s="71">
        <f>+SUM(C80:H80)</f>
        <v>0</v>
      </c>
      <c r="J80" s="403"/>
      <c r="K80" s="403"/>
      <c r="L80" s="402"/>
      <c r="M80" s="93"/>
      <c r="N80" s="71">
        <f t="shared" si="12"/>
        <v>0</v>
      </c>
      <c r="P80" s="93"/>
      <c r="R80" s="71">
        <f t="shared" si="11"/>
        <v>0</v>
      </c>
    </row>
    <row r="81" spans="1:19" s="89" customFormat="1" ht="20.25" x14ac:dyDescent="0.3">
      <c r="A81" s="78" t="s">
        <v>627</v>
      </c>
      <c r="B81" s="65"/>
      <c r="C81" s="243"/>
      <c r="D81" s="71"/>
      <c r="E81" s="71"/>
      <c r="F81" s="71"/>
      <c r="G81" s="226"/>
      <c r="H81" s="71"/>
      <c r="I81" s="71"/>
      <c r="J81" s="93" t="s">
        <v>617</v>
      </c>
      <c r="K81" s="93"/>
      <c r="L81" s="402">
        <f>VLOOKUP(J81,'SAP-PE'!$A$7:$B$230,2,0)</f>
        <v>3610813</v>
      </c>
      <c r="M81" s="93"/>
      <c r="N81" s="71">
        <f t="shared" si="12"/>
        <v>0</v>
      </c>
      <c r="P81" s="93"/>
      <c r="R81" s="71">
        <f t="shared" si="11"/>
        <v>3610813</v>
      </c>
    </row>
    <row r="82" spans="1:19" s="89" customFormat="1" ht="20.25" x14ac:dyDescent="0.3">
      <c r="A82" s="78" t="s">
        <v>155</v>
      </c>
      <c r="B82" s="65" t="s">
        <v>79</v>
      </c>
      <c r="C82" s="334">
        <f>VLOOKUP($B$82,'SAP-PSE'!$A$4:$B$300,2,0)</f>
        <v>51321035</v>
      </c>
      <c r="D82" s="71">
        <f>+Adj!$Z$70</f>
        <v>2545000</v>
      </c>
      <c r="E82" s="71"/>
      <c r="F82" s="71"/>
      <c r="G82" s="232"/>
      <c r="H82" s="71">
        <v>0</v>
      </c>
      <c r="I82" s="71">
        <f>+SUM(C82:H82)</f>
        <v>53866035</v>
      </c>
      <c r="J82" s="93"/>
      <c r="K82" s="93"/>
      <c r="L82" s="93"/>
      <c r="M82" s="418">
        <v>0</v>
      </c>
      <c r="N82" s="71">
        <f t="shared" si="12"/>
        <v>53866035</v>
      </c>
      <c r="P82" s="93"/>
      <c r="R82" s="71">
        <f t="shared" si="11"/>
        <v>53866035</v>
      </c>
    </row>
    <row r="83" spans="1:19" s="89" customFormat="1" ht="20.25" x14ac:dyDescent="0.3">
      <c r="A83" s="84" t="s">
        <v>51</v>
      </c>
      <c r="B83" s="125" t="s">
        <v>90</v>
      </c>
      <c r="C83" s="247">
        <f>SUM(C69:C82)</f>
        <v>789085348</v>
      </c>
      <c r="D83" s="126">
        <f>SUM(D69:D82)</f>
        <v>15427017</v>
      </c>
      <c r="E83" s="126">
        <f>SUM(E69:E82)</f>
        <v>0</v>
      </c>
      <c r="F83" s="126">
        <f>SUM(F69:F82)</f>
        <v>12716458</v>
      </c>
      <c r="G83" s="228">
        <f>SUM(G69:G82)</f>
        <v>87848</v>
      </c>
      <c r="H83" s="126">
        <f>SUM(H69:H82)</f>
        <v>0</v>
      </c>
      <c r="I83" s="126">
        <f>SUM(I69:I82)</f>
        <v>817316671</v>
      </c>
      <c r="J83" s="125" t="s">
        <v>90</v>
      </c>
      <c r="K83" s="61"/>
      <c r="L83" s="408">
        <f t="shared" ref="L83:Q83" si="13">SUM(L69:L82)</f>
        <v>34140561</v>
      </c>
      <c r="M83" s="414">
        <f t="shared" si="13"/>
        <v>0</v>
      </c>
      <c r="N83" s="415">
        <f t="shared" si="13"/>
        <v>817316671</v>
      </c>
      <c r="O83" s="415">
        <f t="shared" si="13"/>
        <v>0</v>
      </c>
      <c r="P83" s="415">
        <f t="shared" si="13"/>
        <v>-170680</v>
      </c>
      <c r="Q83" s="415">
        <f t="shared" si="13"/>
        <v>0</v>
      </c>
      <c r="R83" s="415">
        <f>SUM(R69:R82)</f>
        <v>851286552</v>
      </c>
    </row>
    <row r="84" spans="1:19" s="89" customFormat="1" ht="20.25" x14ac:dyDescent="0.3">
      <c r="A84" s="64" t="s">
        <v>52</v>
      </c>
      <c r="B84" s="65"/>
      <c r="C84" s="243"/>
      <c r="D84" s="71"/>
      <c r="E84" s="71"/>
      <c r="F84" s="71"/>
      <c r="G84" s="226"/>
      <c r="H84" s="71"/>
      <c r="I84" s="71"/>
      <c r="J84" s="61"/>
      <c r="K84" s="61"/>
      <c r="L84" s="93"/>
      <c r="M84" s="93"/>
      <c r="N84" s="93"/>
      <c r="P84" s="93"/>
    </row>
    <row r="85" spans="1:19" s="89" customFormat="1" ht="20.25" x14ac:dyDescent="0.3">
      <c r="A85" s="78" t="s">
        <v>53</v>
      </c>
      <c r="B85" s="65" t="s">
        <v>263</v>
      </c>
      <c r="C85" s="243">
        <f>VLOOKUP($B$85,'SAP-PSE'!$A$4:$B$300,2,0)</f>
        <v>1558157217</v>
      </c>
      <c r="D85" s="93"/>
      <c r="E85" s="93"/>
      <c r="F85" s="93"/>
      <c r="G85" s="226">
        <f>PWI!E90</f>
        <v>-1540873</v>
      </c>
      <c r="H85" s="71">
        <f>H52</f>
        <v>0</v>
      </c>
      <c r="I85" s="71">
        <f>+SUM(C85:H85)</f>
        <v>1556616344</v>
      </c>
      <c r="J85" s="61" t="s">
        <v>263</v>
      </c>
      <c r="K85" s="61"/>
      <c r="L85" s="402">
        <f>VLOOKUP(J85,'SAP-PE'!$A$7:$B$230,2,0)</f>
        <v>-120661066</v>
      </c>
      <c r="M85" s="418">
        <v>0</v>
      </c>
      <c r="N85" s="71">
        <f t="shared" ref="N85:N93" si="14">$I85</f>
        <v>1556616344</v>
      </c>
      <c r="P85" s="93"/>
      <c r="R85" s="71">
        <f t="shared" ref="R85:R93" si="15">L85+M85+N85+P85</f>
        <v>1435955278</v>
      </c>
    </row>
    <row r="86" spans="1:19" s="89" customFormat="1" ht="20.25" x14ac:dyDescent="0.3">
      <c r="A86" s="78" t="s">
        <v>54</v>
      </c>
      <c r="B86" s="65" t="s">
        <v>264</v>
      </c>
      <c r="C86" s="243">
        <f>VLOOKUP($B$86,'SAP-PSE'!$A$4:$B$300,2,0)</f>
        <v>47775659</v>
      </c>
      <c r="D86" s="71"/>
      <c r="E86" s="71"/>
      <c r="F86" s="71"/>
      <c r="G86" s="226"/>
      <c r="H86" s="71"/>
      <c r="I86" s="71">
        <f>+SUM(C86:H86)</f>
        <v>47775659</v>
      </c>
      <c r="J86" s="93" t="s">
        <v>264</v>
      </c>
      <c r="K86" s="93"/>
      <c r="L86" s="402">
        <f>VLOOKUP(J86,'SAP-PE'!$A$7:$B$230,2,0)</f>
        <v>297146</v>
      </c>
      <c r="M86" s="93"/>
      <c r="N86" s="71">
        <f t="shared" si="14"/>
        <v>47775659</v>
      </c>
      <c r="P86" s="93"/>
      <c r="R86" s="71">
        <f t="shared" si="15"/>
        <v>48072805</v>
      </c>
    </row>
    <row r="87" spans="1:19" s="89" customFormat="1" ht="20.25" x14ac:dyDescent="0.3">
      <c r="A87" s="79" t="s">
        <v>55</v>
      </c>
      <c r="B87" s="176"/>
      <c r="C87" s="243">
        <f>IF(ISNA(VLOOKUP($B$87,'SAP-PSE'!$A$4:$B$300,2,0)),0,VLOOKUP($B$87,'SAP-PSE'!$A$4:$B$300,2,0))</f>
        <v>0</v>
      </c>
      <c r="D87" s="71">
        <f>+Adj!$Z$72</f>
        <v>0</v>
      </c>
      <c r="E87" s="71"/>
      <c r="F87" s="71"/>
      <c r="G87" s="226"/>
      <c r="H87" s="71"/>
      <c r="I87" s="71">
        <f>+SUM(C87:H87)</f>
        <v>0</v>
      </c>
      <c r="J87" s="403"/>
      <c r="K87" s="403"/>
      <c r="L87" s="402"/>
      <c r="M87" s="93"/>
      <c r="N87" s="71">
        <f t="shared" si="14"/>
        <v>0</v>
      </c>
      <c r="P87" s="93"/>
      <c r="R87" s="71">
        <f t="shared" si="15"/>
        <v>0</v>
      </c>
    </row>
    <row r="88" spans="1:19" s="89" customFormat="1" ht="20.25" outlineLevel="1" x14ac:dyDescent="0.3">
      <c r="A88" s="167" t="s">
        <v>219</v>
      </c>
      <c r="B88" s="65"/>
      <c r="C88" s="248"/>
      <c r="D88" s="71"/>
      <c r="E88" s="71"/>
      <c r="F88" s="71"/>
      <c r="G88" s="226"/>
      <c r="H88" s="71"/>
      <c r="I88" s="71">
        <f>+SUM(C88:H88)</f>
        <v>0</v>
      </c>
      <c r="J88" s="93"/>
      <c r="K88" s="93"/>
      <c r="L88" s="402"/>
      <c r="M88" s="93"/>
      <c r="N88" s="71">
        <f t="shared" si="14"/>
        <v>0</v>
      </c>
      <c r="P88" s="93"/>
      <c r="R88" s="71">
        <f t="shared" si="15"/>
        <v>0</v>
      </c>
    </row>
    <row r="89" spans="1:19" s="89" customFormat="1" ht="20.25" outlineLevel="1" x14ac:dyDescent="0.3">
      <c r="A89" s="168" t="s">
        <v>220</v>
      </c>
      <c r="B89" s="65"/>
      <c r="C89" s="248"/>
      <c r="D89" s="71"/>
      <c r="E89" s="71"/>
      <c r="F89" s="71"/>
      <c r="G89" s="226"/>
      <c r="H89" s="71"/>
      <c r="I89" s="71">
        <f>+SUM(C89:H89)</f>
        <v>0</v>
      </c>
      <c r="J89" s="93"/>
      <c r="K89" s="93"/>
      <c r="L89" s="402"/>
      <c r="M89" s="93"/>
      <c r="N89" s="71">
        <f t="shared" si="14"/>
        <v>0</v>
      </c>
      <c r="P89" s="93"/>
      <c r="R89" s="71">
        <f t="shared" si="15"/>
        <v>0</v>
      </c>
    </row>
    <row r="90" spans="1:19" s="89" customFormat="1" ht="20.25" x14ac:dyDescent="0.3">
      <c r="A90" s="99" t="s">
        <v>219</v>
      </c>
      <c r="B90" s="79" t="s">
        <v>207</v>
      </c>
      <c r="C90" s="243">
        <f>VLOOKUP($B$90,'SAP-PSE'!$A$4:$B$300,2,0)</f>
        <v>651094424</v>
      </c>
      <c r="D90" s="71"/>
      <c r="E90" s="71"/>
      <c r="F90" s="71"/>
      <c r="G90" s="226"/>
      <c r="H90" s="71"/>
      <c r="I90" s="71">
        <f>+SUM(C90:H90)</f>
        <v>651094424</v>
      </c>
      <c r="J90" s="93" t="s">
        <v>207</v>
      </c>
      <c r="K90" s="93"/>
      <c r="L90" s="402">
        <f>VLOOKUP(J90,'SAP-PE'!$A$7:$B$230,2,0)</f>
        <v>1346233</v>
      </c>
      <c r="M90" s="93"/>
      <c r="N90" s="71">
        <f t="shared" si="14"/>
        <v>651094424</v>
      </c>
      <c r="P90" s="93"/>
      <c r="R90" s="71">
        <f t="shared" si="15"/>
        <v>652440657</v>
      </c>
    </row>
    <row r="91" spans="1:19" s="89" customFormat="1" ht="20.25" x14ac:dyDescent="0.3">
      <c r="A91" s="99" t="s">
        <v>628</v>
      </c>
      <c r="B91" s="79"/>
      <c r="C91" s="243"/>
      <c r="D91" s="71"/>
      <c r="E91" s="71"/>
      <c r="F91" s="71"/>
      <c r="G91" s="226"/>
      <c r="H91" s="71"/>
      <c r="I91" s="71"/>
      <c r="J91" s="93" t="s">
        <v>618</v>
      </c>
      <c r="K91" s="93"/>
      <c r="L91" s="402">
        <f>VLOOKUP(J91,'SAP-PE'!$A$7:$B$230,2,0)</f>
        <v>325788158</v>
      </c>
      <c r="M91" s="93"/>
      <c r="N91" s="71">
        <f t="shared" si="14"/>
        <v>0</v>
      </c>
      <c r="P91" s="93"/>
      <c r="R91" s="71">
        <f t="shared" si="15"/>
        <v>325788158</v>
      </c>
    </row>
    <row r="92" spans="1:19" s="89" customFormat="1" ht="20.25" x14ac:dyDescent="0.3">
      <c r="A92" s="99" t="s">
        <v>629</v>
      </c>
      <c r="B92" s="79"/>
      <c r="C92" s="243"/>
      <c r="D92" s="71"/>
      <c r="E92" s="71"/>
      <c r="F92" s="71"/>
      <c r="G92" s="226"/>
      <c r="H92" s="71"/>
      <c r="I92" s="71"/>
      <c r="J92" s="93" t="s">
        <v>619</v>
      </c>
      <c r="K92" s="93"/>
      <c r="L92" s="402">
        <f>VLOOKUP(J92,'SAP-PE'!$A$7:$B$230,2,0)</f>
        <v>22612572</v>
      </c>
      <c r="M92" s="93"/>
      <c r="N92" s="71">
        <f t="shared" si="14"/>
        <v>0</v>
      </c>
      <c r="P92" s="93"/>
      <c r="R92" s="71">
        <f t="shared" si="15"/>
        <v>22612572</v>
      </c>
    </row>
    <row r="93" spans="1:19" s="89" customFormat="1" ht="20.25" x14ac:dyDescent="0.3">
      <c r="A93" s="99" t="s">
        <v>56</v>
      </c>
      <c r="B93" s="79" t="s">
        <v>265</v>
      </c>
      <c r="C93" s="334">
        <f>VLOOKUP($B$93,'SAP-PSE'!$A$4:$B$300,2,0)</f>
        <v>621900657</v>
      </c>
      <c r="D93" s="71">
        <f>+Adj!Z74</f>
        <v>-2545000</v>
      </c>
      <c r="E93" s="71"/>
      <c r="F93" s="71">
        <f>F53</f>
        <v>0</v>
      </c>
      <c r="G93" s="226">
        <f>PWI!E79</f>
        <v>0</v>
      </c>
      <c r="H93" s="71"/>
      <c r="I93" s="71">
        <f>+SUM(C93:H93)</f>
        <v>619355657</v>
      </c>
      <c r="J93" s="93" t="s">
        <v>265</v>
      </c>
      <c r="K93" s="93"/>
      <c r="L93" s="402">
        <f>VLOOKUP(J93,'SAP-PE'!$A$7:$B$230,2,0)</f>
        <v>0</v>
      </c>
      <c r="M93" s="418">
        <v>0</v>
      </c>
      <c r="N93" s="71">
        <f t="shared" si="14"/>
        <v>619355657</v>
      </c>
      <c r="P93" s="93"/>
      <c r="R93" s="71">
        <f t="shared" si="15"/>
        <v>619355657</v>
      </c>
    </row>
    <row r="94" spans="1:19" s="98" customFormat="1" ht="20.25" x14ac:dyDescent="0.3">
      <c r="A94" s="96" t="s">
        <v>57</v>
      </c>
      <c r="B94" s="81"/>
      <c r="C94" s="249">
        <f>SUM(C84:C93)</f>
        <v>2878927957</v>
      </c>
      <c r="D94" s="97">
        <f>SUM(D84:D93)</f>
        <v>-2545000</v>
      </c>
      <c r="E94" s="97">
        <f>SUM(E84:E93)</f>
        <v>0</v>
      </c>
      <c r="F94" s="97">
        <f>SUM(F84:F93)</f>
        <v>0</v>
      </c>
      <c r="G94" s="233">
        <f>SUM(G84:G93)</f>
        <v>-1540873</v>
      </c>
      <c r="H94" s="97">
        <f>SUM(H84:H93)</f>
        <v>0</v>
      </c>
      <c r="I94" s="97">
        <f>SUM(I84:I93)</f>
        <v>2874842084</v>
      </c>
      <c r="J94" s="404" t="s">
        <v>90</v>
      </c>
      <c r="K94" s="405"/>
      <c r="L94" s="408">
        <f t="shared" ref="L94:R94" si="16">SUM(L85:L93)</f>
        <v>229383043</v>
      </c>
      <c r="M94" s="414">
        <f t="shared" si="16"/>
        <v>0</v>
      </c>
      <c r="N94" s="415">
        <f t="shared" si="16"/>
        <v>2874842084</v>
      </c>
      <c r="O94" s="415">
        <f t="shared" si="16"/>
        <v>0</v>
      </c>
      <c r="P94" s="415">
        <f t="shared" si="16"/>
        <v>0</v>
      </c>
      <c r="Q94" s="415">
        <f t="shared" si="16"/>
        <v>0</v>
      </c>
      <c r="R94" s="415">
        <f t="shared" si="16"/>
        <v>3104225127</v>
      </c>
    </row>
    <row r="95" spans="1:19" s="19" customFormat="1" ht="21" thickBot="1" x14ac:dyDescent="0.35">
      <c r="A95" s="75" t="s">
        <v>58</v>
      </c>
      <c r="B95" s="75"/>
      <c r="C95" s="246">
        <f>C67+C83+C94</f>
        <v>10802977774</v>
      </c>
      <c r="D95" s="76">
        <f>+D60+D66+D83+D94</f>
        <v>12882017</v>
      </c>
      <c r="E95" s="76">
        <f>SUM(E58:E93)</f>
        <v>0</v>
      </c>
      <c r="F95" s="76">
        <f>+F60+F66+F83+F94</f>
        <v>12716458</v>
      </c>
      <c r="G95" s="230">
        <f>G66+G83+G94+G60</f>
        <v>30856381</v>
      </c>
      <c r="H95" s="77">
        <f>H66+H83+H94+H60</f>
        <v>-29897629</v>
      </c>
      <c r="I95" s="77">
        <f>I66+I83+I94+I60</f>
        <v>10829535001</v>
      </c>
      <c r="J95" s="412" t="s">
        <v>623</v>
      </c>
      <c r="K95" s="407"/>
      <c r="L95" s="246">
        <f t="shared" ref="L95:R95" si="17">L67+L83+L94</f>
        <v>5386246627</v>
      </c>
      <c r="M95" s="246">
        <f t="shared" si="17"/>
        <v>0</v>
      </c>
      <c r="N95" s="246">
        <f t="shared" si="17"/>
        <v>10829535001</v>
      </c>
      <c r="O95" s="246">
        <f t="shared" si="17"/>
        <v>0</v>
      </c>
      <c r="P95" s="246">
        <f t="shared" si="17"/>
        <v>-3363162214</v>
      </c>
      <c r="Q95" s="246">
        <f t="shared" si="17"/>
        <v>0</v>
      </c>
      <c r="R95" s="246">
        <f t="shared" si="17"/>
        <v>12852619414</v>
      </c>
      <c r="S95" s="98"/>
    </row>
    <row r="96" spans="1:19" ht="21" thickTop="1" x14ac:dyDescent="0.3">
      <c r="A96" s="63"/>
      <c r="B96" s="64"/>
      <c r="C96" s="240">
        <f>C55-C95</f>
        <v>0</v>
      </c>
      <c r="D96" s="80">
        <f>D55-D95</f>
        <v>0</v>
      </c>
      <c r="E96" s="80">
        <f>E55-E95</f>
        <v>0</v>
      </c>
      <c r="F96" s="80">
        <f>F55-F95</f>
        <v>0</v>
      </c>
      <c r="G96" s="234">
        <f>G55-G95</f>
        <v>0</v>
      </c>
      <c r="H96" s="80">
        <f>H55-H95</f>
        <v>0</v>
      </c>
      <c r="I96" s="80">
        <f>I55-I95</f>
        <v>0</v>
      </c>
      <c r="J96" s="61"/>
      <c r="K96" s="61"/>
      <c r="L96" s="80">
        <f>L95-L55</f>
        <v>0</v>
      </c>
      <c r="O96" s="61"/>
      <c r="Q96" s="61"/>
    </row>
    <row r="97" spans="1:15" ht="20.25" hidden="1" x14ac:dyDescent="0.3">
      <c r="A97" s="161" t="s">
        <v>210</v>
      </c>
      <c r="B97" s="83"/>
      <c r="C97" s="240">
        <f>I63</f>
        <v>3526271777</v>
      </c>
      <c r="D97" s="61"/>
      <c r="E97" s="61"/>
      <c r="F97" s="61"/>
      <c r="G97" s="61"/>
      <c r="H97" s="61"/>
      <c r="I97" s="61"/>
      <c r="J97" s="61"/>
      <c r="K97" s="197" t="s">
        <v>595</v>
      </c>
      <c r="L97" s="60">
        <f>R63</f>
        <v>5117769337</v>
      </c>
    </row>
    <row r="98" spans="1:15" ht="20.25" hidden="1" x14ac:dyDescent="0.3">
      <c r="A98" s="82" t="s">
        <v>212</v>
      </c>
      <c r="B98" s="83"/>
      <c r="C98" s="240">
        <f>I64</f>
        <v>-1887065</v>
      </c>
      <c r="D98" s="61"/>
      <c r="E98" s="61"/>
      <c r="F98" s="61"/>
      <c r="G98" s="61"/>
      <c r="H98" s="61"/>
      <c r="I98" s="61"/>
      <c r="J98" s="61"/>
      <c r="K98" s="391" t="s">
        <v>691</v>
      </c>
      <c r="L98" s="165">
        <f>R64</f>
        <v>-1887065</v>
      </c>
    </row>
    <row r="99" spans="1:15" ht="20.25" hidden="1" x14ac:dyDescent="0.3">
      <c r="A99" s="20" t="s">
        <v>211</v>
      </c>
      <c r="B99" s="21"/>
      <c r="C99" s="390">
        <f>SUM(C97:C98)</f>
        <v>3524384712</v>
      </c>
      <c r="J99" s="61"/>
      <c r="K99" s="61"/>
      <c r="L99" s="60">
        <f>SUM(L97:L98)</f>
        <v>5115882272</v>
      </c>
      <c r="M99" s="18" t="s">
        <v>389</v>
      </c>
    </row>
    <row r="100" spans="1:15" hidden="1" x14ac:dyDescent="0.25">
      <c r="A100" s="20"/>
      <c r="B100" s="21"/>
    </row>
    <row r="101" spans="1:15" hidden="1" x14ac:dyDescent="0.25">
      <c r="A101" s="20"/>
      <c r="B101" s="21"/>
    </row>
    <row r="102" spans="1:15" ht="18.75" hidden="1" thickBot="1" x14ac:dyDescent="0.3">
      <c r="A102" s="41"/>
      <c r="B102" s="21"/>
      <c r="H102" s="159"/>
    </row>
    <row r="103" spans="1:15" hidden="1" x14ac:dyDescent="0.25">
      <c r="A103" s="42" t="s">
        <v>93</v>
      </c>
      <c r="B103" s="22"/>
      <c r="C103" s="251" t="s">
        <v>94</v>
      </c>
      <c r="D103" s="22" t="s">
        <v>95</v>
      </c>
      <c r="E103" s="22"/>
      <c r="F103" s="22"/>
      <c r="G103" s="22"/>
      <c r="H103" s="22" t="s">
        <v>96</v>
      </c>
      <c r="I103" s="23" t="s">
        <v>97</v>
      </c>
      <c r="L103" s="205" t="s">
        <v>151</v>
      </c>
    </row>
    <row r="104" spans="1:15" hidden="1" x14ac:dyDescent="0.25">
      <c r="A104" s="191"/>
      <c r="B104" s="192"/>
      <c r="C104" s="252"/>
      <c r="D104" s="192"/>
      <c r="E104" s="192"/>
      <c r="F104" s="192"/>
      <c r="G104" s="192"/>
      <c r="H104" s="192"/>
      <c r="I104" s="193"/>
    </row>
    <row r="105" spans="1:15" hidden="1" x14ac:dyDescent="0.25">
      <c r="A105" s="184" t="s">
        <v>288</v>
      </c>
      <c r="B105" s="185"/>
      <c r="C105" s="259">
        <v>22830003</v>
      </c>
      <c r="D105" s="186" t="s">
        <v>283</v>
      </c>
      <c r="E105" s="186"/>
      <c r="F105" s="186"/>
      <c r="G105" s="187"/>
      <c r="H105" s="187"/>
      <c r="I105" s="328">
        <f>Adj!N5</f>
        <v>-2545000</v>
      </c>
      <c r="L105" s="18" t="s">
        <v>423</v>
      </c>
      <c r="M105" s="331" t="s">
        <v>452</v>
      </c>
      <c r="N105" s="331"/>
      <c r="O105" s="331"/>
    </row>
    <row r="106" spans="1:15" hidden="1" x14ac:dyDescent="0.25">
      <c r="A106" s="27"/>
      <c r="B106" s="10"/>
      <c r="C106" s="260"/>
      <c r="D106" s="10"/>
      <c r="E106" s="10"/>
      <c r="F106" s="10"/>
      <c r="G106" s="30"/>
      <c r="H106" s="30"/>
      <c r="I106" s="26"/>
      <c r="M106" s="331"/>
      <c r="N106" s="331"/>
      <c r="O106" s="331"/>
    </row>
    <row r="107" spans="1:15" hidden="1" x14ac:dyDescent="0.25">
      <c r="A107" s="27" t="s">
        <v>289</v>
      </c>
      <c r="B107" s="10"/>
      <c r="C107" s="260" t="s">
        <v>98</v>
      </c>
      <c r="D107" s="10" t="s">
        <v>559</v>
      </c>
      <c r="E107" s="10"/>
      <c r="F107" s="10"/>
      <c r="G107" s="30"/>
      <c r="H107" s="30"/>
      <c r="I107" s="328">
        <f>Adj!N7</f>
        <v>0</v>
      </c>
      <c r="L107" s="18" t="s">
        <v>232</v>
      </c>
      <c r="M107" s="331" t="s">
        <v>453</v>
      </c>
      <c r="N107" s="331"/>
      <c r="O107" s="331"/>
    </row>
    <row r="108" spans="1:15" hidden="1" x14ac:dyDescent="0.25">
      <c r="A108" s="27"/>
      <c r="B108" s="10"/>
      <c r="C108" s="260"/>
      <c r="D108" s="10"/>
      <c r="E108" s="10"/>
      <c r="F108" s="10"/>
      <c r="G108" s="30"/>
      <c r="H108" s="30"/>
      <c r="I108" s="26"/>
      <c r="L108" s="89"/>
    </row>
    <row r="109" spans="1:15" hidden="1" x14ac:dyDescent="0.25">
      <c r="A109" s="37" t="s">
        <v>542</v>
      </c>
      <c r="B109" s="24"/>
      <c r="C109" s="389" t="s">
        <v>552</v>
      </c>
      <c r="D109" s="13" t="s">
        <v>100</v>
      </c>
      <c r="E109" s="13"/>
      <c r="F109" s="13"/>
      <c r="G109" s="13"/>
      <c r="H109" s="13"/>
      <c r="I109" s="31">
        <f>Adj!N9</f>
        <v>0</v>
      </c>
      <c r="L109" s="89" t="s">
        <v>233</v>
      </c>
      <c r="M109" s="89"/>
      <c r="N109" s="89"/>
      <c r="O109" s="89"/>
    </row>
    <row r="110" spans="1:15" hidden="1" x14ac:dyDescent="0.25">
      <c r="A110" s="346"/>
      <c r="B110" s="347"/>
      <c r="C110" s="349"/>
      <c r="D110" s="350"/>
      <c r="E110" s="350"/>
      <c r="F110" s="350"/>
      <c r="G110" s="13"/>
      <c r="H110" s="13"/>
      <c r="I110" s="31"/>
      <c r="L110" s="331" t="s">
        <v>556</v>
      </c>
      <c r="M110" s="89"/>
      <c r="N110" s="89"/>
      <c r="O110" s="89"/>
    </row>
    <row r="111" spans="1:15" hidden="1" x14ac:dyDescent="0.25">
      <c r="A111" s="27"/>
      <c r="B111" s="12"/>
      <c r="C111" s="261"/>
      <c r="D111" s="32"/>
      <c r="E111" s="32"/>
      <c r="F111" s="32"/>
      <c r="G111" s="10"/>
      <c r="H111" s="10"/>
      <c r="I111" s="31"/>
    </row>
    <row r="112" spans="1:15" hidden="1" x14ac:dyDescent="0.25">
      <c r="A112" s="33" t="s">
        <v>290</v>
      </c>
      <c r="B112" s="34"/>
      <c r="C112" s="262"/>
      <c r="D112" s="207" t="s">
        <v>306</v>
      </c>
      <c r="E112" s="208"/>
      <c r="F112" s="207"/>
      <c r="G112" s="34"/>
      <c r="H112" s="34"/>
      <c r="I112" s="35">
        <f>IF($C$26&lt;0,-$C$26,0)</f>
        <v>12589440</v>
      </c>
    </row>
    <row r="113" spans="1:16" s="89" customFormat="1" hidden="1" x14ac:dyDescent="0.25">
      <c r="A113" s="37"/>
      <c r="B113" s="13"/>
      <c r="C113" s="263"/>
      <c r="D113" s="39"/>
      <c r="E113" s="39"/>
      <c r="F113" s="39"/>
      <c r="G113" s="13"/>
      <c r="H113" s="13"/>
      <c r="I113" s="31"/>
    </row>
    <row r="114" spans="1:16" ht="20.25" hidden="1" x14ac:dyDescent="0.3">
      <c r="A114" s="27" t="s">
        <v>291</v>
      </c>
      <c r="B114" s="28"/>
      <c r="C114" s="258">
        <v>18600511</v>
      </c>
      <c r="D114" s="10" t="s">
        <v>160</v>
      </c>
      <c r="E114" s="10"/>
      <c r="F114" s="10"/>
      <c r="G114" s="36"/>
      <c r="H114" s="175" t="s">
        <v>279</v>
      </c>
      <c r="I114" s="31">
        <f>Adj!N14</f>
        <v>0</v>
      </c>
      <c r="J114" s="266"/>
      <c r="K114" s="266"/>
      <c r="L114" s="18" t="s">
        <v>553</v>
      </c>
    </row>
    <row r="115" spans="1:16" ht="20.25" hidden="1" x14ac:dyDescent="0.3">
      <c r="A115" s="27"/>
      <c r="B115" s="28"/>
      <c r="C115" s="260"/>
      <c r="D115" s="10"/>
      <c r="E115" s="10"/>
      <c r="F115" s="10"/>
      <c r="G115" s="36"/>
      <c r="H115" s="175"/>
      <c r="I115" s="31"/>
      <c r="J115" s="266"/>
      <c r="K115" s="266"/>
    </row>
    <row r="116" spans="1:16" ht="20.25" hidden="1" x14ac:dyDescent="0.3">
      <c r="A116" s="37" t="s">
        <v>292</v>
      </c>
      <c r="B116" s="29"/>
      <c r="C116" s="258">
        <v>18230361</v>
      </c>
      <c r="D116" s="13" t="s">
        <v>102</v>
      </c>
      <c r="E116" s="13"/>
      <c r="F116" s="13"/>
      <c r="G116" s="13"/>
      <c r="H116" s="175" t="s">
        <v>279</v>
      </c>
      <c r="I116" s="31">
        <f>Adj!N16</f>
        <v>0</v>
      </c>
      <c r="J116" s="266"/>
      <c r="K116" s="266"/>
      <c r="L116" s="18" t="s">
        <v>553</v>
      </c>
    </row>
    <row r="117" spans="1:16" ht="20.25" hidden="1" x14ac:dyDescent="0.3">
      <c r="A117" s="37"/>
      <c r="B117" s="29"/>
      <c r="C117" s="258"/>
      <c r="D117" s="13"/>
      <c r="E117" s="13"/>
      <c r="F117" s="13"/>
      <c r="G117" s="13"/>
      <c r="H117" s="175"/>
      <c r="I117" s="31"/>
      <c r="J117" s="266"/>
      <c r="K117" s="266"/>
    </row>
    <row r="118" spans="1:16" ht="20.25" hidden="1" x14ac:dyDescent="0.3">
      <c r="A118" s="27" t="s">
        <v>293</v>
      </c>
      <c r="B118" s="28"/>
      <c r="C118" s="258">
        <v>18500003</v>
      </c>
      <c r="D118" s="10" t="s">
        <v>103</v>
      </c>
      <c r="E118" s="10"/>
      <c r="F118" s="10"/>
      <c r="G118" s="36"/>
      <c r="H118" s="175" t="s">
        <v>279</v>
      </c>
      <c r="I118" s="329">
        <f>Adj!N18</f>
        <v>0</v>
      </c>
      <c r="J118" s="266"/>
      <c r="K118" s="266"/>
      <c r="L118" s="18" t="s">
        <v>553</v>
      </c>
      <c r="M118" s="331" t="s">
        <v>454</v>
      </c>
      <c r="N118" s="331"/>
      <c r="O118" s="331"/>
      <c r="P118" s="331"/>
    </row>
    <row r="119" spans="1:16" ht="20.25" hidden="1" x14ac:dyDescent="0.3">
      <c r="A119" s="27"/>
      <c r="B119" s="28"/>
      <c r="C119" s="260"/>
      <c r="D119" s="10"/>
      <c r="E119" s="10"/>
      <c r="F119" s="10"/>
      <c r="G119" s="36"/>
      <c r="H119" s="175"/>
      <c r="I119" s="31"/>
      <c r="J119" s="266"/>
      <c r="K119" s="266"/>
    </row>
    <row r="120" spans="1:16" ht="20.25" hidden="1" x14ac:dyDescent="0.3">
      <c r="A120" s="37" t="s">
        <v>294</v>
      </c>
      <c r="B120" s="29"/>
      <c r="C120" s="263" t="s">
        <v>343</v>
      </c>
      <c r="D120" s="13" t="s">
        <v>104</v>
      </c>
      <c r="E120" s="13"/>
      <c r="F120" s="13"/>
      <c r="G120" s="36"/>
      <c r="H120" s="175" t="s">
        <v>279</v>
      </c>
      <c r="I120" s="31">
        <f>Adj!N20</f>
        <v>0</v>
      </c>
      <c r="J120" s="266"/>
      <c r="K120" s="266"/>
      <c r="L120" s="18" t="s">
        <v>234</v>
      </c>
    </row>
    <row r="121" spans="1:16" ht="20.25" hidden="1" x14ac:dyDescent="0.3">
      <c r="A121" s="37"/>
      <c r="B121" s="29"/>
      <c r="C121" s="263"/>
      <c r="D121" s="13"/>
      <c r="E121" s="13"/>
      <c r="F121" s="13"/>
      <c r="G121" s="36"/>
      <c r="H121" s="175"/>
      <c r="I121" s="31"/>
      <c r="J121" s="266"/>
      <c r="K121" s="266"/>
    </row>
    <row r="122" spans="1:16" ht="20.25" hidden="1" x14ac:dyDescent="0.3">
      <c r="A122" s="27" t="s">
        <v>295</v>
      </c>
      <c r="B122" s="28"/>
      <c r="C122" s="260" t="s">
        <v>105</v>
      </c>
      <c r="D122" s="10" t="s">
        <v>106</v>
      </c>
      <c r="E122" s="10"/>
      <c r="F122" s="10"/>
      <c r="G122" s="36"/>
      <c r="H122" s="175" t="s">
        <v>279</v>
      </c>
      <c r="I122" s="31">
        <f>Adj!N22</f>
        <v>0</v>
      </c>
      <c r="J122" s="266"/>
      <c r="K122" s="266"/>
      <c r="L122" s="18" t="s">
        <v>235</v>
      </c>
    </row>
    <row r="123" spans="1:16" ht="20.25" hidden="1" x14ac:dyDescent="0.3">
      <c r="A123" s="27"/>
      <c r="B123" s="28"/>
      <c r="C123" s="260"/>
      <c r="D123" s="10"/>
      <c r="E123" s="10"/>
      <c r="F123" s="10"/>
      <c r="G123" s="36"/>
      <c r="H123" s="175"/>
      <c r="I123" s="31"/>
      <c r="J123" s="266"/>
      <c r="K123" s="266"/>
    </row>
    <row r="124" spans="1:16" ht="20.25" hidden="1" x14ac:dyDescent="0.3">
      <c r="A124" s="33" t="s">
        <v>296</v>
      </c>
      <c r="B124" s="38"/>
      <c r="C124" s="262"/>
      <c r="D124" s="207" t="s">
        <v>306</v>
      </c>
      <c r="E124" s="208"/>
      <c r="F124" s="207"/>
      <c r="G124" s="34"/>
      <c r="H124" s="34"/>
      <c r="I124" s="35">
        <f>IF($C$40&lt;0,-$C$40,0)</f>
        <v>0</v>
      </c>
      <c r="J124" s="266"/>
      <c r="K124" s="266"/>
    </row>
    <row r="125" spans="1:16" ht="20.25" hidden="1" x14ac:dyDescent="0.3">
      <c r="A125" s="37"/>
      <c r="B125" s="29"/>
      <c r="C125" s="263"/>
      <c r="D125" s="39"/>
      <c r="E125" s="39"/>
      <c r="F125" s="39"/>
      <c r="G125" s="13"/>
      <c r="H125" s="13"/>
      <c r="I125" s="31"/>
      <c r="J125" s="266"/>
      <c r="K125" s="266"/>
    </row>
    <row r="126" spans="1:16" ht="20.25" hidden="1" x14ac:dyDescent="0.3">
      <c r="A126" s="27" t="s">
        <v>297</v>
      </c>
      <c r="B126" s="28"/>
      <c r="C126" s="258" t="s">
        <v>426</v>
      </c>
      <c r="D126" s="10" t="s">
        <v>107</v>
      </c>
      <c r="E126" s="10"/>
      <c r="F126" s="10"/>
      <c r="G126" s="10"/>
      <c r="H126" s="36" t="s">
        <v>280</v>
      </c>
      <c r="I126" s="31">
        <f>Adj!N26</f>
        <v>0</v>
      </c>
      <c r="J126" s="266"/>
      <c r="K126" s="266"/>
      <c r="L126" s="18" t="s">
        <v>554</v>
      </c>
    </row>
    <row r="127" spans="1:16" ht="20.25" hidden="1" x14ac:dyDescent="0.3">
      <c r="A127" s="27"/>
      <c r="B127" s="28"/>
      <c r="C127" s="258"/>
      <c r="D127" s="10"/>
      <c r="E127" s="10"/>
      <c r="F127" s="10"/>
      <c r="G127" s="10"/>
      <c r="H127" s="36"/>
      <c r="I127" s="31"/>
      <c r="J127" s="266"/>
      <c r="K127" s="266"/>
    </row>
    <row r="128" spans="1:16" ht="20.25" hidden="1" x14ac:dyDescent="0.3">
      <c r="A128" s="27" t="s">
        <v>298</v>
      </c>
      <c r="B128" s="28"/>
      <c r="C128" s="258">
        <v>18600321</v>
      </c>
      <c r="D128" s="10" t="s">
        <v>108</v>
      </c>
      <c r="E128" s="10"/>
      <c r="F128" s="10"/>
      <c r="G128" s="36"/>
      <c r="H128" s="175" t="s">
        <v>279</v>
      </c>
      <c r="I128" s="31">
        <f>Adj!N28</f>
        <v>0</v>
      </c>
      <c r="J128" s="266"/>
      <c r="K128" s="266"/>
      <c r="L128" s="18" t="s">
        <v>553</v>
      </c>
    </row>
    <row r="129" spans="1:18" ht="20.25" hidden="1" x14ac:dyDescent="0.3">
      <c r="A129" s="27"/>
      <c r="B129" s="28"/>
      <c r="C129" s="258"/>
      <c r="D129" s="10"/>
      <c r="E129" s="10"/>
      <c r="F129" s="10"/>
      <c r="G129" s="36"/>
      <c r="H129" s="175"/>
      <c r="I129" s="31"/>
      <c r="J129" s="266"/>
      <c r="K129" s="266"/>
    </row>
    <row r="130" spans="1:18" ht="20.25" hidden="1" x14ac:dyDescent="0.3">
      <c r="A130" s="33" t="s">
        <v>299</v>
      </c>
      <c r="B130" s="34"/>
      <c r="C130" s="262" t="s">
        <v>109</v>
      </c>
      <c r="D130" s="210" t="s">
        <v>307</v>
      </c>
      <c r="E130" s="209"/>
      <c r="F130" s="210"/>
      <c r="G130" s="209"/>
      <c r="H130" s="34"/>
      <c r="I130" s="35" t="e">
        <f>IF(#REF!&lt;0,-#REF!,0)</f>
        <v>#REF!</v>
      </c>
      <c r="J130" s="266"/>
      <c r="K130" s="266"/>
    </row>
    <row r="131" spans="1:18" ht="20.25" hidden="1" x14ac:dyDescent="0.3">
      <c r="A131" s="37"/>
      <c r="B131" s="13"/>
      <c r="C131" s="263"/>
      <c r="D131" s="13"/>
      <c r="E131" s="13"/>
      <c r="F131" s="13"/>
      <c r="G131" s="13"/>
      <c r="H131" s="13"/>
      <c r="I131" s="31"/>
      <c r="J131" s="266"/>
      <c r="K131" s="266"/>
    </row>
    <row r="132" spans="1:18" s="89" customFormat="1" ht="20.25" hidden="1" x14ac:dyDescent="0.3">
      <c r="A132" s="37" t="s">
        <v>300</v>
      </c>
      <c r="B132" s="29"/>
      <c r="C132" s="263" t="s">
        <v>110</v>
      </c>
      <c r="D132" s="13" t="s">
        <v>287</v>
      </c>
      <c r="E132" s="13"/>
      <c r="F132" s="13"/>
      <c r="G132" s="13"/>
      <c r="H132" s="13"/>
      <c r="I132" s="330">
        <f>Adj!N30</f>
        <v>292577</v>
      </c>
      <c r="J132" s="268"/>
      <c r="K132" s="268"/>
      <c r="L132" s="89" t="s">
        <v>308</v>
      </c>
      <c r="M132" s="89" t="s">
        <v>427</v>
      </c>
      <c r="N132" s="307" t="s">
        <v>422</v>
      </c>
      <c r="O132" s="307"/>
      <c r="P132" s="307"/>
      <c r="Q132" s="307"/>
      <c r="R132" s="306"/>
    </row>
    <row r="133" spans="1:18" s="89" customFormat="1" ht="20.25" hidden="1" x14ac:dyDescent="0.3">
      <c r="A133" s="37"/>
      <c r="B133" s="29"/>
      <c r="C133" s="263"/>
      <c r="D133" s="13"/>
      <c r="E133" s="13"/>
      <c r="F133" s="13"/>
      <c r="G133" s="13"/>
      <c r="H133" s="13"/>
      <c r="I133" s="88"/>
      <c r="J133" s="268"/>
      <c r="K133" s="268"/>
      <c r="N133" s="331" t="s">
        <v>455</v>
      </c>
      <c r="O133" s="331"/>
      <c r="P133" s="331"/>
    </row>
    <row r="134" spans="1:18" ht="20.25" hidden="1" x14ac:dyDescent="0.3">
      <c r="A134" s="37" t="s">
        <v>301</v>
      </c>
      <c r="B134" s="29"/>
      <c r="C134" s="258">
        <v>18400013</v>
      </c>
      <c r="D134" s="24" t="s">
        <v>111</v>
      </c>
      <c r="E134" s="24"/>
      <c r="F134" s="24"/>
      <c r="G134" s="36"/>
      <c r="H134" s="175" t="s">
        <v>279</v>
      </c>
      <c r="I134" s="329">
        <f>Adj!N32</f>
        <v>0</v>
      </c>
      <c r="J134" s="266"/>
      <c r="K134" s="266"/>
      <c r="L134" s="18" t="s">
        <v>553</v>
      </c>
      <c r="N134" s="331" t="s">
        <v>456</v>
      </c>
      <c r="O134" s="331"/>
      <c r="P134" s="331"/>
      <c r="Q134" s="331"/>
    </row>
    <row r="135" spans="1:18" ht="20.25" hidden="1" x14ac:dyDescent="0.3">
      <c r="A135" s="37"/>
      <c r="B135" s="29"/>
      <c r="C135" s="258"/>
      <c r="D135" s="24"/>
      <c r="E135" s="24"/>
      <c r="F135" s="24"/>
      <c r="G135" s="36"/>
      <c r="H135" s="175"/>
      <c r="I135" s="31"/>
      <c r="J135" s="266"/>
      <c r="K135" s="266"/>
      <c r="N135" s="331"/>
      <c r="O135" s="331"/>
      <c r="P135" s="331"/>
      <c r="Q135" s="331"/>
    </row>
    <row r="136" spans="1:18" ht="20.25" hidden="1" x14ac:dyDescent="0.3">
      <c r="A136" s="37" t="s">
        <v>560</v>
      </c>
      <c r="B136" s="29"/>
      <c r="C136" s="258" t="s">
        <v>562</v>
      </c>
      <c r="D136" s="24" t="s">
        <v>563</v>
      </c>
      <c r="E136" s="24"/>
      <c r="F136" s="24"/>
      <c r="G136" s="36"/>
      <c r="H136" s="175" t="s">
        <v>279</v>
      </c>
      <c r="I136" s="31">
        <f>Adj!N34</f>
        <v>0</v>
      </c>
      <c r="J136" s="266"/>
      <c r="K136" s="266"/>
      <c r="L136" s="18" t="s">
        <v>553</v>
      </c>
      <c r="N136" s="331"/>
      <c r="O136" s="331"/>
      <c r="P136" s="331"/>
      <c r="Q136" s="331"/>
    </row>
    <row r="137" spans="1:18" ht="21" hidden="1" thickBot="1" x14ac:dyDescent="0.35">
      <c r="A137" s="381"/>
      <c r="B137" s="382"/>
      <c r="C137" s="384"/>
      <c r="D137" s="385"/>
      <c r="E137" s="385"/>
      <c r="F137" s="385"/>
      <c r="G137" s="386"/>
      <c r="H137" s="387"/>
      <c r="I137" s="106"/>
      <c r="J137" s="266"/>
      <c r="K137" s="266"/>
      <c r="N137" s="331"/>
      <c r="O137" s="331"/>
      <c r="P137" s="331"/>
      <c r="Q137" s="331"/>
    </row>
    <row r="138" spans="1:18" s="19" customFormat="1" hidden="1" x14ac:dyDescent="0.25">
      <c r="A138" s="10"/>
      <c r="B138" s="10"/>
      <c r="C138" s="258"/>
      <c r="D138" s="10"/>
      <c r="E138" s="10"/>
      <c r="F138" s="10"/>
      <c r="G138" s="25"/>
    </row>
    <row r="139" spans="1:18" hidden="1" x14ac:dyDescent="0.25">
      <c r="B139" s="10"/>
      <c r="C139" s="258"/>
    </row>
    <row r="140" spans="1:18" hidden="1" x14ac:dyDescent="0.25">
      <c r="B140" s="10"/>
    </row>
    <row r="141" spans="1:18" hidden="1" x14ac:dyDescent="0.25">
      <c r="B141" s="10"/>
    </row>
    <row r="142" spans="1:18" hidden="1" x14ac:dyDescent="0.25">
      <c r="B142" s="10"/>
    </row>
    <row r="143" spans="1:18" hidden="1" x14ac:dyDescent="0.25">
      <c r="A143" s="206" t="s">
        <v>346</v>
      </c>
      <c r="B143" s="10"/>
    </row>
    <row r="144" spans="1:18" hidden="1" x14ac:dyDescent="0.25">
      <c r="B144" s="10"/>
    </row>
    <row r="145" spans="1:22" s="89" customFormat="1" hidden="1" x14ac:dyDescent="0.25">
      <c r="A145" s="13"/>
      <c r="B145" s="160"/>
      <c r="C145" s="253"/>
      <c r="D145" s="40"/>
      <c r="E145" s="40"/>
      <c r="F145" s="13"/>
      <c r="G145" s="13"/>
      <c r="H145" s="13"/>
      <c r="I145" s="13"/>
      <c r="J145" s="40"/>
      <c r="K145" s="40"/>
      <c r="L145" s="40"/>
      <c r="M145" s="40"/>
      <c r="N145" s="40"/>
      <c r="O145" s="40"/>
      <c r="P145" s="40"/>
      <c r="Q145" s="40"/>
      <c r="R145" s="40"/>
      <c r="S145" s="40"/>
      <c r="T145" s="40"/>
    </row>
    <row r="146" spans="1:22" s="89" customFormat="1" ht="19.5" hidden="1" x14ac:dyDescent="0.35">
      <c r="A146" s="169" t="s">
        <v>59</v>
      </c>
      <c r="B146" s="170"/>
      <c r="C146" s="254" t="s">
        <v>92</v>
      </c>
      <c r="D146" s="90" t="s">
        <v>302</v>
      </c>
      <c r="E146" s="90"/>
      <c r="F146" s="90" t="s">
        <v>303</v>
      </c>
      <c r="G146" s="90" t="s">
        <v>112</v>
      </c>
      <c r="H146" s="90" t="s">
        <v>228</v>
      </c>
      <c r="I146" s="90" t="s">
        <v>229</v>
      </c>
      <c r="J146" s="90"/>
      <c r="K146" s="90"/>
      <c r="L146" s="90" t="s">
        <v>230</v>
      </c>
      <c r="M146" s="90" t="s">
        <v>114</v>
      </c>
      <c r="N146" s="90" t="s">
        <v>115</v>
      </c>
      <c r="O146" s="90" t="s">
        <v>116</v>
      </c>
      <c r="P146" s="90" t="s">
        <v>117</v>
      </c>
      <c r="Q146" s="90" t="s">
        <v>231</v>
      </c>
      <c r="R146" s="90" t="s">
        <v>118</v>
      </c>
      <c r="S146" s="90" t="s">
        <v>119</v>
      </c>
      <c r="T146" s="90" t="s">
        <v>564</v>
      </c>
      <c r="U146" s="171" t="s">
        <v>91</v>
      </c>
      <c r="V146" s="370" t="s">
        <v>333</v>
      </c>
    </row>
    <row r="147" spans="1:22" s="89" customFormat="1" ht="18.75" hidden="1" x14ac:dyDescent="0.3">
      <c r="A147" s="172"/>
      <c r="B147" s="170"/>
      <c r="C147" s="255"/>
      <c r="D147" s="108"/>
      <c r="E147" s="108"/>
      <c r="F147" s="108"/>
      <c r="G147" s="108"/>
      <c r="H147" s="108"/>
      <c r="I147" s="108"/>
      <c r="J147" s="108"/>
      <c r="K147" s="108"/>
      <c r="L147" s="108"/>
      <c r="M147" s="108"/>
      <c r="N147" s="108"/>
      <c r="O147" s="108"/>
      <c r="P147" s="108"/>
      <c r="Q147" s="108"/>
      <c r="R147" s="108"/>
      <c r="S147" s="108"/>
      <c r="T147" s="108"/>
      <c r="U147" s="108"/>
    </row>
    <row r="148" spans="1:22" s="89" customFormat="1" ht="19.5" hidden="1" x14ac:dyDescent="0.35">
      <c r="A148" s="91" t="s">
        <v>60</v>
      </c>
      <c r="B148" s="120"/>
      <c r="C148" s="255"/>
      <c r="D148" s="107"/>
      <c r="E148" s="107"/>
      <c r="F148" s="107">
        <f>$I$109</f>
        <v>0</v>
      </c>
      <c r="G148" s="107"/>
      <c r="H148" s="107"/>
      <c r="I148" s="107"/>
      <c r="J148" s="107"/>
      <c r="K148" s="107"/>
      <c r="L148" s="107"/>
      <c r="M148" s="107"/>
      <c r="N148" s="107"/>
      <c r="O148" s="107"/>
      <c r="P148" s="107"/>
      <c r="Q148" s="107"/>
      <c r="R148" s="107"/>
      <c r="S148" s="107"/>
      <c r="T148" s="107">
        <f>-$I$136</f>
        <v>0</v>
      </c>
      <c r="U148" s="109">
        <f>SUM(C148:T148)</f>
        <v>0</v>
      </c>
    </row>
    <row r="149" spans="1:22" s="89" customFormat="1" ht="19.5" hidden="1" x14ac:dyDescent="0.35">
      <c r="A149" s="91" t="s">
        <v>61</v>
      </c>
      <c r="B149" s="120"/>
      <c r="C149" s="255"/>
      <c r="D149" s="107"/>
      <c r="E149" s="107"/>
      <c r="F149" s="107"/>
      <c r="G149" s="107"/>
      <c r="H149" s="107"/>
      <c r="I149" s="107"/>
      <c r="J149" s="107"/>
      <c r="K149" s="107"/>
      <c r="L149" s="107"/>
      <c r="M149" s="107"/>
      <c r="N149" s="107"/>
      <c r="O149" s="107"/>
      <c r="P149" s="107"/>
      <c r="Q149" s="107"/>
      <c r="R149" s="107"/>
      <c r="S149" s="107"/>
      <c r="T149" s="107"/>
      <c r="U149" s="109">
        <f>SUM(C149:S149)</f>
        <v>0</v>
      </c>
    </row>
    <row r="150" spans="1:22" s="89" customFormat="1" ht="19.5" hidden="1" x14ac:dyDescent="0.35">
      <c r="A150" s="91" t="s">
        <v>62</v>
      </c>
      <c r="B150" s="120"/>
      <c r="C150" s="255"/>
      <c r="D150" s="107"/>
      <c r="E150" s="107"/>
      <c r="F150" s="107"/>
      <c r="G150" s="107"/>
      <c r="H150" s="107"/>
      <c r="I150" s="107"/>
      <c r="J150" s="107"/>
      <c r="K150" s="107"/>
      <c r="L150" s="107"/>
      <c r="M150" s="107"/>
      <c r="N150" s="107"/>
      <c r="O150" s="107"/>
      <c r="P150" s="107"/>
      <c r="Q150" s="107"/>
      <c r="R150" s="107"/>
      <c r="S150" s="107"/>
      <c r="T150" s="107"/>
      <c r="U150" s="109">
        <f>SUM(C150:S150)</f>
        <v>0</v>
      </c>
    </row>
    <row r="151" spans="1:22" s="89" customFormat="1" ht="19.5" hidden="1" x14ac:dyDescent="0.35">
      <c r="A151" s="91" t="s">
        <v>63</v>
      </c>
      <c r="B151" s="120"/>
      <c r="C151" s="255"/>
      <c r="D151" s="107"/>
      <c r="E151" s="107"/>
      <c r="F151" s="107"/>
      <c r="G151" s="107"/>
      <c r="H151" s="107"/>
      <c r="I151" s="107"/>
      <c r="J151" s="107"/>
      <c r="K151" s="107"/>
      <c r="L151" s="107"/>
      <c r="M151" s="107"/>
      <c r="N151" s="107"/>
      <c r="O151" s="107"/>
      <c r="P151" s="107"/>
      <c r="Q151" s="107"/>
      <c r="R151" s="107"/>
      <c r="S151" s="107"/>
      <c r="T151" s="107"/>
      <c r="U151" s="109">
        <f>SUM(C151:S151)</f>
        <v>0</v>
      </c>
    </row>
    <row r="152" spans="1:22" s="89" customFormat="1" ht="19.5" hidden="1" x14ac:dyDescent="0.35">
      <c r="A152" s="91" t="s">
        <v>64</v>
      </c>
      <c r="B152" s="120"/>
      <c r="C152" s="255"/>
      <c r="D152" s="107"/>
      <c r="E152" s="107"/>
      <c r="F152" s="107"/>
      <c r="G152" s="107"/>
      <c r="H152" s="107"/>
      <c r="I152" s="107"/>
      <c r="J152" s="107"/>
      <c r="K152" s="107"/>
      <c r="L152" s="107"/>
      <c r="M152" s="107"/>
      <c r="N152" s="107"/>
      <c r="O152" s="107"/>
      <c r="P152" s="107"/>
      <c r="Q152" s="107"/>
      <c r="R152" s="107"/>
      <c r="S152" s="107"/>
      <c r="T152" s="107"/>
      <c r="U152" s="109">
        <f>SUM(C152:S152)</f>
        <v>0</v>
      </c>
    </row>
    <row r="153" spans="1:22" s="89" customFormat="1" ht="19.5" hidden="1" x14ac:dyDescent="0.35">
      <c r="A153" s="91" t="s">
        <v>65</v>
      </c>
      <c r="B153" s="120"/>
      <c r="C153" s="255"/>
      <c r="D153" s="107"/>
      <c r="E153" s="107"/>
      <c r="F153" s="107"/>
      <c r="G153" s="107"/>
      <c r="H153" s="107"/>
      <c r="I153" s="107"/>
      <c r="J153" s="107"/>
      <c r="K153" s="107"/>
      <c r="L153" s="107"/>
      <c r="M153" s="107"/>
      <c r="N153" s="107"/>
      <c r="O153" s="107"/>
      <c r="P153" s="107"/>
      <c r="Q153" s="107"/>
      <c r="R153" s="107"/>
      <c r="S153" s="108"/>
      <c r="T153" s="108"/>
      <c r="U153" s="109">
        <f>SUM(C153:S153)</f>
        <v>0</v>
      </c>
    </row>
    <row r="154" spans="1:22" s="89" customFormat="1" ht="19.5" hidden="1" x14ac:dyDescent="0.35">
      <c r="A154" s="91" t="s">
        <v>66</v>
      </c>
      <c r="B154" s="120"/>
      <c r="C154" s="255"/>
      <c r="D154" s="107"/>
      <c r="E154" s="107"/>
      <c r="F154" s="107"/>
      <c r="G154" s="107"/>
      <c r="H154" s="107"/>
      <c r="I154" s="107"/>
      <c r="J154" s="107"/>
      <c r="K154" s="107"/>
      <c r="L154" s="107"/>
      <c r="M154" s="107"/>
      <c r="N154" s="107"/>
      <c r="O154" s="107"/>
      <c r="P154" s="107"/>
      <c r="Q154" s="107"/>
      <c r="R154" s="107">
        <f>$I$132</f>
        <v>292577</v>
      </c>
      <c r="S154" s="107"/>
      <c r="T154" s="107"/>
      <c r="U154" s="109">
        <f>SUM(C154:S154)</f>
        <v>292577</v>
      </c>
    </row>
    <row r="155" spans="1:22" s="89" customFormat="1" ht="19.5" hidden="1" x14ac:dyDescent="0.35">
      <c r="A155" s="91" t="s">
        <v>67</v>
      </c>
      <c r="B155" s="120"/>
      <c r="C155" s="255"/>
      <c r="D155" s="107"/>
      <c r="E155" s="107"/>
      <c r="F155" s="107"/>
      <c r="G155" s="107"/>
      <c r="H155" s="107"/>
      <c r="I155" s="107"/>
      <c r="J155" s="107"/>
      <c r="K155" s="107"/>
      <c r="L155" s="107"/>
      <c r="M155" s="107"/>
      <c r="N155" s="107"/>
      <c r="O155" s="107"/>
      <c r="P155" s="107"/>
      <c r="Q155" s="107" t="e">
        <f>$I$130</f>
        <v>#REF!</v>
      </c>
      <c r="R155" s="107"/>
      <c r="S155" s="107"/>
      <c r="T155" s="107"/>
      <c r="U155" s="109" t="e">
        <f>SUM(C155:S155)</f>
        <v>#REF!</v>
      </c>
    </row>
    <row r="156" spans="1:22" s="89" customFormat="1" ht="19.5" hidden="1" x14ac:dyDescent="0.35">
      <c r="A156" s="91" t="s">
        <v>68</v>
      </c>
      <c r="B156" s="120"/>
      <c r="C156" s="255"/>
      <c r="D156" s="107"/>
      <c r="E156" s="107"/>
      <c r="F156" s="107"/>
      <c r="G156" s="107"/>
      <c r="H156" s="107"/>
      <c r="I156" s="107"/>
      <c r="J156" s="107"/>
      <c r="K156" s="107"/>
      <c r="L156" s="107"/>
      <c r="M156" s="107"/>
      <c r="N156" s="107"/>
      <c r="O156" s="107"/>
      <c r="P156" s="107"/>
      <c r="Q156" s="107"/>
      <c r="R156" s="107"/>
      <c r="S156" s="107"/>
      <c r="T156" s="107"/>
      <c r="U156" s="109">
        <f>SUM(C156:S156)</f>
        <v>0</v>
      </c>
    </row>
    <row r="157" spans="1:22" s="89" customFormat="1" ht="19.5" hidden="1" x14ac:dyDescent="0.35">
      <c r="A157" s="91" t="s">
        <v>69</v>
      </c>
      <c r="B157" s="120"/>
      <c r="C157" s="255"/>
      <c r="D157" s="107"/>
      <c r="E157" s="107"/>
      <c r="F157" s="107"/>
      <c r="G157" s="107">
        <f>$I$112</f>
        <v>12589440</v>
      </c>
      <c r="H157" s="107"/>
      <c r="I157" s="107"/>
      <c r="J157" s="107"/>
      <c r="K157" s="107"/>
      <c r="L157" s="107">
        <f>-$I$120</f>
        <v>0</v>
      </c>
      <c r="M157" s="107"/>
      <c r="N157" s="107"/>
      <c r="O157" s="107"/>
      <c r="P157" s="107"/>
      <c r="Q157" s="107"/>
      <c r="R157" s="107"/>
      <c r="S157" s="107"/>
      <c r="T157" s="107"/>
      <c r="U157" s="109">
        <f>SUM(C157:S157)</f>
        <v>12589440</v>
      </c>
    </row>
    <row r="158" spans="1:22" s="89" customFormat="1" ht="19.5" hidden="1" x14ac:dyDescent="0.35">
      <c r="A158" s="91" t="s">
        <v>55</v>
      </c>
      <c r="B158" s="120"/>
      <c r="C158" s="255"/>
      <c r="D158" s="107"/>
      <c r="E158" s="107"/>
      <c r="F158" s="107"/>
      <c r="G158" s="107"/>
      <c r="H158" s="107"/>
      <c r="I158" s="107"/>
      <c r="J158" s="107"/>
      <c r="K158" s="107"/>
      <c r="L158" s="107"/>
      <c r="M158" s="107"/>
      <c r="N158" s="107">
        <f>+$I$124</f>
        <v>0</v>
      </c>
      <c r="O158" s="107"/>
      <c r="P158" s="107"/>
      <c r="Q158" s="107"/>
      <c r="R158" s="107"/>
      <c r="S158" s="107"/>
      <c r="T158" s="107"/>
      <c r="U158" s="109">
        <f>SUM(C158:S158)</f>
        <v>0</v>
      </c>
    </row>
    <row r="159" spans="1:22" s="89" customFormat="1" ht="19.5" hidden="1" x14ac:dyDescent="0.35">
      <c r="A159" s="91" t="s">
        <v>70</v>
      </c>
      <c r="B159" s="120"/>
      <c r="C159" s="255"/>
      <c r="D159" s="107"/>
      <c r="E159" s="189"/>
      <c r="F159" s="107"/>
      <c r="G159" s="107"/>
      <c r="H159" s="107"/>
      <c r="I159" s="107"/>
      <c r="J159" s="107"/>
      <c r="K159" s="107"/>
      <c r="L159" s="107"/>
      <c r="M159" s="107"/>
      <c r="N159" s="107"/>
      <c r="O159" s="107"/>
      <c r="P159" s="107"/>
      <c r="Q159" s="107"/>
      <c r="R159" s="107"/>
      <c r="S159" s="107"/>
      <c r="T159" s="107"/>
      <c r="U159" s="109">
        <f>SUM(C159:S159)</f>
        <v>0</v>
      </c>
    </row>
    <row r="160" spans="1:22" s="89" customFormat="1" ht="19.5" hidden="1" x14ac:dyDescent="0.35">
      <c r="A160" s="91" t="s">
        <v>71</v>
      </c>
      <c r="B160" s="120"/>
      <c r="C160" s="255"/>
      <c r="D160" s="107"/>
      <c r="E160" s="189"/>
      <c r="F160" s="107"/>
      <c r="G160" s="107"/>
      <c r="H160" s="107">
        <f>$I$114</f>
        <v>0</v>
      </c>
      <c r="I160" s="107"/>
      <c r="J160" s="107"/>
      <c r="K160" s="107"/>
      <c r="L160" s="107"/>
      <c r="M160" s="107">
        <f>-$I$122</f>
        <v>0</v>
      </c>
      <c r="N160" s="107"/>
      <c r="O160" s="107">
        <f>$I$126</f>
        <v>0</v>
      </c>
      <c r="P160" s="107">
        <f>-$I$128</f>
        <v>0</v>
      </c>
      <c r="Q160" s="107"/>
      <c r="R160" s="107"/>
      <c r="S160" s="107"/>
      <c r="T160" s="107"/>
      <c r="U160" s="109">
        <f>SUM(C160:S160)</f>
        <v>0</v>
      </c>
    </row>
    <row r="161" spans="1:21" s="89" customFormat="1" ht="19.5" hidden="1" x14ac:dyDescent="0.35">
      <c r="A161" s="91" t="s">
        <v>72</v>
      </c>
      <c r="B161" s="120"/>
      <c r="C161" s="255"/>
      <c r="D161" s="107"/>
      <c r="E161" s="189"/>
      <c r="F161" s="107"/>
      <c r="G161" s="107"/>
      <c r="H161" s="107"/>
      <c r="I161" s="107">
        <f>-$I$116</f>
        <v>0</v>
      </c>
      <c r="J161" s="107"/>
      <c r="K161" s="107"/>
      <c r="L161" s="107"/>
      <c r="M161" s="107"/>
      <c r="N161" s="107"/>
      <c r="O161" s="107"/>
      <c r="P161" s="107"/>
      <c r="Q161" s="107"/>
      <c r="R161" s="107"/>
      <c r="S161" s="107">
        <f>-$I$134</f>
        <v>0</v>
      </c>
      <c r="T161" s="107"/>
      <c r="U161" s="109">
        <f>SUM(C161:S161)</f>
        <v>0</v>
      </c>
    </row>
    <row r="162" spans="1:21" s="89" customFormat="1" ht="20.25" hidden="1" thickBot="1" x14ac:dyDescent="0.4">
      <c r="A162" s="91"/>
      <c r="B162" s="120"/>
      <c r="C162" s="256">
        <f>SUM(C148:C161)</f>
        <v>0</v>
      </c>
      <c r="D162" s="110">
        <f>SUM(D148:D161)</f>
        <v>0</v>
      </c>
      <c r="E162" s="189"/>
      <c r="F162" s="110">
        <f>SUM(F148:F161)</f>
        <v>0</v>
      </c>
      <c r="G162" s="110">
        <f>SUM(G148:G161)</f>
        <v>12589440</v>
      </c>
      <c r="H162" s="110">
        <f t="shared" ref="H162:T162" si="18">SUM(H148:H161)</f>
        <v>0</v>
      </c>
      <c r="I162" s="110">
        <f t="shared" si="18"/>
        <v>0</v>
      </c>
      <c r="J162" s="110"/>
      <c r="K162" s="110"/>
      <c r="L162" s="110">
        <f t="shared" si="18"/>
        <v>0</v>
      </c>
      <c r="M162" s="110">
        <f t="shared" si="18"/>
        <v>0</v>
      </c>
      <c r="N162" s="110">
        <f t="shared" si="18"/>
        <v>0</v>
      </c>
      <c r="O162" s="110">
        <f t="shared" si="18"/>
        <v>0</v>
      </c>
      <c r="P162" s="110">
        <f t="shared" si="18"/>
        <v>0</v>
      </c>
      <c r="Q162" s="110" t="e">
        <f t="shared" si="18"/>
        <v>#REF!</v>
      </c>
      <c r="R162" s="110">
        <f t="shared" si="18"/>
        <v>292577</v>
      </c>
      <c r="S162" s="110">
        <f t="shared" si="18"/>
        <v>0</v>
      </c>
      <c r="T162" s="110">
        <f t="shared" si="18"/>
        <v>0</v>
      </c>
      <c r="U162" s="111" t="e">
        <f>SUM(U148:U161)</f>
        <v>#REF!</v>
      </c>
    </row>
    <row r="163" spans="1:21" s="89" customFormat="1" ht="20.25" hidden="1" thickTop="1" x14ac:dyDescent="0.35">
      <c r="A163" s="91"/>
      <c r="B163" s="120"/>
      <c r="C163" s="257"/>
      <c r="D163" s="189"/>
      <c r="E163" s="189"/>
      <c r="F163" s="189"/>
      <c r="G163" s="189"/>
      <c r="H163" s="189"/>
      <c r="I163" s="189"/>
      <c r="J163" s="189"/>
      <c r="K163" s="189"/>
      <c r="L163" s="189"/>
      <c r="M163" s="189"/>
      <c r="N163" s="189"/>
      <c r="O163" s="189"/>
      <c r="P163" s="189"/>
      <c r="Q163" s="189"/>
      <c r="R163" s="189"/>
      <c r="S163" s="189"/>
      <c r="T163" s="189"/>
      <c r="U163" s="190"/>
    </row>
    <row r="164" spans="1:21" s="89" customFormat="1" ht="19.5" hidden="1" x14ac:dyDescent="0.35">
      <c r="A164" s="91" t="s">
        <v>73</v>
      </c>
      <c r="B164" s="120"/>
      <c r="C164" s="255"/>
      <c r="D164" s="107">
        <f>$I$107</f>
        <v>0</v>
      </c>
      <c r="E164" s="188"/>
      <c r="F164" s="107"/>
      <c r="G164" s="107"/>
      <c r="H164" s="107"/>
      <c r="I164" s="107"/>
      <c r="J164" s="107"/>
      <c r="K164" s="107"/>
      <c r="L164" s="107"/>
      <c r="M164" s="107"/>
      <c r="N164" s="107"/>
      <c r="O164" s="107"/>
      <c r="P164" s="107"/>
      <c r="Q164" s="107"/>
      <c r="R164" s="108"/>
      <c r="S164" s="108"/>
      <c r="T164" s="108"/>
      <c r="U164" s="109">
        <f>SUM(C164:S164)</f>
        <v>0</v>
      </c>
    </row>
    <row r="165" spans="1:21" s="89" customFormat="1" ht="19.5" hidden="1" x14ac:dyDescent="0.35">
      <c r="A165" s="91" t="s">
        <v>74</v>
      </c>
      <c r="B165" s="120"/>
      <c r="C165" s="255"/>
      <c r="D165" s="107">
        <f>-$I$107</f>
        <v>0</v>
      </c>
      <c r="E165" s="188"/>
      <c r="F165" s="107"/>
      <c r="G165" s="107"/>
      <c r="H165" s="107"/>
      <c r="I165" s="107"/>
      <c r="J165" s="107"/>
      <c r="K165" s="107"/>
      <c r="L165" s="107"/>
      <c r="M165" s="107"/>
      <c r="N165" s="107"/>
      <c r="O165" s="107"/>
      <c r="P165" s="107"/>
      <c r="Q165" s="107"/>
      <c r="R165" s="107"/>
      <c r="S165" s="107"/>
      <c r="T165" s="107"/>
      <c r="U165" s="109">
        <f>SUM(C165:S165)</f>
        <v>0</v>
      </c>
    </row>
    <row r="166" spans="1:21" s="89" customFormat="1" ht="19.5" hidden="1" x14ac:dyDescent="0.35">
      <c r="A166" s="91" t="s">
        <v>75</v>
      </c>
      <c r="B166" s="120"/>
      <c r="C166" s="255"/>
      <c r="D166" s="107"/>
      <c r="E166" s="188"/>
      <c r="F166" s="107"/>
      <c r="G166" s="107"/>
      <c r="H166" s="107"/>
      <c r="I166" s="107"/>
      <c r="J166" s="107"/>
      <c r="K166" s="107"/>
      <c r="L166" s="107"/>
      <c r="M166" s="107"/>
      <c r="N166" s="107"/>
      <c r="O166" s="107"/>
      <c r="P166" s="107"/>
      <c r="Q166" s="107"/>
      <c r="R166" s="107"/>
      <c r="S166" s="107"/>
      <c r="T166" s="107">
        <f>-T148</f>
        <v>0</v>
      </c>
      <c r="U166" s="109">
        <f>SUM(C166:T166)</f>
        <v>0</v>
      </c>
    </row>
    <row r="167" spans="1:21" s="89" customFormat="1" ht="19.5" hidden="1" x14ac:dyDescent="0.35">
      <c r="A167" s="91" t="s">
        <v>76</v>
      </c>
      <c r="B167" s="120"/>
      <c r="C167" s="255"/>
      <c r="D167" s="107"/>
      <c r="E167" s="188"/>
      <c r="F167" s="107"/>
      <c r="G167" s="107"/>
      <c r="H167" s="107"/>
      <c r="I167" s="107"/>
      <c r="J167" s="107"/>
      <c r="K167" s="107"/>
      <c r="L167" s="107"/>
      <c r="M167" s="107"/>
      <c r="N167" s="107"/>
      <c r="O167" s="107"/>
      <c r="P167" s="107"/>
      <c r="Q167" s="107"/>
      <c r="R167" s="107">
        <f>$I$132</f>
        <v>292577</v>
      </c>
      <c r="S167" s="107"/>
      <c r="T167" s="107"/>
      <c r="U167" s="109">
        <f>SUM(C167:S167)</f>
        <v>292577</v>
      </c>
    </row>
    <row r="168" spans="1:21" s="89" customFormat="1" ht="19.5" hidden="1" x14ac:dyDescent="0.35">
      <c r="A168" s="91" t="s">
        <v>77</v>
      </c>
      <c r="B168" s="120"/>
      <c r="C168" s="255"/>
      <c r="D168" s="107"/>
      <c r="E168" s="189"/>
      <c r="F168" s="107"/>
      <c r="G168" s="107">
        <f>+$I$112</f>
        <v>12589440</v>
      </c>
      <c r="H168" s="107"/>
      <c r="I168" s="107"/>
      <c r="J168" s="107"/>
      <c r="K168" s="107"/>
      <c r="L168" s="107"/>
      <c r="M168" s="107"/>
      <c r="N168" s="107"/>
      <c r="O168" s="107"/>
      <c r="P168" s="107"/>
      <c r="Q168" s="107"/>
      <c r="R168" s="107"/>
      <c r="S168" s="107"/>
      <c r="T168" s="107"/>
      <c r="U168" s="109">
        <f>SUM(C168:S168)</f>
        <v>12589440</v>
      </c>
    </row>
    <row r="169" spans="1:21" s="89" customFormat="1" ht="19.5" hidden="1" x14ac:dyDescent="0.35">
      <c r="A169" s="91" t="s">
        <v>78</v>
      </c>
      <c r="B169" s="120"/>
      <c r="C169" s="255"/>
      <c r="D169" s="107"/>
      <c r="E169" s="189"/>
      <c r="F169" s="107"/>
      <c r="G169" s="107"/>
      <c r="H169" s="107"/>
      <c r="I169" s="107"/>
      <c r="J169" s="107"/>
      <c r="K169" s="107"/>
      <c r="L169" s="107"/>
      <c r="M169" s="107"/>
      <c r="N169" s="107"/>
      <c r="O169" s="107"/>
      <c r="P169" s="107"/>
      <c r="Q169" s="107"/>
      <c r="R169" s="107"/>
      <c r="S169" s="107"/>
      <c r="T169" s="107"/>
      <c r="U169" s="109">
        <f>SUM(C169:S169)</f>
        <v>0</v>
      </c>
    </row>
    <row r="170" spans="1:21" s="89" customFormat="1" ht="19.5" hidden="1" x14ac:dyDescent="0.35">
      <c r="A170" s="91" t="s">
        <v>67</v>
      </c>
      <c r="B170" s="120"/>
      <c r="C170" s="255"/>
      <c r="D170" s="107"/>
      <c r="E170" s="189"/>
      <c r="F170" s="107"/>
      <c r="G170" s="107"/>
      <c r="H170" s="107"/>
      <c r="I170" s="107"/>
      <c r="J170" s="107"/>
      <c r="K170" s="107"/>
      <c r="L170" s="107"/>
      <c r="M170" s="107"/>
      <c r="N170" s="107"/>
      <c r="O170" s="107"/>
      <c r="P170" s="107"/>
      <c r="Q170" s="107" t="e">
        <f>$I$130</f>
        <v>#REF!</v>
      </c>
      <c r="R170" s="107"/>
      <c r="S170" s="107"/>
      <c r="T170" s="107"/>
      <c r="U170" s="109" t="e">
        <f>SUM(C170:S170)</f>
        <v>#REF!</v>
      </c>
    </row>
    <row r="171" spans="1:21" s="89" customFormat="1" ht="19.5" hidden="1" x14ac:dyDescent="0.35">
      <c r="A171" s="91" t="s">
        <v>79</v>
      </c>
      <c r="B171" s="120"/>
      <c r="C171" s="255">
        <f>-$I$105</f>
        <v>2545000</v>
      </c>
      <c r="D171" s="107"/>
      <c r="E171" s="189"/>
      <c r="F171" s="107">
        <f>$I$109</f>
        <v>0</v>
      </c>
      <c r="G171" s="107"/>
      <c r="H171" s="107"/>
      <c r="I171" s="107"/>
      <c r="J171" s="107"/>
      <c r="K171" s="107"/>
      <c r="L171" s="107"/>
      <c r="M171" s="107"/>
      <c r="N171" s="107"/>
      <c r="O171" s="107"/>
      <c r="P171" s="107"/>
      <c r="Q171" s="107"/>
      <c r="R171" s="107"/>
      <c r="S171" s="107"/>
      <c r="T171" s="107"/>
      <c r="U171" s="109">
        <f>SUM(C171:S171)</f>
        <v>2545000</v>
      </c>
    </row>
    <row r="172" spans="1:21" s="89" customFormat="1" ht="19.5" hidden="1" x14ac:dyDescent="0.35">
      <c r="A172" s="91" t="s">
        <v>80</v>
      </c>
      <c r="B172" s="120"/>
      <c r="C172" s="255"/>
      <c r="D172" s="107"/>
      <c r="E172" s="189"/>
      <c r="F172" s="107"/>
      <c r="G172" s="107"/>
      <c r="H172" s="107"/>
      <c r="I172" s="107"/>
      <c r="J172" s="107"/>
      <c r="K172" s="107"/>
      <c r="L172" s="107"/>
      <c r="M172" s="107"/>
      <c r="N172" s="107"/>
      <c r="O172" s="107"/>
      <c r="P172" s="107"/>
      <c r="Q172" s="107"/>
      <c r="R172" s="107">
        <v>0</v>
      </c>
      <c r="S172" s="107"/>
      <c r="T172" s="107"/>
      <c r="U172" s="109">
        <f>SUM(C172:S172)</f>
        <v>0</v>
      </c>
    </row>
    <row r="173" spans="1:21" s="89" customFormat="1" ht="19.5" hidden="1" x14ac:dyDescent="0.35">
      <c r="A173" s="91" t="s">
        <v>55</v>
      </c>
      <c r="B173" s="120"/>
      <c r="C173" s="255"/>
      <c r="D173" s="107"/>
      <c r="E173" s="189"/>
      <c r="F173" s="107"/>
      <c r="G173" s="107"/>
      <c r="H173" s="107"/>
      <c r="I173" s="107"/>
      <c r="J173" s="107"/>
      <c r="K173" s="107"/>
      <c r="L173" s="107"/>
      <c r="M173" s="107"/>
      <c r="N173" s="107">
        <f>$N$158</f>
        <v>0</v>
      </c>
      <c r="O173" s="107"/>
      <c r="P173" s="107"/>
      <c r="Q173" s="107"/>
      <c r="R173" s="107"/>
      <c r="S173" s="107"/>
      <c r="T173" s="107"/>
      <c r="U173" s="109">
        <f>SUM(C173:S173)</f>
        <v>0</v>
      </c>
    </row>
    <row r="174" spans="1:21" s="89" customFormat="1" ht="19.5" hidden="1" x14ac:dyDescent="0.35">
      <c r="A174" s="91" t="s">
        <v>81</v>
      </c>
      <c r="B174" s="120"/>
      <c r="C174" s="255"/>
      <c r="D174" s="107"/>
      <c r="E174" s="189"/>
      <c r="F174" s="107"/>
      <c r="G174" s="107"/>
      <c r="H174" s="107"/>
      <c r="I174" s="107"/>
      <c r="J174" s="107"/>
      <c r="K174" s="107"/>
      <c r="L174" s="107"/>
      <c r="M174" s="107"/>
      <c r="N174" s="107"/>
      <c r="O174" s="107"/>
      <c r="P174" s="107"/>
      <c r="Q174" s="107"/>
      <c r="R174" s="107"/>
      <c r="S174" s="107"/>
      <c r="T174" s="107"/>
      <c r="U174" s="109">
        <f>SUM(C174:S174)</f>
        <v>0</v>
      </c>
    </row>
    <row r="175" spans="1:21" s="89" customFormat="1" ht="19.5" hidden="1" x14ac:dyDescent="0.35">
      <c r="A175" s="91" t="s">
        <v>82</v>
      </c>
      <c r="B175" s="120"/>
      <c r="C175" s="255">
        <f>$I$105</f>
        <v>-2545000</v>
      </c>
      <c r="D175" s="107"/>
      <c r="E175" s="189"/>
      <c r="F175" s="107"/>
      <c r="G175" s="107"/>
      <c r="H175" s="107">
        <f>$I$114</f>
        <v>0</v>
      </c>
      <c r="I175" s="107">
        <f>-$I$116</f>
        <v>0</v>
      </c>
      <c r="J175" s="107"/>
      <c r="K175" s="107"/>
      <c r="L175" s="107">
        <f>L157</f>
        <v>0</v>
      </c>
      <c r="M175" s="107">
        <f>M160</f>
        <v>0</v>
      </c>
      <c r="N175" s="107"/>
      <c r="O175" s="107">
        <f>O160</f>
        <v>0</v>
      </c>
      <c r="P175" s="107">
        <f>P160</f>
        <v>0</v>
      </c>
      <c r="Q175" s="107"/>
      <c r="R175" s="107"/>
      <c r="S175" s="107">
        <f>-$I$134</f>
        <v>0</v>
      </c>
      <c r="T175" s="107"/>
      <c r="U175" s="109">
        <f>SUM(C175:S175)</f>
        <v>-2545000</v>
      </c>
    </row>
    <row r="176" spans="1:21" s="89" customFormat="1" ht="19.5" hidden="1" x14ac:dyDescent="0.35">
      <c r="A176" s="91" t="s">
        <v>83</v>
      </c>
      <c r="B176" s="120"/>
      <c r="C176" s="255"/>
      <c r="D176" s="107"/>
      <c r="E176" s="189"/>
      <c r="F176" s="107"/>
      <c r="G176" s="107"/>
      <c r="H176" s="107"/>
      <c r="I176" s="107"/>
      <c r="J176" s="107"/>
      <c r="K176" s="107"/>
      <c r="L176" s="107"/>
      <c r="M176" s="107"/>
      <c r="N176" s="107"/>
      <c r="O176" s="107"/>
      <c r="P176" s="107"/>
      <c r="Q176" s="107"/>
      <c r="R176" s="107"/>
      <c r="S176" s="107"/>
      <c r="T176" s="107"/>
      <c r="U176" s="109">
        <f>SUM(C176:S176)</f>
        <v>0</v>
      </c>
    </row>
    <row r="177" spans="1:21" s="89" customFormat="1" ht="20.25" hidden="1" thickBot="1" x14ac:dyDescent="0.4">
      <c r="A177" s="91"/>
      <c r="B177" s="121"/>
      <c r="C177" s="256">
        <f>SUM(C164:C176)</f>
        <v>0</v>
      </c>
      <c r="D177" s="110">
        <f>SUM(D164:D176)</f>
        <v>0</v>
      </c>
      <c r="E177" s="189"/>
      <c r="F177" s="110">
        <f>SUM(F164:F176)</f>
        <v>0</v>
      </c>
      <c r="G177" s="110">
        <f t="shared" ref="G177:T177" si="19">SUM(G164:G176)</f>
        <v>12589440</v>
      </c>
      <c r="H177" s="110">
        <f t="shared" si="19"/>
        <v>0</v>
      </c>
      <c r="I177" s="110">
        <f t="shared" si="19"/>
        <v>0</v>
      </c>
      <c r="J177" s="110"/>
      <c r="K177" s="110"/>
      <c r="L177" s="110">
        <f t="shared" si="19"/>
        <v>0</v>
      </c>
      <c r="M177" s="110">
        <f t="shared" si="19"/>
        <v>0</v>
      </c>
      <c r="N177" s="110">
        <f t="shared" si="19"/>
        <v>0</v>
      </c>
      <c r="O177" s="110">
        <f t="shared" si="19"/>
        <v>0</v>
      </c>
      <c r="P177" s="110">
        <f t="shared" si="19"/>
        <v>0</v>
      </c>
      <c r="Q177" s="110" t="e">
        <f t="shared" si="19"/>
        <v>#REF!</v>
      </c>
      <c r="R177" s="110">
        <f t="shared" si="19"/>
        <v>292577</v>
      </c>
      <c r="S177" s="110">
        <f t="shared" si="19"/>
        <v>0</v>
      </c>
      <c r="T177" s="110">
        <f t="shared" si="19"/>
        <v>0</v>
      </c>
      <c r="U177" s="111" t="e">
        <f>SUM(U164:U176)</f>
        <v>#REF!</v>
      </c>
    </row>
    <row r="178" spans="1:21" s="89" customFormat="1" ht="20.25" hidden="1" thickTop="1" x14ac:dyDescent="0.35">
      <c r="A178" s="112"/>
      <c r="B178" s="122"/>
      <c r="C178" s="255">
        <f>C162-C177</f>
        <v>0</v>
      </c>
      <c r="D178" s="107">
        <f>D162-D177</f>
        <v>0</v>
      </c>
      <c r="E178" s="189"/>
      <c r="F178" s="107">
        <f>F162-F177</f>
        <v>0</v>
      </c>
      <c r="G178" s="107">
        <f>G162-G177</f>
        <v>0</v>
      </c>
      <c r="H178" s="107">
        <f t="shared" ref="H178:U178" si="20">H162-H177</f>
        <v>0</v>
      </c>
      <c r="I178" s="107">
        <f t="shared" si="20"/>
        <v>0</v>
      </c>
      <c r="J178" s="107"/>
      <c r="K178" s="107"/>
      <c r="L178" s="107">
        <f t="shared" si="20"/>
        <v>0</v>
      </c>
      <c r="M178" s="107">
        <f t="shared" si="20"/>
        <v>0</v>
      </c>
      <c r="N178" s="107">
        <f t="shared" si="20"/>
        <v>0</v>
      </c>
      <c r="O178" s="107">
        <f t="shared" si="20"/>
        <v>0</v>
      </c>
      <c r="P178" s="107">
        <f t="shared" si="20"/>
        <v>0</v>
      </c>
      <c r="Q178" s="107" t="e">
        <f t="shared" si="20"/>
        <v>#REF!</v>
      </c>
      <c r="R178" s="107">
        <f t="shared" si="20"/>
        <v>0</v>
      </c>
      <c r="S178" s="107">
        <f t="shared" si="20"/>
        <v>0</v>
      </c>
      <c r="T178" s="107"/>
      <c r="U178" s="107" t="e">
        <f t="shared" si="20"/>
        <v>#REF!</v>
      </c>
    </row>
    <row r="179" spans="1:21" s="89" customFormat="1" hidden="1" x14ac:dyDescent="0.25">
      <c r="A179" s="40"/>
      <c r="B179" s="13"/>
      <c r="C179" s="248"/>
      <c r="E179" s="98"/>
      <c r="G179" s="195"/>
    </row>
    <row r="180" spans="1:21" s="89" customFormat="1" x14ac:dyDescent="0.25">
      <c r="A180" s="40"/>
      <c r="B180" s="13"/>
      <c r="C180" s="248"/>
      <c r="E180" s="98"/>
      <c r="G180" s="195"/>
    </row>
    <row r="181" spans="1:21" s="89" customFormat="1" x14ac:dyDescent="0.25">
      <c r="A181" s="40"/>
      <c r="B181" s="13"/>
      <c r="C181" s="248"/>
      <c r="E181" s="98"/>
    </row>
    <row r="182" spans="1:21" x14ac:dyDescent="0.25">
      <c r="B182" s="10"/>
      <c r="E182" s="19"/>
    </row>
    <row r="183" spans="1:21" x14ac:dyDescent="0.25">
      <c r="B183" s="10"/>
      <c r="E183" s="19"/>
    </row>
    <row r="184" spans="1:21" x14ac:dyDescent="0.25">
      <c r="B184" s="10"/>
      <c r="E184" s="19"/>
    </row>
    <row r="185" spans="1:21" x14ac:dyDescent="0.25">
      <c r="B185" s="10"/>
      <c r="E185" s="19"/>
    </row>
    <row r="186" spans="1:21" x14ac:dyDescent="0.25">
      <c r="B186" s="10"/>
    </row>
    <row r="187" spans="1:21" x14ac:dyDescent="0.25">
      <c r="B187" s="10"/>
    </row>
    <row r="188" spans="1:21" x14ac:dyDescent="0.25">
      <c r="B188" s="10"/>
    </row>
    <row r="189" spans="1:21" x14ac:dyDescent="0.25">
      <c r="B189" s="10"/>
    </row>
    <row r="190" spans="1:21" x14ac:dyDescent="0.25">
      <c r="B190" s="10"/>
    </row>
  </sheetData>
  <phoneticPr fontId="2" type="noConversion"/>
  <printOptions horizontalCentered="1" headings="1" gridLines="1"/>
  <pageMargins left="0.25" right="0.25" top="0.5" bottom="0.25" header="0.3" footer="0.3"/>
  <pageSetup paperSize="17" scale="36" orientation="landscape" blackAndWhite="1" r:id="rId1"/>
  <headerFooter alignWithMargins="0">
    <oddHeader>&amp;C&amp;"Arial,Bold"&amp;14BALANCE SHEET FOR DECEMBER 2015</oddHeader>
    <oddFooter>&amp;R&amp;14&amp;Z&amp;F&amp;A</oddFooter>
  </headerFooter>
  <customProperties>
    <customPr name="_pios_id" r:id="rId2"/>
  </customPropertie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89"/>
  <sheetViews>
    <sheetView view="pageBreakPreview" zoomScale="70" zoomScaleNormal="60" zoomScaleSheetLayoutView="70" workbookViewId="0">
      <pane xSplit="2" ySplit="1" topLeftCell="C2" activePane="bottomRight" state="frozen"/>
      <selection activeCell="M9" sqref="M9:O15"/>
      <selection pane="topRight" activeCell="M9" sqref="M9:O15"/>
      <selection pane="bottomLeft" activeCell="M9" sqref="M9:O15"/>
      <selection pane="bottomRight" activeCell="M9" sqref="M9:O15"/>
    </sheetView>
  </sheetViews>
  <sheetFormatPr defaultRowHeight="18" outlineLevelCol="1" x14ac:dyDescent="0.25"/>
  <cols>
    <col min="1" max="1" width="105.5703125" style="9" customWidth="1"/>
    <col min="2" max="2" width="80.42578125" style="9" hidden="1" customWidth="1" outlineLevel="1"/>
    <col min="3" max="3" width="13.5703125" style="204" customWidth="1" collapsed="1"/>
    <col min="4" max="4" width="26.5703125" style="250" customWidth="1"/>
    <col min="5" max="5" width="4" style="9" customWidth="1" collapsed="1"/>
    <col min="6" max="6" width="22.28515625" style="18" customWidth="1"/>
    <col min="7" max="7" width="25.7109375" style="18" hidden="1" customWidth="1" outlineLevel="1"/>
    <col min="8" max="8" width="4.5703125" style="19" customWidth="1" collapsed="1"/>
    <col min="9" max="9" width="22.5703125" style="18" customWidth="1"/>
    <col min="10" max="10" width="3.7109375" style="19" customWidth="1"/>
    <col min="11" max="11" width="20.28515625" style="18" customWidth="1"/>
    <col min="12" max="12" width="23.28515625" style="18" customWidth="1"/>
    <col min="13" max="13" width="8.7109375" style="194" customWidth="1"/>
    <col min="14" max="14" width="20.42578125" style="18" customWidth="1"/>
    <col min="15" max="15" width="16.140625" style="18" customWidth="1"/>
    <col min="16" max="16" width="41.7109375" style="18" hidden="1" customWidth="1"/>
    <col min="17" max="17" width="4.140625" style="18" customWidth="1"/>
    <col min="18" max="19" width="21.42578125" style="18" customWidth="1"/>
    <col min="20" max="20" width="21.28515625" style="18" customWidth="1"/>
    <col min="21" max="21" width="18.140625" style="18" customWidth="1"/>
    <col min="22" max="22" width="24.85546875" style="18" customWidth="1"/>
    <col min="23" max="23" width="20" style="18" customWidth="1"/>
    <col min="24" max="24" width="14.7109375" style="18" bestFit="1" customWidth="1"/>
    <col min="25" max="25" width="14.7109375" style="18" customWidth="1"/>
    <col min="26" max="26" width="22.42578125" style="18" customWidth="1"/>
    <col min="27" max="27" width="6.42578125" style="18" customWidth="1"/>
    <col min="28" max="16384" width="9.140625" style="18"/>
  </cols>
  <sheetData>
    <row r="1" spans="1:21" x14ac:dyDescent="0.25">
      <c r="A1" s="20"/>
      <c r="B1" s="21"/>
      <c r="C1" s="198"/>
      <c r="E1" s="21"/>
    </row>
    <row r="2" spans="1:21" ht="18.75" thickBot="1" x14ac:dyDescent="0.3">
      <c r="A2" s="41"/>
      <c r="B2" s="21"/>
      <c r="C2" s="198"/>
      <c r="E2" s="21"/>
      <c r="H2" s="18"/>
      <c r="J2" s="18"/>
      <c r="L2" s="159"/>
      <c r="M2" s="159"/>
    </row>
    <row r="3" spans="1:21" x14ac:dyDescent="0.25">
      <c r="A3" s="42" t="s">
        <v>93</v>
      </c>
      <c r="B3" s="22"/>
      <c r="C3" s="22"/>
      <c r="D3" s="251" t="s">
        <v>94</v>
      </c>
      <c r="E3" s="22"/>
      <c r="F3" s="22" t="s">
        <v>95</v>
      </c>
      <c r="G3" s="22"/>
      <c r="H3" s="223"/>
      <c r="I3" s="22"/>
      <c r="J3" s="223"/>
      <c r="K3" s="22"/>
      <c r="L3" s="22" t="s">
        <v>96</v>
      </c>
      <c r="M3" s="22"/>
      <c r="N3" s="23" t="s">
        <v>97</v>
      </c>
      <c r="O3" s="205" t="s">
        <v>333</v>
      </c>
      <c r="R3" s="205" t="s">
        <v>151</v>
      </c>
    </row>
    <row r="4" spans="1:21" ht="20.25" x14ac:dyDescent="0.3">
      <c r="A4" s="191"/>
      <c r="B4" s="192"/>
      <c r="C4" s="192"/>
      <c r="D4" s="252"/>
      <c r="E4" s="192"/>
      <c r="F4" s="192"/>
      <c r="G4" s="192"/>
      <c r="H4" s="18"/>
      <c r="I4" s="192"/>
      <c r="J4" s="18"/>
      <c r="K4" s="192"/>
      <c r="L4" s="192"/>
      <c r="M4" s="192"/>
      <c r="N4" s="193"/>
      <c r="O4" s="266"/>
    </row>
    <row r="5" spans="1:21" ht="20.25" x14ac:dyDescent="0.3">
      <c r="A5" s="37" t="s">
        <v>288</v>
      </c>
      <c r="B5" s="29"/>
      <c r="C5" s="160"/>
      <c r="D5" s="344">
        <v>22830003</v>
      </c>
      <c r="E5" s="29"/>
      <c r="F5" s="13" t="s">
        <v>283</v>
      </c>
      <c r="G5" s="13"/>
      <c r="H5" s="345"/>
      <c r="I5" s="13"/>
      <c r="J5" s="345"/>
      <c r="K5" s="345"/>
      <c r="L5" s="345"/>
      <c r="M5" s="195" t="s">
        <v>687</v>
      </c>
      <c r="N5" s="26">
        <v>-2545000</v>
      </c>
      <c r="O5" s="266"/>
      <c r="R5" s="18" t="s">
        <v>423</v>
      </c>
      <c r="S5" s="331" t="s">
        <v>452</v>
      </c>
      <c r="T5" s="331"/>
      <c r="U5" s="331"/>
    </row>
    <row r="6" spans="1:21" ht="20.25" x14ac:dyDescent="0.3">
      <c r="A6" s="27"/>
      <c r="B6" s="10"/>
      <c r="C6" s="123"/>
      <c r="D6" s="260"/>
      <c r="E6" s="10"/>
      <c r="F6" s="10"/>
      <c r="G6" s="10"/>
      <c r="H6" s="30"/>
      <c r="I6" s="10"/>
      <c r="J6" s="30"/>
      <c r="K6" s="30"/>
      <c r="L6" s="30"/>
      <c r="N6" s="26"/>
      <c r="O6" s="266"/>
      <c r="S6" s="331"/>
      <c r="T6" s="331"/>
      <c r="U6" s="331"/>
    </row>
    <row r="7" spans="1:21" ht="20.25" x14ac:dyDescent="0.3">
      <c r="A7" s="27" t="s">
        <v>289</v>
      </c>
      <c r="B7" s="10"/>
      <c r="C7" s="123"/>
      <c r="D7" s="260" t="s">
        <v>98</v>
      </c>
      <c r="E7" s="10"/>
      <c r="F7" s="10" t="s">
        <v>559</v>
      </c>
      <c r="G7" s="10"/>
      <c r="H7" s="30"/>
      <c r="I7" s="10"/>
      <c r="J7" s="30"/>
      <c r="K7" s="30"/>
      <c r="L7" s="30"/>
      <c r="M7" s="194" t="s">
        <v>664</v>
      </c>
      <c r="N7" s="26">
        <v>0</v>
      </c>
      <c r="O7" s="266"/>
      <c r="R7" s="18" t="s">
        <v>232</v>
      </c>
      <c r="S7" s="331" t="s">
        <v>453</v>
      </c>
      <c r="T7" s="331"/>
      <c r="U7" s="331"/>
    </row>
    <row r="8" spans="1:21" ht="20.25" x14ac:dyDescent="0.3">
      <c r="A8" s="27"/>
      <c r="B8" s="10"/>
      <c r="C8" s="123"/>
      <c r="D8" s="260"/>
      <c r="E8" s="10"/>
      <c r="F8" s="10"/>
      <c r="G8" s="10"/>
      <c r="H8" s="30"/>
      <c r="I8" s="10"/>
      <c r="J8" s="30"/>
      <c r="K8" s="30"/>
      <c r="L8" s="30"/>
      <c r="N8" s="26"/>
      <c r="O8" s="266"/>
      <c r="R8" s="89"/>
    </row>
    <row r="9" spans="1:21" ht="20.25" x14ac:dyDescent="0.3">
      <c r="A9" s="37" t="s">
        <v>542</v>
      </c>
      <c r="B9" s="24"/>
      <c r="C9" s="379"/>
      <c r="D9" s="389" t="s">
        <v>552</v>
      </c>
      <c r="E9" s="24"/>
      <c r="F9" s="13" t="s">
        <v>100</v>
      </c>
      <c r="G9" s="13"/>
      <c r="H9" s="13"/>
      <c r="I9" s="13"/>
      <c r="J9" s="13"/>
      <c r="K9" s="13"/>
      <c r="L9" s="13"/>
      <c r="M9" s="195" t="s">
        <v>545</v>
      </c>
      <c r="N9" s="31">
        <v>0</v>
      </c>
      <c r="O9" s="266"/>
      <c r="R9" s="89" t="s">
        <v>233</v>
      </c>
      <c r="S9" s="89"/>
      <c r="T9" s="89"/>
      <c r="U9" s="89"/>
    </row>
    <row r="10" spans="1:21" ht="20.25" x14ac:dyDescent="0.3">
      <c r="A10" s="346"/>
      <c r="B10" s="347"/>
      <c r="C10" s="348"/>
      <c r="D10" s="349"/>
      <c r="E10" s="347"/>
      <c r="F10" s="350"/>
      <c r="G10" s="350"/>
      <c r="H10" s="13"/>
      <c r="I10" s="350"/>
      <c r="J10" s="13"/>
      <c r="K10" s="13"/>
      <c r="L10" s="13"/>
      <c r="M10" s="195"/>
      <c r="N10" s="31"/>
      <c r="O10" s="266"/>
      <c r="R10" s="331" t="s">
        <v>556</v>
      </c>
      <c r="S10" s="89"/>
      <c r="T10" s="89"/>
      <c r="U10" s="89"/>
    </row>
    <row r="11" spans="1:21" ht="20.25" x14ac:dyDescent="0.3">
      <c r="A11" s="27"/>
      <c r="B11" s="12"/>
      <c r="C11" s="199"/>
      <c r="D11" s="261"/>
      <c r="E11" s="12"/>
      <c r="F11" s="32"/>
      <c r="G11" s="32"/>
      <c r="H11" s="10"/>
      <c r="I11" s="32"/>
      <c r="J11" s="10"/>
      <c r="K11" s="10"/>
      <c r="L11" s="10"/>
      <c r="N11" s="31"/>
      <c r="O11" s="266"/>
    </row>
    <row r="12" spans="1:21" ht="20.25" x14ac:dyDescent="0.3">
      <c r="A12" s="478" t="s">
        <v>290</v>
      </c>
      <c r="B12" s="479"/>
      <c r="C12" s="480"/>
      <c r="D12" s="481"/>
      <c r="E12" s="479"/>
      <c r="F12" s="482" t="s">
        <v>306</v>
      </c>
      <c r="G12" s="483"/>
      <c r="H12" s="484"/>
      <c r="I12" s="482"/>
      <c r="J12" s="484"/>
      <c r="K12" s="479"/>
      <c r="L12" s="479"/>
      <c r="M12" s="485"/>
      <c r="N12" s="486">
        <f>IF('BS-PSE &amp; PE'!$C$26&lt;0,-'BS-PSE &amp; PE'!$C$26,0)</f>
        <v>12589440</v>
      </c>
      <c r="O12" s="266"/>
    </row>
    <row r="13" spans="1:21" s="89" customFormat="1" ht="20.25" x14ac:dyDescent="0.3">
      <c r="A13" s="37"/>
      <c r="B13" s="13"/>
      <c r="C13" s="160"/>
      <c r="D13" s="263"/>
      <c r="E13" s="13"/>
      <c r="F13" s="39"/>
      <c r="G13" s="39"/>
      <c r="H13" s="13"/>
      <c r="I13" s="39"/>
      <c r="J13" s="13"/>
      <c r="K13" s="13"/>
      <c r="L13" s="13"/>
      <c r="M13" s="195"/>
      <c r="N13" s="31"/>
      <c r="O13" s="268"/>
    </row>
    <row r="14" spans="1:21" ht="20.25" x14ac:dyDescent="0.3">
      <c r="A14" s="27" t="s">
        <v>291</v>
      </c>
      <c r="B14" s="28"/>
      <c r="C14" s="123"/>
      <c r="D14" s="258">
        <v>18600511</v>
      </c>
      <c r="E14" s="28"/>
      <c r="F14" s="10" t="s">
        <v>160</v>
      </c>
      <c r="G14" s="10"/>
      <c r="H14" s="36"/>
      <c r="I14" s="10"/>
      <c r="J14" s="36"/>
      <c r="K14" s="36"/>
      <c r="L14" s="175" t="s">
        <v>279</v>
      </c>
      <c r="M14" s="194" t="s">
        <v>665</v>
      </c>
      <c r="N14" s="31">
        <v>0</v>
      </c>
      <c r="O14" s="266"/>
      <c r="P14" s="266"/>
      <c r="Q14" s="266"/>
      <c r="R14" s="18" t="s">
        <v>553</v>
      </c>
    </row>
    <row r="15" spans="1:21" ht="20.25" x14ac:dyDescent="0.3">
      <c r="A15" s="27"/>
      <c r="B15" s="28"/>
      <c r="C15" s="123"/>
      <c r="D15" s="260"/>
      <c r="E15" s="28"/>
      <c r="F15" s="10"/>
      <c r="G15" s="10"/>
      <c r="H15" s="36"/>
      <c r="I15" s="10"/>
      <c r="J15" s="36"/>
      <c r="K15" s="36"/>
      <c r="L15" s="175"/>
      <c r="N15" s="31"/>
      <c r="O15" s="266"/>
      <c r="P15" s="266"/>
      <c r="Q15" s="266"/>
    </row>
    <row r="16" spans="1:21" ht="20.25" x14ac:dyDescent="0.3">
      <c r="A16" s="37" t="s">
        <v>292</v>
      </c>
      <c r="B16" s="29"/>
      <c r="C16" s="160"/>
      <c r="D16" s="258">
        <v>18230361</v>
      </c>
      <c r="E16" s="29"/>
      <c r="F16" s="13" t="s">
        <v>102</v>
      </c>
      <c r="G16" s="13"/>
      <c r="H16" s="13"/>
      <c r="I16" s="13"/>
      <c r="J16" s="13"/>
      <c r="K16" s="13"/>
      <c r="L16" s="175" t="s">
        <v>279</v>
      </c>
      <c r="M16" s="194" t="s">
        <v>666</v>
      </c>
      <c r="N16" s="31">
        <v>0</v>
      </c>
      <c r="O16" s="266"/>
      <c r="P16" s="266"/>
      <c r="Q16" s="266"/>
      <c r="R16" s="18" t="s">
        <v>553</v>
      </c>
    </row>
    <row r="17" spans="1:23" ht="20.25" x14ac:dyDescent="0.3">
      <c r="A17" s="37"/>
      <c r="B17" s="29"/>
      <c r="C17" s="160"/>
      <c r="D17" s="258"/>
      <c r="E17" s="29"/>
      <c r="F17" s="13"/>
      <c r="G17" s="13"/>
      <c r="H17" s="13"/>
      <c r="I17" s="13"/>
      <c r="J17" s="13"/>
      <c r="K17" s="13"/>
      <c r="L17" s="175"/>
      <c r="N17" s="31"/>
      <c r="O17" s="266"/>
      <c r="P17" s="266"/>
      <c r="Q17" s="266"/>
    </row>
    <row r="18" spans="1:23" ht="20.25" x14ac:dyDescent="0.3">
      <c r="A18" s="27" t="s">
        <v>293</v>
      </c>
      <c r="B18" s="28"/>
      <c r="C18" s="123"/>
      <c r="D18" s="258">
        <v>18500003</v>
      </c>
      <c r="E18" s="28"/>
      <c r="F18" s="10" t="s">
        <v>103</v>
      </c>
      <c r="G18" s="10"/>
      <c r="H18" s="36"/>
      <c r="I18" s="10"/>
      <c r="J18" s="36"/>
      <c r="K18" s="36"/>
      <c r="L18" s="175" t="s">
        <v>279</v>
      </c>
      <c r="M18" s="194" t="s">
        <v>667</v>
      </c>
      <c r="N18" s="31">
        <v>0</v>
      </c>
      <c r="O18" s="266"/>
      <c r="P18" s="266"/>
      <c r="Q18" s="266"/>
      <c r="R18" s="18" t="s">
        <v>553</v>
      </c>
      <c r="S18" s="331" t="s">
        <v>454</v>
      </c>
      <c r="T18" s="331"/>
      <c r="U18" s="331"/>
      <c r="V18" s="331"/>
    </row>
    <row r="19" spans="1:23" ht="20.25" x14ac:dyDescent="0.3">
      <c r="A19" s="27"/>
      <c r="B19" s="28"/>
      <c r="C19" s="123"/>
      <c r="D19" s="260"/>
      <c r="E19" s="28"/>
      <c r="F19" s="10"/>
      <c r="G19" s="10"/>
      <c r="H19" s="36"/>
      <c r="I19" s="10"/>
      <c r="J19" s="36"/>
      <c r="K19" s="36"/>
      <c r="L19" s="175"/>
      <c r="N19" s="31"/>
      <c r="O19" s="266"/>
      <c r="P19" s="266"/>
      <c r="Q19" s="266"/>
    </row>
    <row r="20" spans="1:23" ht="20.25" x14ac:dyDescent="0.3">
      <c r="A20" s="37" t="s">
        <v>294</v>
      </c>
      <c r="B20" s="29"/>
      <c r="C20" s="160"/>
      <c r="D20" s="263" t="s">
        <v>343</v>
      </c>
      <c r="E20" s="29"/>
      <c r="F20" s="13" t="s">
        <v>104</v>
      </c>
      <c r="G20" s="13"/>
      <c r="H20" s="36"/>
      <c r="I20" s="13"/>
      <c r="J20" s="36"/>
      <c r="K20" s="36"/>
      <c r="L20" s="175" t="s">
        <v>279</v>
      </c>
      <c r="M20" s="194" t="s">
        <v>671</v>
      </c>
      <c r="N20" s="31">
        <v>0</v>
      </c>
      <c r="O20" s="266"/>
      <c r="P20" s="266"/>
      <c r="Q20" s="266"/>
      <c r="R20" s="18" t="s">
        <v>234</v>
      </c>
    </row>
    <row r="21" spans="1:23" ht="20.25" x14ac:dyDescent="0.3">
      <c r="A21" s="37"/>
      <c r="B21" s="29"/>
      <c r="C21" s="160"/>
      <c r="D21" s="263"/>
      <c r="E21" s="29"/>
      <c r="F21" s="13"/>
      <c r="G21" s="13"/>
      <c r="H21" s="36"/>
      <c r="I21" s="13"/>
      <c r="J21" s="36"/>
      <c r="K21" s="36"/>
      <c r="L21" s="175"/>
      <c r="N21" s="31"/>
      <c r="O21" s="266"/>
      <c r="P21" s="266"/>
      <c r="Q21" s="266"/>
    </row>
    <row r="22" spans="1:23" ht="20.25" x14ac:dyDescent="0.3">
      <c r="A22" s="27" t="s">
        <v>295</v>
      </c>
      <c r="B22" s="28"/>
      <c r="C22" s="123"/>
      <c r="D22" s="260" t="s">
        <v>105</v>
      </c>
      <c r="E22" s="28"/>
      <c r="F22" s="10" t="s">
        <v>106</v>
      </c>
      <c r="G22" s="10"/>
      <c r="H22" s="36"/>
      <c r="I22" s="10"/>
      <c r="J22" s="36"/>
      <c r="K22" s="36"/>
      <c r="L22" s="175" t="s">
        <v>279</v>
      </c>
      <c r="M22" s="194" t="s">
        <v>672</v>
      </c>
      <c r="N22" s="31">
        <v>0</v>
      </c>
      <c r="O22" s="266"/>
      <c r="P22" s="266"/>
      <c r="Q22" s="266"/>
      <c r="R22" s="18" t="s">
        <v>235</v>
      </c>
    </row>
    <row r="23" spans="1:23" ht="20.25" x14ac:dyDescent="0.3">
      <c r="A23" s="27"/>
      <c r="B23" s="28"/>
      <c r="C23" s="123"/>
      <c r="D23" s="260"/>
      <c r="E23" s="28"/>
      <c r="F23" s="10"/>
      <c r="G23" s="10"/>
      <c r="H23" s="36"/>
      <c r="I23" s="10"/>
      <c r="J23" s="36"/>
      <c r="K23" s="36"/>
      <c r="L23" s="175"/>
      <c r="N23" s="31"/>
      <c r="O23" s="266"/>
      <c r="P23" s="266"/>
      <c r="Q23" s="266"/>
    </row>
    <row r="24" spans="1:23" ht="20.25" x14ac:dyDescent="0.3">
      <c r="A24" s="478" t="s">
        <v>296</v>
      </c>
      <c r="B24" s="487"/>
      <c r="C24" s="480"/>
      <c r="D24" s="481"/>
      <c r="E24" s="487"/>
      <c r="F24" s="482" t="s">
        <v>306</v>
      </c>
      <c r="G24" s="483"/>
      <c r="H24" s="484"/>
      <c r="I24" s="482"/>
      <c r="J24" s="484"/>
      <c r="K24" s="479"/>
      <c r="L24" s="479"/>
      <c r="M24" s="485"/>
      <c r="N24" s="486">
        <f>IF('BS-PSE &amp; PE'!$C$40&lt;0,'BS-PSE &amp; PE'!$C$40,0)</f>
        <v>0</v>
      </c>
      <c r="O24" s="266"/>
      <c r="P24" s="266"/>
      <c r="Q24" s="266"/>
    </row>
    <row r="25" spans="1:23" ht="20.25" x14ac:dyDescent="0.3">
      <c r="A25" s="37"/>
      <c r="B25" s="29"/>
      <c r="C25" s="160"/>
      <c r="D25" s="263"/>
      <c r="E25" s="29"/>
      <c r="F25" s="39"/>
      <c r="G25" s="39"/>
      <c r="H25" s="13"/>
      <c r="I25" s="39"/>
      <c r="J25" s="13"/>
      <c r="K25" s="13"/>
      <c r="L25" s="13"/>
      <c r="M25" s="195"/>
      <c r="N25" s="31"/>
      <c r="O25" s="266"/>
      <c r="P25" s="266"/>
      <c r="Q25" s="266"/>
    </row>
    <row r="26" spans="1:23" ht="20.25" x14ac:dyDescent="0.3">
      <c r="A26" s="27" t="s">
        <v>297</v>
      </c>
      <c r="B26" s="28"/>
      <c r="C26" s="123"/>
      <c r="D26" s="258" t="s">
        <v>426</v>
      </c>
      <c r="E26" s="28"/>
      <c r="F26" s="10" t="s">
        <v>107</v>
      </c>
      <c r="G26" s="10"/>
      <c r="H26" s="10"/>
      <c r="I26" s="10"/>
      <c r="J26" s="10"/>
      <c r="K26" s="10"/>
      <c r="L26" s="36" t="s">
        <v>280</v>
      </c>
      <c r="M26" s="194" t="s">
        <v>673</v>
      </c>
      <c r="N26" s="31">
        <v>0</v>
      </c>
      <c r="O26" s="266"/>
      <c r="P26" s="266"/>
      <c r="Q26" s="266"/>
      <c r="R26" s="18" t="s">
        <v>554</v>
      </c>
    </row>
    <row r="27" spans="1:23" ht="20.25" x14ac:dyDescent="0.3">
      <c r="A27" s="27"/>
      <c r="B27" s="28"/>
      <c r="C27" s="123"/>
      <c r="D27" s="258"/>
      <c r="E27" s="28"/>
      <c r="F27" s="10"/>
      <c r="G27" s="10"/>
      <c r="H27" s="10"/>
      <c r="I27" s="10"/>
      <c r="J27" s="10"/>
      <c r="K27" s="10"/>
      <c r="L27" s="36"/>
      <c r="N27" s="31"/>
      <c r="O27" s="266"/>
      <c r="P27" s="266"/>
      <c r="Q27" s="266"/>
    </row>
    <row r="28" spans="1:23" ht="20.25" x14ac:dyDescent="0.3">
      <c r="A28" s="27" t="s">
        <v>298</v>
      </c>
      <c r="B28" s="28"/>
      <c r="C28" s="123"/>
      <c r="D28" s="258">
        <v>18600321</v>
      </c>
      <c r="E28" s="28"/>
      <c r="F28" s="10" t="s">
        <v>108</v>
      </c>
      <c r="G28" s="10"/>
      <c r="H28" s="36"/>
      <c r="I28" s="10"/>
      <c r="J28" s="36"/>
      <c r="K28" s="36"/>
      <c r="L28" s="175" t="s">
        <v>279</v>
      </c>
      <c r="M28" s="194" t="s">
        <v>668</v>
      </c>
      <c r="N28" s="31">
        <v>0</v>
      </c>
      <c r="O28" s="266"/>
      <c r="P28" s="266"/>
      <c r="Q28" s="266"/>
      <c r="R28" s="18" t="s">
        <v>553</v>
      </c>
    </row>
    <row r="29" spans="1:23" ht="20.25" x14ac:dyDescent="0.3">
      <c r="A29" s="27"/>
      <c r="B29" s="28"/>
      <c r="C29" s="123"/>
      <c r="D29" s="258"/>
      <c r="E29" s="28"/>
      <c r="F29" s="10"/>
      <c r="G29" s="10"/>
      <c r="H29" s="36"/>
      <c r="I29" s="10"/>
      <c r="J29" s="36"/>
      <c r="K29" s="36"/>
      <c r="L29" s="175"/>
      <c r="N29" s="31"/>
      <c r="O29" s="266"/>
      <c r="P29" s="266"/>
      <c r="Q29" s="266"/>
    </row>
    <row r="30" spans="1:23" s="89" customFormat="1" ht="20.25" x14ac:dyDescent="0.3">
      <c r="A30" s="37" t="s">
        <v>676</v>
      </c>
      <c r="B30" s="29"/>
      <c r="C30" s="160"/>
      <c r="D30" s="263" t="s">
        <v>110</v>
      </c>
      <c r="E30" s="29"/>
      <c r="F30" s="13" t="s">
        <v>287</v>
      </c>
      <c r="G30" s="13"/>
      <c r="H30" s="13"/>
      <c r="I30" s="13"/>
      <c r="J30" s="13"/>
      <c r="K30" s="13"/>
      <c r="L30" s="13"/>
      <c r="M30" s="195" t="s">
        <v>674</v>
      </c>
      <c r="N30" s="330">
        <v>292577</v>
      </c>
      <c r="O30" s="268"/>
      <c r="P30" s="268"/>
      <c r="Q30" s="268"/>
      <c r="R30" s="89" t="s">
        <v>308</v>
      </c>
      <c r="S30" s="89" t="s">
        <v>427</v>
      </c>
      <c r="T30" s="307" t="s">
        <v>422</v>
      </c>
      <c r="U30" s="307"/>
      <c r="V30" s="307"/>
      <c r="W30" s="306"/>
    </row>
    <row r="31" spans="1:23" s="89" customFormat="1" ht="20.25" x14ac:dyDescent="0.3">
      <c r="A31" s="37"/>
      <c r="B31" s="29"/>
      <c r="C31" s="160"/>
      <c r="D31" s="263"/>
      <c r="E31" s="29"/>
      <c r="F31" s="13"/>
      <c r="G31" s="13"/>
      <c r="H31" s="13"/>
      <c r="I31" s="13"/>
      <c r="J31" s="13"/>
      <c r="K31" s="13"/>
      <c r="L31" s="13"/>
      <c r="M31" s="195"/>
      <c r="N31" s="88"/>
      <c r="O31" s="268"/>
      <c r="P31" s="268"/>
      <c r="Q31" s="268"/>
      <c r="T31" s="331" t="s">
        <v>455</v>
      </c>
      <c r="U31" s="331"/>
      <c r="V31" s="331"/>
    </row>
    <row r="32" spans="1:23" ht="20.25" x14ac:dyDescent="0.3">
      <c r="A32" s="37" t="s">
        <v>677</v>
      </c>
      <c r="B32" s="29"/>
      <c r="C32" s="160"/>
      <c r="D32" s="258">
        <v>18400013</v>
      </c>
      <c r="E32" s="29"/>
      <c r="F32" s="24" t="s">
        <v>111</v>
      </c>
      <c r="G32" s="24"/>
      <c r="H32" s="36"/>
      <c r="I32" s="24"/>
      <c r="J32" s="36"/>
      <c r="K32" s="36"/>
      <c r="L32" s="175" t="s">
        <v>279</v>
      </c>
      <c r="M32" s="194" t="s">
        <v>669</v>
      </c>
      <c r="N32" s="31">
        <v>0</v>
      </c>
      <c r="O32" s="266"/>
      <c r="P32" s="266"/>
      <c r="Q32" s="266"/>
      <c r="R32" s="18" t="s">
        <v>553</v>
      </c>
      <c r="T32" s="331" t="s">
        <v>456</v>
      </c>
      <c r="U32" s="331"/>
      <c r="V32" s="331"/>
    </row>
    <row r="33" spans="1:27" ht="20.25" x14ac:dyDescent="0.3">
      <c r="A33" s="37"/>
      <c r="B33" s="29"/>
      <c r="C33" s="160"/>
      <c r="D33" s="258"/>
      <c r="E33" s="29"/>
      <c r="F33" s="24"/>
      <c r="G33" s="24"/>
      <c r="H33" s="36"/>
      <c r="I33" s="24"/>
      <c r="J33" s="36"/>
      <c r="K33" s="36"/>
      <c r="L33" s="175"/>
      <c r="N33" s="31"/>
      <c r="O33" s="266"/>
      <c r="P33" s="266"/>
      <c r="Q33" s="266"/>
      <c r="T33" s="331"/>
      <c r="U33" s="331"/>
      <c r="V33" s="331"/>
    </row>
    <row r="34" spans="1:27" ht="20.25" x14ac:dyDescent="0.3">
      <c r="A34" s="37" t="s">
        <v>678</v>
      </c>
      <c r="B34" s="29"/>
      <c r="C34" s="160"/>
      <c r="D34" s="258" t="s">
        <v>562</v>
      </c>
      <c r="E34" s="29"/>
      <c r="F34" s="24" t="s">
        <v>563</v>
      </c>
      <c r="G34" s="24"/>
      <c r="H34" s="36"/>
      <c r="I34" s="24"/>
      <c r="J34" s="36"/>
      <c r="K34" s="36"/>
      <c r="L34" s="175" t="s">
        <v>279</v>
      </c>
      <c r="M34" s="194" t="s">
        <v>670</v>
      </c>
      <c r="N34" s="31">
        <v>0</v>
      </c>
      <c r="O34" s="266"/>
      <c r="P34" s="266"/>
      <c r="Q34" s="266"/>
      <c r="R34" s="18" t="s">
        <v>553</v>
      </c>
      <c r="T34" s="331"/>
      <c r="U34" s="331"/>
      <c r="V34" s="331"/>
    </row>
    <row r="35" spans="1:27" ht="21" thickBot="1" x14ac:dyDescent="0.35">
      <c r="A35" s="381"/>
      <c r="B35" s="382"/>
      <c r="C35" s="383"/>
      <c r="D35" s="384"/>
      <c r="E35" s="382"/>
      <c r="F35" s="385"/>
      <c r="G35" s="385"/>
      <c r="H35" s="386"/>
      <c r="I35" s="385"/>
      <c r="J35" s="386"/>
      <c r="K35" s="386"/>
      <c r="L35" s="387"/>
      <c r="M35" s="388"/>
      <c r="N35" s="106"/>
      <c r="O35" s="266"/>
      <c r="P35" s="266"/>
      <c r="Q35" s="266"/>
      <c r="T35" s="331"/>
      <c r="U35" s="331"/>
      <c r="V35" s="331"/>
    </row>
    <row r="36" spans="1:27" s="19" customFormat="1" x14ac:dyDescent="0.25">
      <c r="A36" s="10"/>
      <c r="B36" s="10"/>
      <c r="C36" s="123"/>
      <c r="D36" s="258"/>
      <c r="E36" s="10"/>
      <c r="F36" s="10"/>
      <c r="G36" s="10"/>
      <c r="H36" s="10"/>
      <c r="I36" s="10"/>
      <c r="J36" s="10"/>
      <c r="K36" s="25"/>
      <c r="M36" s="194"/>
    </row>
    <row r="37" spans="1:27" x14ac:dyDescent="0.25">
      <c r="B37" s="10"/>
      <c r="C37" s="123"/>
      <c r="D37" s="258"/>
      <c r="E37" s="10"/>
    </row>
    <row r="38" spans="1:27" x14ac:dyDescent="0.25">
      <c r="B38" s="10"/>
      <c r="C38" s="123"/>
      <c r="E38" s="10"/>
    </row>
    <row r="39" spans="1:27" x14ac:dyDescent="0.25">
      <c r="B39" s="10"/>
      <c r="C39" s="123"/>
      <c r="E39" s="10"/>
    </row>
    <row r="40" spans="1:27" x14ac:dyDescent="0.25">
      <c r="B40" s="10"/>
      <c r="C40" s="123"/>
      <c r="E40" s="10"/>
    </row>
    <row r="41" spans="1:27" x14ac:dyDescent="0.25">
      <c r="B41" s="10"/>
      <c r="C41" s="123"/>
      <c r="E41" s="10"/>
    </row>
    <row r="42" spans="1:27" x14ac:dyDescent="0.25">
      <c r="A42" s="206" t="s">
        <v>346</v>
      </c>
      <c r="B42" s="10"/>
      <c r="C42" s="123"/>
      <c r="E42" s="10"/>
    </row>
    <row r="43" spans="1:27" x14ac:dyDescent="0.25">
      <c r="B43" s="10"/>
      <c r="C43" s="123"/>
      <c r="E43" s="10"/>
      <c r="J43" s="18"/>
      <c r="M43" s="18"/>
    </row>
    <row r="44" spans="1:27" s="89" customFormat="1" x14ac:dyDescent="0.25">
      <c r="A44" s="13"/>
      <c r="B44" s="160"/>
      <c r="C44" s="265" t="s">
        <v>349</v>
      </c>
      <c r="D44" s="253"/>
      <c r="E44" s="160"/>
      <c r="F44" s="40"/>
      <c r="G44" s="40"/>
      <c r="H44" s="13"/>
      <c r="I44" s="13"/>
      <c r="J44" s="13"/>
      <c r="K44" s="13"/>
      <c r="L44" s="13"/>
      <c r="M44" s="13"/>
      <c r="N44" s="13"/>
      <c r="O44" s="40"/>
      <c r="P44" s="40"/>
      <c r="Q44" s="40"/>
      <c r="R44" s="40"/>
      <c r="S44" s="40"/>
      <c r="T44" s="40"/>
      <c r="U44" s="40"/>
      <c r="V44" s="40"/>
      <c r="W44" s="40"/>
      <c r="X44" s="40"/>
      <c r="Y44" s="40"/>
    </row>
    <row r="45" spans="1:27" s="89" customFormat="1" ht="19.5" x14ac:dyDescent="0.35">
      <c r="A45" s="169" t="s">
        <v>59</v>
      </c>
      <c r="B45" s="170"/>
      <c r="C45" s="170"/>
      <c r="D45" s="254" t="s">
        <v>92</v>
      </c>
      <c r="E45" s="170"/>
      <c r="F45" s="90" t="s">
        <v>302</v>
      </c>
      <c r="G45" s="90"/>
      <c r="H45" s="170"/>
      <c r="I45" s="90" t="s">
        <v>303</v>
      </c>
      <c r="J45" s="90"/>
      <c r="K45" s="90" t="s">
        <v>112</v>
      </c>
      <c r="L45" s="90" t="s">
        <v>228</v>
      </c>
      <c r="M45" s="90"/>
      <c r="N45" s="90" t="s">
        <v>229</v>
      </c>
      <c r="O45" s="90" t="s">
        <v>113</v>
      </c>
      <c r="P45" s="90"/>
      <c r="Q45" s="90"/>
      <c r="R45" s="90" t="s">
        <v>230</v>
      </c>
      <c r="S45" s="90" t="s">
        <v>114</v>
      </c>
      <c r="T45" s="90" t="s">
        <v>115</v>
      </c>
      <c r="U45" s="90" t="s">
        <v>116</v>
      </c>
      <c r="V45" s="90" t="s">
        <v>117</v>
      </c>
      <c r="W45" s="90" t="s">
        <v>231</v>
      </c>
      <c r="X45" s="90" t="s">
        <v>118</v>
      </c>
      <c r="Y45" s="90" t="s">
        <v>119</v>
      </c>
      <c r="Z45" s="171" t="s">
        <v>91</v>
      </c>
      <c r="AA45" s="370" t="s">
        <v>333</v>
      </c>
    </row>
    <row r="46" spans="1:27" s="89" customFormat="1" ht="18.75" x14ac:dyDescent="0.3">
      <c r="A46" s="172"/>
      <c r="B46" s="170"/>
      <c r="C46" s="170"/>
      <c r="D46" s="255"/>
      <c r="E46" s="170"/>
      <c r="F46" s="108"/>
      <c r="G46" s="108"/>
      <c r="H46" s="188"/>
      <c r="I46" s="108"/>
      <c r="J46" s="108"/>
      <c r="K46" s="108"/>
      <c r="L46" s="108"/>
      <c r="M46" s="108"/>
      <c r="N46" s="108"/>
      <c r="O46" s="108"/>
      <c r="P46" s="108"/>
      <c r="Q46" s="108"/>
      <c r="R46" s="108"/>
      <c r="S46" s="108"/>
      <c r="T46" s="108"/>
      <c r="U46" s="108"/>
      <c r="V46" s="108"/>
      <c r="W46" s="108"/>
      <c r="X46" s="108"/>
      <c r="Y46" s="108"/>
      <c r="Z46" s="108"/>
    </row>
    <row r="47" spans="1:27" s="89" customFormat="1" ht="19.5" x14ac:dyDescent="0.35">
      <c r="A47" s="91" t="s">
        <v>60</v>
      </c>
      <c r="B47" s="120"/>
      <c r="C47" s="201"/>
      <c r="D47" s="255"/>
      <c r="E47" s="120"/>
      <c r="F47" s="107"/>
      <c r="G47" s="107"/>
      <c r="H47" s="189"/>
      <c r="I47" s="107">
        <f>$N$9</f>
        <v>0</v>
      </c>
      <c r="J47" s="107"/>
      <c r="K47" s="107"/>
      <c r="L47" s="107"/>
      <c r="M47" s="107"/>
      <c r="N47" s="107"/>
      <c r="O47" s="107"/>
      <c r="P47" s="107"/>
      <c r="Q47" s="107"/>
      <c r="R47" s="107"/>
      <c r="S47" s="107"/>
      <c r="T47" s="107"/>
      <c r="U47" s="107"/>
      <c r="V47" s="107"/>
      <c r="W47" s="107"/>
      <c r="X47" s="107"/>
      <c r="Y47" s="107">
        <f>-$N$34</f>
        <v>0</v>
      </c>
      <c r="Z47" s="109">
        <f>SUM(D47:Y47)</f>
        <v>0</v>
      </c>
    </row>
    <row r="48" spans="1:27" s="89" customFormat="1" ht="19.5" x14ac:dyDescent="0.35">
      <c r="A48" s="91" t="s">
        <v>61</v>
      </c>
      <c r="B48" s="120"/>
      <c r="C48" s="201"/>
      <c r="D48" s="255"/>
      <c r="E48" s="120"/>
      <c r="F48" s="107"/>
      <c r="G48" s="107"/>
      <c r="H48" s="189"/>
      <c r="I48" s="107"/>
      <c r="J48" s="107"/>
      <c r="K48" s="107"/>
      <c r="L48" s="107"/>
      <c r="M48" s="107"/>
      <c r="N48" s="107"/>
      <c r="O48" s="107"/>
      <c r="P48" s="107"/>
      <c r="Q48" s="107"/>
      <c r="R48" s="107"/>
      <c r="S48" s="107"/>
      <c r="T48" s="107"/>
      <c r="U48" s="107"/>
      <c r="V48" s="107"/>
      <c r="W48" s="107"/>
      <c r="X48" s="107"/>
      <c r="Y48" s="107"/>
      <c r="Z48" s="109">
        <f t="shared" ref="Z48:Z60" si="0">SUM(D48:X48)</f>
        <v>0</v>
      </c>
    </row>
    <row r="49" spans="1:26" s="89" customFormat="1" ht="19.5" x14ac:dyDescent="0.35">
      <c r="A49" s="91" t="s">
        <v>62</v>
      </c>
      <c r="B49" s="120"/>
      <c r="C49" s="201"/>
      <c r="D49" s="255"/>
      <c r="E49" s="120"/>
      <c r="F49" s="107"/>
      <c r="G49" s="107"/>
      <c r="H49" s="189"/>
      <c r="I49" s="107"/>
      <c r="J49" s="107"/>
      <c r="K49" s="107"/>
      <c r="L49" s="107"/>
      <c r="M49" s="107"/>
      <c r="N49" s="107"/>
      <c r="O49" s="107">
        <f>-$N$18</f>
        <v>0</v>
      </c>
      <c r="P49" s="107"/>
      <c r="Q49" s="107"/>
      <c r="R49" s="107"/>
      <c r="S49" s="107"/>
      <c r="T49" s="107"/>
      <c r="U49" s="107"/>
      <c r="V49" s="107"/>
      <c r="W49" s="107"/>
      <c r="X49" s="107"/>
      <c r="Y49" s="107"/>
      <c r="Z49" s="109">
        <f t="shared" si="0"/>
        <v>0</v>
      </c>
    </row>
    <row r="50" spans="1:26" s="89" customFormat="1" ht="19.5" x14ac:dyDescent="0.35">
      <c r="A50" s="91" t="s">
        <v>63</v>
      </c>
      <c r="B50" s="120"/>
      <c r="C50" s="201"/>
      <c r="D50" s="255"/>
      <c r="E50" s="120"/>
      <c r="F50" s="107"/>
      <c r="G50" s="107"/>
      <c r="H50" s="189"/>
      <c r="I50" s="107"/>
      <c r="J50" s="107"/>
      <c r="K50" s="107"/>
      <c r="L50" s="107"/>
      <c r="M50" s="107"/>
      <c r="N50" s="107"/>
      <c r="O50" s="107"/>
      <c r="P50" s="107"/>
      <c r="Q50" s="107"/>
      <c r="R50" s="107"/>
      <c r="S50" s="107"/>
      <c r="T50" s="107"/>
      <c r="U50" s="107"/>
      <c r="V50" s="107"/>
      <c r="W50" s="107"/>
      <c r="X50" s="107"/>
      <c r="Y50" s="107"/>
      <c r="Z50" s="109">
        <f t="shared" si="0"/>
        <v>0</v>
      </c>
    </row>
    <row r="51" spans="1:26" s="89" customFormat="1" ht="19.5" x14ac:dyDescent="0.35">
      <c r="A51" s="91" t="s">
        <v>64</v>
      </c>
      <c r="B51" s="120"/>
      <c r="C51" s="201"/>
      <c r="D51" s="255"/>
      <c r="E51" s="120"/>
      <c r="F51" s="107"/>
      <c r="G51" s="107"/>
      <c r="H51" s="189"/>
      <c r="I51" s="107"/>
      <c r="J51" s="107"/>
      <c r="K51" s="107"/>
      <c r="L51" s="107"/>
      <c r="M51" s="107"/>
      <c r="N51" s="107"/>
      <c r="O51" s="107"/>
      <c r="P51" s="107"/>
      <c r="Q51" s="107"/>
      <c r="R51" s="107"/>
      <c r="S51" s="107"/>
      <c r="T51" s="107"/>
      <c r="U51" s="107"/>
      <c r="V51" s="107"/>
      <c r="W51" s="107"/>
      <c r="X51" s="107"/>
      <c r="Y51" s="107"/>
      <c r="Z51" s="109">
        <f t="shared" si="0"/>
        <v>0</v>
      </c>
    </row>
    <row r="52" spans="1:26" s="89" customFormat="1" ht="19.5" x14ac:dyDescent="0.35">
      <c r="A52" s="91" t="s">
        <v>65</v>
      </c>
      <c r="B52" s="120"/>
      <c r="C52" s="201"/>
      <c r="D52" s="255"/>
      <c r="E52" s="120"/>
      <c r="F52" s="107"/>
      <c r="G52" s="107"/>
      <c r="H52" s="189"/>
      <c r="I52" s="107"/>
      <c r="J52" s="107"/>
      <c r="K52" s="107"/>
      <c r="L52" s="107"/>
      <c r="M52" s="107"/>
      <c r="N52" s="107"/>
      <c r="O52" s="107"/>
      <c r="P52" s="107"/>
      <c r="Q52" s="107"/>
      <c r="R52" s="107"/>
      <c r="S52" s="107"/>
      <c r="T52" s="107"/>
      <c r="U52" s="107"/>
      <c r="V52" s="107"/>
      <c r="W52" s="107"/>
      <c r="X52" s="108"/>
      <c r="Y52" s="108"/>
      <c r="Z52" s="109">
        <f t="shared" si="0"/>
        <v>0</v>
      </c>
    </row>
    <row r="53" spans="1:26" s="89" customFormat="1" ht="19.5" x14ac:dyDescent="0.35">
      <c r="A53" s="91" t="s">
        <v>66</v>
      </c>
      <c r="B53" s="120"/>
      <c r="C53" s="201"/>
      <c r="D53" s="255"/>
      <c r="E53" s="120"/>
      <c r="F53" s="107"/>
      <c r="G53" s="107"/>
      <c r="H53" s="189"/>
      <c r="I53" s="107"/>
      <c r="J53" s="107"/>
      <c r="K53" s="107"/>
      <c r="L53" s="107"/>
      <c r="M53" s="107"/>
      <c r="N53" s="107"/>
      <c r="O53" s="107"/>
      <c r="P53" s="107"/>
      <c r="Q53" s="107"/>
      <c r="R53" s="107"/>
      <c r="S53" s="107"/>
      <c r="T53" s="107"/>
      <c r="U53" s="107"/>
      <c r="V53" s="107"/>
      <c r="W53" s="107">
        <f>$N$30</f>
        <v>292577</v>
      </c>
      <c r="X53" s="107"/>
      <c r="Y53" s="107"/>
      <c r="Z53" s="109">
        <f t="shared" si="0"/>
        <v>292577</v>
      </c>
    </row>
    <row r="54" spans="1:26" s="89" customFormat="1" ht="19.5" x14ac:dyDescent="0.35">
      <c r="A54" s="91" t="s">
        <v>67</v>
      </c>
      <c r="B54" s="120"/>
      <c r="C54" s="201"/>
      <c r="D54" s="255"/>
      <c r="E54" s="120"/>
      <c r="F54" s="107"/>
      <c r="G54" s="107"/>
      <c r="H54" s="189"/>
      <c r="I54" s="107"/>
      <c r="J54" s="107"/>
      <c r="K54" s="107"/>
      <c r="L54" s="107"/>
      <c r="M54" s="107"/>
      <c r="N54" s="107"/>
      <c r="O54" s="107"/>
      <c r="P54" s="107"/>
      <c r="Q54" s="107"/>
      <c r="R54" s="107"/>
      <c r="S54" s="107"/>
      <c r="T54" s="107"/>
      <c r="U54" s="107"/>
      <c r="V54" s="107"/>
      <c r="W54" s="107"/>
      <c r="X54" s="107"/>
      <c r="Y54" s="107"/>
      <c r="Z54" s="109">
        <f t="shared" si="0"/>
        <v>0</v>
      </c>
    </row>
    <row r="55" spans="1:26" s="89" customFormat="1" ht="19.5" x14ac:dyDescent="0.35">
      <c r="A55" s="91" t="s">
        <v>68</v>
      </c>
      <c r="B55" s="120"/>
      <c r="C55" s="201"/>
      <c r="D55" s="255"/>
      <c r="E55" s="120"/>
      <c r="F55" s="107"/>
      <c r="G55" s="107"/>
      <c r="H55" s="189"/>
      <c r="I55" s="107"/>
      <c r="J55" s="107"/>
      <c r="K55" s="107"/>
      <c r="L55" s="107"/>
      <c r="M55" s="107"/>
      <c r="N55" s="107"/>
      <c r="O55" s="107"/>
      <c r="P55" s="107"/>
      <c r="Q55" s="107"/>
      <c r="R55" s="107"/>
      <c r="S55" s="107"/>
      <c r="T55" s="107"/>
      <c r="U55" s="107"/>
      <c r="V55" s="107"/>
      <c r="W55" s="107"/>
      <c r="X55" s="107"/>
      <c r="Y55" s="107"/>
      <c r="Z55" s="109">
        <f t="shared" si="0"/>
        <v>0</v>
      </c>
    </row>
    <row r="56" spans="1:26" s="89" customFormat="1" ht="19.5" x14ac:dyDescent="0.35">
      <c r="A56" s="91" t="s">
        <v>69</v>
      </c>
      <c r="B56" s="120"/>
      <c r="C56" s="201"/>
      <c r="D56" s="255"/>
      <c r="E56" s="120"/>
      <c r="F56" s="107"/>
      <c r="G56" s="107"/>
      <c r="H56" s="189"/>
      <c r="I56" s="107"/>
      <c r="J56" s="107"/>
      <c r="K56" s="107">
        <f>$N$12</f>
        <v>12589440</v>
      </c>
      <c r="L56" s="107"/>
      <c r="M56" s="107"/>
      <c r="N56" s="107"/>
      <c r="O56" s="107"/>
      <c r="P56" s="107"/>
      <c r="Q56" s="107"/>
      <c r="R56" s="107">
        <f>-$N$20</f>
        <v>0</v>
      </c>
      <c r="S56" s="107"/>
      <c r="T56" s="107"/>
      <c r="U56" s="107"/>
      <c r="V56" s="107"/>
      <c r="W56" s="107"/>
      <c r="X56" s="107"/>
      <c r="Y56" s="107"/>
      <c r="Z56" s="109">
        <f t="shared" si="0"/>
        <v>12589440</v>
      </c>
    </row>
    <row r="57" spans="1:26" s="89" customFormat="1" ht="19.5" x14ac:dyDescent="0.35">
      <c r="A57" s="91" t="s">
        <v>55</v>
      </c>
      <c r="B57" s="120"/>
      <c r="C57" s="201"/>
      <c r="D57" s="255"/>
      <c r="E57" s="120"/>
      <c r="F57" s="107"/>
      <c r="G57" s="107"/>
      <c r="H57" s="189"/>
      <c r="I57" s="107"/>
      <c r="J57" s="107"/>
      <c r="K57" s="107"/>
      <c r="L57" s="107"/>
      <c r="M57" s="107"/>
      <c r="N57" s="107"/>
      <c r="O57" s="107"/>
      <c r="P57" s="107"/>
      <c r="Q57" s="107"/>
      <c r="R57" s="107"/>
      <c r="S57" s="107"/>
      <c r="T57" s="107">
        <f>+$N$24</f>
        <v>0</v>
      </c>
      <c r="U57" s="107"/>
      <c r="V57" s="107"/>
      <c r="W57" s="107"/>
      <c r="X57" s="107"/>
      <c r="Y57" s="107"/>
      <c r="Z57" s="109">
        <f t="shared" si="0"/>
        <v>0</v>
      </c>
    </row>
    <row r="58" spans="1:26" s="89" customFormat="1" ht="19.5" x14ac:dyDescent="0.35">
      <c r="A58" s="91" t="s">
        <v>70</v>
      </c>
      <c r="B58" s="120"/>
      <c r="C58" s="201"/>
      <c r="D58" s="255"/>
      <c r="E58" s="120"/>
      <c r="F58" s="107"/>
      <c r="G58" s="189"/>
      <c r="H58" s="189"/>
      <c r="I58" s="107"/>
      <c r="J58" s="107"/>
      <c r="K58" s="107"/>
      <c r="L58" s="107"/>
      <c r="M58" s="107"/>
      <c r="N58" s="107"/>
      <c r="O58" s="107"/>
      <c r="P58" s="107"/>
      <c r="Q58" s="107"/>
      <c r="R58" s="107"/>
      <c r="S58" s="107"/>
      <c r="T58" s="107"/>
      <c r="U58" s="107"/>
      <c r="V58" s="107"/>
      <c r="W58" s="107"/>
      <c r="X58" s="107"/>
      <c r="Y58" s="107"/>
      <c r="Z58" s="109">
        <f t="shared" si="0"/>
        <v>0</v>
      </c>
    </row>
    <row r="59" spans="1:26" s="89" customFormat="1" ht="19.5" x14ac:dyDescent="0.35">
      <c r="A59" s="91" t="s">
        <v>71</v>
      </c>
      <c r="B59" s="120"/>
      <c r="C59" s="201"/>
      <c r="D59" s="255"/>
      <c r="E59" s="120"/>
      <c r="F59" s="107"/>
      <c r="G59" s="189"/>
      <c r="H59" s="189"/>
      <c r="I59" s="107"/>
      <c r="J59" s="107"/>
      <c r="K59" s="107"/>
      <c r="L59" s="107">
        <f>$N$14</f>
        <v>0</v>
      </c>
      <c r="M59" s="107"/>
      <c r="N59" s="107"/>
      <c r="O59" s="107"/>
      <c r="P59" s="107"/>
      <c r="Q59" s="107"/>
      <c r="R59" s="107"/>
      <c r="S59" s="107">
        <f>-$N$22</f>
        <v>0</v>
      </c>
      <c r="T59" s="107"/>
      <c r="U59" s="107">
        <f>$N$26</f>
        <v>0</v>
      </c>
      <c r="V59" s="107">
        <f>-$N$28</f>
        <v>0</v>
      </c>
      <c r="W59" s="107"/>
      <c r="X59" s="107"/>
      <c r="Y59" s="107"/>
      <c r="Z59" s="109">
        <f t="shared" si="0"/>
        <v>0</v>
      </c>
    </row>
    <row r="60" spans="1:26" s="89" customFormat="1" ht="19.5" x14ac:dyDescent="0.35">
      <c r="A60" s="91" t="s">
        <v>72</v>
      </c>
      <c r="B60" s="120"/>
      <c r="C60" s="201"/>
      <c r="D60" s="255"/>
      <c r="E60" s="120"/>
      <c r="F60" s="107"/>
      <c r="G60" s="189"/>
      <c r="H60" s="189"/>
      <c r="I60" s="107"/>
      <c r="J60" s="107"/>
      <c r="K60" s="107"/>
      <c r="L60" s="107"/>
      <c r="M60" s="107"/>
      <c r="N60" s="107">
        <f>-$N$16</f>
        <v>0</v>
      </c>
      <c r="O60" s="107"/>
      <c r="P60" s="107"/>
      <c r="Q60" s="107"/>
      <c r="R60" s="107"/>
      <c r="S60" s="107"/>
      <c r="T60" s="107"/>
      <c r="U60" s="107"/>
      <c r="V60" s="107"/>
      <c r="W60" s="107"/>
      <c r="X60" s="107">
        <f>-$N$32</f>
        <v>0</v>
      </c>
      <c r="Y60" s="107"/>
      <c r="Z60" s="109">
        <f t="shared" si="0"/>
        <v>0</v>
      </c>
    </row>
    <row r="61" spans="1:26" s="89" customFormat="1" ht="20.25" thickBot="1" x14ac:dyDescent="0.4">
      <c r="A61" s="91"/>
      <c r="B61" s="120"/>
      <c r="C61" s="201"/>
      <c r="D61" s="256">
        <f>SUM(D47:D60)</f>
        <v>0</v>
      </c>
      <c r="E61" s="120"/>
      <c r="F61" s="110">
        <f>SUM(F47:F60)</f>
        <v>0</v>
      </c>
      <c r="G61" s="189"/>
      <c r="H61" s="189"/>
      <c r="I61" s="110">
        <f>SUM(I47:I60)</f>
        <v>0</v>
      </c>
      <c r="J61" s="110"/>
      <c r="K61" s="110">
        <f>SUM(K47:K60)</f>
        <v>12589440</v>
      </c>
      <c r="L61" s="110">
        <f t="shared" ref="L61:Y61" si="1">SUM(L47:L60)</f>
        <v>0</v>
      </c>
      <c r="M61" s="110"/>
      <c r="N61" s="110">
        <f t="shared" si="1"/>
        <v>0</v>
      </c>
      <c r="O61" s="110">
        <f t="shared" si="1"/>
        <v>0</v>
      </c>
      <c r="P61" s="110"/>
      <c r="Q61" s="110"/>
      <c r="R61" s="110">
        <f t="shared" si="1"/>
        <v>0</v>
      </c>
      <c r="S61" s="110">
        <f t="shared" si="1"/>
        <v>0</v>
      </c>
      <c r="T61" s="110">
        <f t="shared" si="1"/>
        <v>0</v>
      </c>
      <c r="U61" s="110">
        <f t="shared" si="1"/>
        <v>0</v>
      </c>
      <c r="V61" s="110">
        <f t="shared" si="1"/>
        <v>0</v>
      </c>
      <c r="W61" s="110">
        <f t="shared" si="1"/>
        <v>292577</v>
      </c>
      <c r="X61" s="110">
        <f t="shared" si="1"/>
        <v>0</v>
      </c>
      <c r="Y61" s="110">
        <f t="shared" si="1"/>
        <v>0</v>
      </c>
      <c r="Z61" s="111">
        <f>SUM(Z47:Z60)</f>
        <v>12882017</v>
      </c>
    </row>
    <row r="62" spans="1:26" s="89" customFormat="1" ht="20.25" thickTop="1" x14ac:dyDescent="0.35">
      <c r="A62" s="91"/>
      <c r="B62" s="120"/>
      <c r="C62" s="201"/>
      <c r="D62" s="257"/>
      <c r="E62" s="120"/>
      <c r="F62" s="189"/>
      <c r="G62" s="189"/>
      <c r="H62" s="189"/>
      <c r="I62" s="189"/>
      <c r="J62" s="189"/>
      <c r="K62" s="189"/>
      <c r="L62" s="189"/>
      <c r="M62" s="189"/>
      <c r="N62" s="189"/>
      <c r="O62" s="189"/>
      <c r="P62" s="189"/>
      <c r="Q62" s="189"/>
      <c r="R62" s="189"/>
      <c r="S62" s="189"/>
      <c r="T62" s="189"/>
      <c r="U62" s="189"/>
      <c r="V62" s="189"/>
      <c r="W62" s="189"/>
      <c r="X62" s="189"/>
      <c r="Y62" s="189"/>
      <c r="Z62" s="190"/>
    </row>
    <row r="63" spans="1:26" s="89" customFormat="1" ht="19.5" x14ac:dyDescent="0.35">
      <c r="A63" s="91" t="s">
        <v>73</v>
      </c>
      <c r="B63" s="120"/>
      <c r="C63" s="201"/>
      <c r="D63" s="255"/>
      <c r="E63" s="120"/>
      <c r="F63" s="107">
        <f>$N$7</f>
        <v>0</v>
      </c>
      <c r="G63" s="188"/>
      <c r="H63" s="189"/>
      <c r="I63" s="107"/>
      <c r="J63" s="107"/>
      <c r="K63" s="107"/>
      <c r="L63" s="107"/>
      <c r="M63" s="107"/>
      <c r="N63" s="107"/>
      <c r="O63" s="107"/>
      <c r="P63" s="107"/>
      <c r="Q63" s="107"/>
      <c r="R63" s="107"/>
      <c r="S63" s="107"/>
      <c r="T63" s="107"/>
      <c r="U63" s="107"/>
      <c r="V63" s="107"/>
      <c r="W63" s="108"/>
      <c r="X63" s="108"/>
      <c r="Y63" s="108"/>
      <c r="Z63" s="109">
        <f>SUM(D63:X63)</f>
        <v>0</v>
      </c>
    </row>
    <row r="64" spans="1:26" s="89" customFormat="1" ht="19.5" x14ac:dyDescent="0.35">
      <c r="A64" s="91" t="s">
        <v>74</v>
      </c>
      <c r="B64" s="120"/>
      <c r="C64" s="201"/>
      <c r="D64" s="255"/>
      <c r="E64" s="120"/>
      <c r="F64" s="107">
        <f>-$N$7</f>
        <v>0</v>
      </c>
      <c r="G64" s="188"/>
      <c r="H64" s="189"/>
      <c r="I64" s="107"/>
      <c r="J64" s="107"/>
      <c r="K64" s="107"/>
      <c r="L64" s="107"/>
      <c r="M64" s="107"/>
      <c r="N64" s="107"/>
      <c r="O64" s="107"/>
      <c r="P64" s="107"/>
      <c r="Q64" s="107"/>
      <c r="R64" s="107"/>
      <c r="S64" s="107"/>
      <c r="T64" s="107"/>
      <c r="U64" s="107"/>
      <c r="V64" s="107"/>
      <c r="W64" s="107"/>
      <c r="X64" s="107"/>
      <c r="Y64" s="107"/>
      <c r="Z64" s="109">
        <f>SUM(D64:X64)</f>
        <v>0</v>
      </c>
    </row>
    <row r="65" spans="1:26" s="89" customFormat="1" ht="19.5" x14ac:dyDescent="0.35">
      <c r="A65" s="91" t="s">
        <v>75</v>
      </c>
      <c r="B65" s="120"/>
      <c r="C65" s="201"/>
      <c r="D65" s="255"/>
      <c r="E65" s="120"/>
      <c r="F65" s="107"/>
      <c r="G65" s="188"/>
      <c r="H65" s="189"/>
      <c r="I65" s="107"/>
      <c r="J65" s="107"/>
      <c r="K65" s="107"/>
      <c r="L65" s="107"/>
      <c r="M65" s="107"/>
      <c r="N65" s="107"/>
      <c r="O65" s="107"/>
      <c r="P65" s="107"/>
      <c r="Q65" s="107"/>
      <c r="R65" s="107"/>
      <c r="S65" s="107"/>
      <c r="T65" s="107"/>
      <c r="U65" s="107"/>
      <c r="V65" s="107"/>
      <c r="W65" s="107"/>
      <c r="X65" s="107"/>
      <c r="Y65" s="107">
        <f>-Y47</f>
        <v>0</v>
      </c>
      <c r="Z65" s="109">
        <f>SUM(D65:Y65)</f>
        <v>0</v>
      </c>
    </row>
    <row r="66" spans="1:26" s="89" customFormat="1" ht="19.5" x14ac:dyDescent="0.35">
      <c r="A66" s="91" t="s">
        <v>76</v>
      </c>
      <c r="B66" s="120"/>
      <c r="C66" s="201"/>
      <c r="D66" s="255"/>
      <c r="E66" s="120"/>
      <c r="F66" s="107"/>
      <c r="G66" s="188"/>
      <c r="H66" s="189"/>
      <c r="I66" s="107"/>
      <c r="J66" s="107"/>
      <c r="K66" s="107"/>
      <c r="L66" s="107"/>
      <c r="M66" s="107"/>
      <c r="N66" s="107"/>
      <c r="O66" s="107"/>
      <c r="P66" s="107"/>
      <c r="Q66" s="107"/>
      <c r="R66" s="107"/>
      <c r="S66" s="107"/>
      <c r="T66" s="107"/>
      <c r="U66" s="107"/>
      <c r="V66" s="107"/>
      <c r="W66" s="107">
        <f>$N$30</f>
        <v>292577</v>
      </c>
      <c r="X66" s="107"/>
      <c r="Y66" s="107"/>
      <c r="Z66" s="109">
        <f t="shared" ref="Z66:Z75" si="2">SUM(D66:X66)</f>
        <v>292577</v>
      </c>
    </row>
    <row r="67" spans="1:26" s="89" customFormat="1" ht="19.5" x14ac:dyDescent="0.35">
      <c r="A67" s="91" t="s">
        <v>77</v>
      </c>
      <c r="B67" s="120"/>
      <c r="C67" s="201"/>
      <c r="D67" s="255"/>
      <c r="E67" s="120"/>
      <c r="F67" s="107"/>
      <c r="G67" s="189"/>
      <c r="H67" s="189"/>
      <c r="I67" s="107"/>
      <c r="J67" s="107"/>
      <c r="K67" s="107">
        <f>+$N$12</f>
        <v>12589440</v>
      </c>
      <c r="L67" s="107"/>
      <c r="M67" s="107"/>
      <c r="N67" s="107"/>
      <c r="O67" s="107"/>
      <c r="P67" s="107"/>
      <c r="Q67" s="107"/>
      <c r="R67" s="107"/>
      <c r="S67" s="107"/>
      <c r="T67" s="107"/>
      <c r="U67" s="107"/>
      <c r="V67" s="107"/>
      <c r="W67" s="107"/>
      <c r="X67" s="107"/>
      <c r="Y67" s="107"/>
      <c r="Z67" s="109">
        <f t="shared" si="2"/>
        <v>12589440</v>
      </c>
    </row>
    <row r="68" spans="1:26" s="89" customFormat="1" ht="19.5" x14ac:dyDescent="0.35">
      <c r="A68" s="91" t="s">
        <v>78</v>
      </c>
      <c r="B68" s="120"/>
      <c r="C68" s="201"/>
      <c r="D68" s="255"/>
      <c r="E68" s="120"/>
      <c r="F68" s="107"/>
      <c r="G68" s="189"/>
      <c r="H68" s="189"/>
      <c r="I68" s="107"/>
      <c r="J68" s="107"/>
      <c r="K68" s="107"/>
      <c r="L68" s="107"/>
      <c r="M68" s="107"/>
      <c r="N68" s="107"/>
      <c r="O68" s="107"/>
      <c r="P68" s="107"/>
      <c r="Q68" s="107"/>
      <c r="R68" s="107"/>
      <c r="S68" s="107"/>
      <c r="T68" s="107"/>
      <c r="U68" s="107"/>
      <c r="V68" s="107"/>
      <c r="W68" s="107"/>
      <c r="X68" s="107"/>
      <c r="Y68" s="107"/>
      <c r="Z68" s="109">
        <f t="shared" si="2"/>
        <v>0</v>
      </c>
    </row>
    <row r="69" spans="1:26" s="89" customFormat="1" ht="19.5" x14ac:dyDescent="0.35">
      <c r="A69" s="91" t="s">
        <v>67</v>
      </c>
      <c r="B69" s="120"/>
      <c r="C69" s="201"/>
      <c r="D69" s="255"/>
      <c r="E69" s="120"/>
      <c r="F69" s="107"/>
      <c r="G69" s="189"/>
      <c r="H69" s="189"/>
      <c r="I69" s="107"/>
      <c r="J69" s="107"/>
      <c r="K69" s="107"/>
      <c r="L69" s="107"/>
      <c r="M69" s="107"/>
      <c r="N69" s="107"/>
      <c r="O69" s="107"/>
      <c r="P69" s="107"/>
      <c r="Q69" s="107"/>
      <c r="R69" s="107"/>
      <c r="S69" s="107"/>
      <c r="T69" s="107"/>
      <c r="U69" s="107"/>
      <c r="V69" s="107"/>
      <c r="W69" s="107"/>
      <c r="X69" s="107"/>
      <c r="Y69" s="107"/>
      <c r="Z69" s="109">
        <f t="shared" si="2"/>
        <v>0</v>
      </c>
    </row>
    <row r="70" spans="1:26" s="89" customFormat="1" ht="19.5" x14ac:dyDescent="0.35">
      <c r="A70" s="91" t="s">
        <v>79</v>
      </c>
      <c r="B70" s="120"/>
      <c r="C70" s="201"/>
      <c r="D70" s="255">
        <f>-$N$5</f>
        <v>2545000</v>
      </c>
      <c r="E70" s="120"/>
      <c r="F70" s="107"/>
      <c r="G70" s="189"/>
      <c r="H70" s="189"/>
      <c r="I70" s="107">
        <f>$N$9</f>
        <v>0</v>
      </c>
      <c r="J70" s="107"/>
      <c r="K70" s="107"/>
      <c r="L70" s="107"/>
      <c r="M70" s="107"/>
      <c r="N70" s="107"/>
      <c r="O70" s="107">
        <f>-$N$18</f>
        <v>0</v>
      </c>
      <c r="P70" s="107"/>
      <c r="Q70" s="107"/>
      <c r="R70" s="107"/>
      <c r="S70" s="107"/>
      <c r="T70" s="107"/>
      <c r="U70" s="107"/>
      <c r="V70" s="107"/>
      <c r="W70" s="107"/>
      <c r="X70" s="107"/>
      <c r="Y70" s="107"/>
      <c r="Z70" s="109">
        <f t="shared" si="2"/>
        <v>2545000</v>
      </c>
    </row>
    <row r="71" spans="1:26" s="89" customFormat="1" ht="19.5" x14ac:dyDescent="0.35">
      <c r="A71" s="91" t="s">
        <v>80</v>
      </c>
      <c r="B71" s="120"/>
      <c r="C71" s="201"/>
      <c r="D71" s="255"/>
      <c r="E71" s="120"/>
      <c r="F71" s="107"/>
      <c r="G71" s="189"/>
      <c r="H71" s="189"/>
      <c r="I71" s="107"/>
      <c r="J71" s="107"/>
      <c r="K71" s="107"/>
      <c r="L71" s="107"/>
      <c r="M71" s="107"/>
      <c r="N71" s="107"/>
      <c r="O71" s="107"/>
      <c r="P71" s="107"/>
      <c r="Q71" s="107"/>
      <c r="R71" s="107"/>
      <c r="S71" s="107"/>
      <c r="T71" s="107"/>
      <c r="U71" s="107"/>
      <c r="V71" s="107"/>
      <c r="W71" s="107">
        <v>0</v>
      </c>
      <c r="X71" s="107"/>
      <c r="Y71" s="107"/>
      <c r="Z71" s="109">
        <f t="shared" si="2"/>
        <v>0</v>
      </c>
    </row>
    <row r="72" spans="1:26" s="89" customFormat="1" ht="19.5" x14ac:dyDescent="0.35">
      <c r="A72" s="91" t="s">
        <v>55</v>
      </c>
      <c r="B72" s="120"/>
      <c r="C72" s="201"/>
      <c r="D72" s="255"/>
      <c r="E72" s="120"/>
      <c r="F72" s="107"/>
      <c r="G72" s="189"/>
      <c r="H72" s="189"/>
      <c r="I72" s="107"/>
      <c r="J72" s="107"/>
      <c r="K72" s="107"/>
      <c r="L72" s="107"/>
      <c r="M72" s="107"/>
      <c r="N72" s="107"/>
      <c r="O72" s="107"/>
      <c r="P72" s="107"/>
      <c r="Q72" s="107"/>
      <c r="R72" s="107"/>
      <c r="S72" s="107"/>
      <c r="T72" s="107">
        <f>$T$57</f>
        <v>0</v>
      </c>
      <c r="U72" s="107"/>
      <c r="V72" s="107"/>
      <c r="W72" s="107"/>
      <c r="X72" s="107"/>
      <c r="Y72" s="107"/>
      <c r="Z72" s="109">
        <f t="shared" si="2"/>
        <v>0</v>
      </c>
    </row>
    <row r="73" spans="1:26" s="89" customFormat="1" ht="19.5" x14ac:dyDescent="0.35">
      <c r="A73" s="91" t="s">
        <v>81</v>
      </c>
      <c r="B73" s="120"/>
      <c r="C73" s="201"/>
      <c r="D73" s="255"/>
      <c r="E73" s="120"/>
      <c r="F73" s="107"/>
      <c r="G73" s="189"/>
      <c r="H73" s="189"/>
      <c r="I73" s="107"/>
      <c r="J73" s="107"/>
      <c r="K73" s="107"/>
      <c r="L73" s="107"/>
      <c r="M73" s="107"/>
      <c r="N73" s="107"/>
      <c r="O73" s="107"/>
      <c r="P73" s="107"/>
      <c r="Q73" s="107"/>
      <c r="R73" s="107"/>
      <c r="S73" s="107"/>
      <c r="T73" s="107"/>
      <c r="U73" s="107"/>
      <c r="V73" s="107"/>
      <c r="W73" s="107"/>
      <c r="X73" s="107"/>
      <c r="Y73" s="107"/>
      <c r="Z73" s="109">
        <f t="shared" si="2"/>
        <v>0</v>
      </c>
    </row>
    <row r="74" spans="1:26" s="89" customFormat="1" ht="19.5" x14ac:dyDescent="0.35">
      <c r="A74" s="91" t="s">
        <v>82</v>
      </c>
      <c r="B74" s="120"/>
      <c r="C74" s="201"/>
      <c r="D74" s="255">
        <f>$N$5</f>
        <v>-2545000</v>
      </c>
      <c r="E74" s="120"/>
      <c r="F74" s="107"/>
      <c r="G74" s="189"/>
      <c r="H74" s="189"/>
      <c r="I74" s="107"/>
      <c r="J74" s="107"/>
      <c r="K74" s="107"/>
      <c r="L74" s="107">
        <f>$N$14</f>
        <v>0</v>
      </c>
      <c r="M74" s="107"/>
      <c r="N74" s="107">
        <f>-$N$16</f>
        <v>0</v>
      </c>
      <c r="O74" s="107"/>
      <c r="P74" s="107"/>
      <c r="Q74" s="107"/>
      <c r="R74" s="107">
        <f>R56</f>
        <v>0</v>
      </c>
      <c r="S74" s="107">
        <f>S59</f>
        <v>0</v>
      </c>
      <c r="T74" s="107"/>
      <c r="U74" s="107">
        <f>U59</f>
        <v>0</v>
      </c>
      <c r="V74" s="107">
        <f>V59</f>
        <v>0</v>
      </c>
      <c r="W74" s="107"/>
      <c r="X74" s="107">
        <f>-$N$32</f>
        <v>0</v>
      </c>
      <c r="Y74" s="107"/>
      <c r="Z74" s="109">
        <f t="shared" si="2"/>
        <v>-2545000</v>
      </c>
    </row>
    <row r="75" spans="1:26" s="89" customFormat="1" ht="19.5" x14ac:dyDescent="0.35">
      <c r="A75" s="91" t="s">
        <v>83</v>
      </c>
      <c r="B75" s="120"/>
      <c r="C75" s="201"/>
      <c r="D75" s="255"/>
      <c r="E75" s="120"/>
      <c r="F75" s="107"/>
      <c r="G75" s="189"/>
      <c r="H75" s="189"/>
      <c r="I75" s="107"/>
      <c r="J75" s="107"/>
      <c r="K75" s="107"/>
      <c r="L75" s="107"/>
      <c r="M75" s="107"/>
      <c r="N75" s="107"/>
      <c r="O75" s="107"/>
      <c r="P75" s="107"/>
      <c r="Q75" s="107"/>
      <c r="R75" s="107"/>
      <c r="S75" s="107"/>
      <c r="T75" s="107"/>
      <c r="U75" s="107"/>
      <c r="V75" s="107"/>
      <c r="W75" s="107"/>
      <c r="X75" s="107"/>
      <c r="Y75" s="107"/>
      <c r="Z75" s="109">
        <f t="shared" si="2"/>
        <v>0</v>
      </c>
    </row>
    <row r="76" spans="1:26" s="89" customFormat="1" ht="20.25" thickBot="1" x14ac:dyDescent="0.4">
      <c r="A76" s="91"/>
      <c r="B76" s="121"/>
      <c r="C76" s="202"/>
      <c r="D76" s="256">
        <f>SUM(D63:D75)</f>
        <v>0</v>
      </c>
      <c r="E76" s="121"/>
      <c r="F76" s="110">
        <f>SUM(F63:F75)</f>
        <v>0</v>
      </c>
      <c r="G76" s="189"/>
      <c r="H76" s="189"/>
      <c r="I76" s="110">
        <f>SUM(I63:I75)</f>
        <v>0</v>
      </c>
      <c r="J76" s="110"/>
      <c r="K76" s="110">
        <f t="shared" ref="K76:Y76" si="3">SUM(K63:K75)</f>
        <v>12589440</v>
      </c>
      <c r="L76" s="110">
        <f t="shared" si="3"/>
        <v>0</v>
      </c>
      <c r="M76" s="110"/>
      <c r="N76" s="110">
        <f t="shared" si="3"/>
        <v>0</v>
      </c>
      <c r="O76" s="110">
        <f t="shared" si="3"/>
        <v>0</v>
      </c>
      <c r="P76" s="110"/>
      <c r="Q76" s="110"/>
      <c r="R76" s="110">
        <f t="shared" si="3"/>
        <v>0</v>
      </c>
      <c r="S76" s="110">
        <f t="shared" si="3"/>
        <v>0</v>
      </c>
      <c r="T76" s="110">
        <f t="shared" si="3"/>
        <v>0</v>
      </c>
      <c r="U76" s="110">
        <f t="shared" si="3"/>
        <v>0</v>
      </c>
      <c r="V76" s="110">
        <f t="shared" si="3"/>
        <v>0</v>
      </c>
      <c r="W76" s="110">
        <f t="shared" si="3"/>
        <v>292577</v>
      </c>
      <c r="X76" s="110">
        <f t="shared" si="3"/>
        <v>0</v>
      </c>
      <c r="Y76" s="110">
        <f t="shared" si="3"/>
        <v>0</v>
      </c>
      <c r="Z76" s="111">
        <f>SUM(Z63:Z75)</f>
        <v>12882017</v>
      </c>
    </row>
    <row r="77" spans="1:26" s="89" customFormat="1" ht="20.25" thickTop="1" x14ac:dyDescent="0.35">
      <c r="A77" s="112"/>
      <c r="B77" s="122"/>
      <c r="C77" s="203"/>
      <c r="D77" s="255">
        <f>D61-D76</f>
        <v>0</v>
      </c>
      <c r="E77" s="122"/>
      <c r="F77" s="107">
        <f>F61-F76</f>
        <v>0</v>
      </c>
      <c r="G77" s="189"/>
      <c r="H77" s="189"/>
      <c r="I77" s="107">
        <f>I61-I76</f>
        <v>0</v>
      </c>
      <c r="J77" s="107"/>
      <c r="K77" s="107">
        <f>K61-K76</f>
        <v>0</v>
      </c>
      <c r="L77" s="107">
        <f t="shared" ref="L77:Z77" si="4">L61-L76</f>
        <v>0</v>
      </c>
      <c r="M77" s="107"/>
      <c r="N77" s="107">
        <f t="shared" si="4"/>
        <v>0</v>
      </c>
      <c r="O77" s="107">
        <f t="shared" si="4"/>
        <v>0</v>
      </c>
      <c r="P77" s="107"/>
      <c r="Q77" s="107"/>
      <c r="R77" s="107">
        <f t="shared" si="4"/>
        <v>0</v>
      </c>
      <c r="S77" s="107">
        <f t="shared" si="4"/>
        <v>0</v>
      </c>
      <c r="T77" s="107">
        <f t="shared" si="4"/>
        <v>0</v>
      </c>
      <c r="U77" s="107">
        <f t="shared" si="4"/>
        <v>0</v>
      </c>
      <c r="V77" s="107">
        <f t="shared" si="4"/>
        <v>0</v>
      </c>
      <c r="W77" s="107">
        <f t="shared" si="4"/>
        <v>0</v>
      </c>
      <c r="X77" s="107">
        <f t="shared" si="4"/>
        <v>0</v>
      </c>
      <c r="Y77" s="107"/>
      <c r="Z77" s="107">
        <f t="shared" si="4"/>
        <v>0</v>
      </c>
    </row>
    <row r="78" spans="1:26" s="89" customFormat="1" x14ac:dyDescent="0.25">
      <c r="A78" s="40"/>
      <c r="B78" s="13"/>
      <c r="C78" s="160"/>
      <c r="D78" s="248"/>
      <c r="E78" s="13"/>
      <c r="G78" s="98"/>
      <c r="H78" s="98"/>
      <c r="K78" s="195"/>
    </row>
    <row r="79" spans="1:26" s="89" customFormat="1" x14ac:dyDescent="0.25">
      <c r="A79" s="40"/>
      <c r="B79" s="13"/>
      <c r="C79" s="160"/>
      <c r="D79" s="248"/>
      <c r="E79" s="13"/>
      <c r="G79" s="98"/>
      <c r="H79" s="98"/>
      <c r="K79" s="195"/>
    </row>
    <row r="80" spans="1:26" s="89" customFormat="1" x14ac:dyDescent="0.25">
      <c r="A80" s="40"/>
      <c r="B80" s="13"/>
      <c r="C80" s="160"/>
      <c r="D80" s="248"/>
      <c r="E80" s="13"/>
      <c r="G80" s="98"/>
      <c r="H80" s="98"/>
      <c r="J80" s="98"/>
      <c r="M80" s="195"/>
    </row>
    <row r="81" spans="2:7" x14ac:dyDescent="0.25">
      <c r="B81" s="10"/>
      <c r="C81" s="123"/>
      <c r="E81" s="10"/>
      <c r="G81" s="19"/>
    </row>
    <row r="82" spans="2:7" x14ac:dyDescent="0.25">
      <c r="B82" s="10"/>
      <c r="C82" s="123"/>
      <c r="E82" s="10"/>
      <c r="G82" s="19"/>
    </row>
    <row r="83" spans="2:7" x14ac:dyDescent="0.25">
      <c r="B83" s="10"/>
      <c r="C83" s="123"/>
      <c r="E83" s="10"/>
      <c r="G83" s="19"/>
    </row>
    <row r="84" spans="2:7" x14ac:dyDescent="0.25">
      <c r="B84" s="10"/>
      <c r="C84" s="123"/>
      <c r="E84" s="10"/>
      <c r="G84" s="19"/>
    </row>
    <row r="85" spans="2:7" x14ac:dyDescent="0.25">
      <c r="B85" s="10"/>
      <c r="C85" s="123"/>
      <c r="E85" s="10"/>
    </row>
    <row r="86" spans="2:7" x14ac:dyDescent="0.25">
      <c r="B86" s="10"/>
      <c r="C86" s="123"/>
      <c r="E86" s="10"/>
    </row>
    <row r="87" spans="2:7" x14ac:dyDescent="0.25">
      <c r="B87" s="10"/>
      <c r="C87" s="123"/>
      <c r="E87" s="10"/>
    </row>
    <row r="88" spans="2:7" x14ac:dyDescent="0.25">
      <c r="B88" s="10"/>
      <c r="C88" s="123"/>
      <c r="E88" s="10"/>
    </row>
    <row r="89" spans="2:7" x14ac:dyDescent="0.25">
      <c r="B89" s="10"/>
      <c r="C89" s="123"/>
      <c r="E89" s="10"/>
    </row>
  </sheetData>
  <printOptions horizontalCentered="1" headings="1" gridLines="1"/>
  <pageMargins left="0.25" right="0.25" top="0.75" bottom="0.75" header="0.3" footer="0.3"/>
  <pageSetup scale="27" orientation="landscape" blackAndWhite="1" r:id="rId1"/>
  <headerFooter alignWithMargins="0">
    <oddHeader>&amp;C&amp;"Arial,Bold"&amp;14PSE BALANCE SHEET ADJUSTMENTS FOR DECEMBER 2015</oddHeader>
    <oddFooter>&amp;R&amp;14&amp;Z&amp;F&amp;A</oddFooter>
  </headerFooter>
  <customProperties>
    <customPr name="_pios_id" r:id="rId2"/>
  </customProperties>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Q98"/>
  <sheetViews>
    <sheetView zoomScaleNormal="100" workbookViewId="0">
      <selection activeCell="M9" sqref="M9:O15"/>
    </sheetView>
  </sheetViews>
  <sheetFormatPr defaultRowHeight="12.75" x14ac:dyDescent="0.2"/>
  <cols>
    <col min="1" max="1" width="6.140625" customWidth="1"/>
    <col min="2" max="2" width="39.7109375" bestFit="1" customWidth="1"/>
    <col min="3" max="3" width="11.85546875" style="212" bestFit="1" customWidth="1"/>
    <col min="4" max="4" width="4.42578125" style="212" bestFit="1" customWidth="1"/>
    <col min="5" max="5" width="13.28515625" style="218" bestFit="1" customWidth="1"/>
    <col min="6" max="6" width="4.7109375" style="212" bestFit="1" customWidth="1"/>
    <col min="7" max="7" width="15.85546875" style="218" bestFit="1" customWidth="1"/>
    <col min="8" max="8" width="2.42578125" bestFit="1" customWidth="1"/>
    <col min="9" max="9" width="2.42578125" style="217" bestFit="1" customWidth="1"/>
  </cols>
  <sheetData>
    <row r="1" spans="1:17" x14ac:dyDescent="0.2">
      <c r="B1" s="494" t="s">
        <v>323</v>
      </c>
      <c r="C1" s="494"/>
      <c r="D1" s="494"/>
      <c r="E1" s="494"/>
      <c r="F1" s="494"/>
      <c r="G1" s="494"/>
      <c r="H1" s="494"/>
    </row>
    <row r="2" spans="1:17" x14ac:dyDescent="0.2">
      <c r="B2" s="495">
        <f>'GAAP BS'!E1</f>
        <v>42369</v>
      </c>
      <c r="C2" s="495"/>
      <c r="D2" s="495"/>
      <c r="E2" s="495"/>
      <c r="F2" s="495"/>
      <c r="G2" s="495"/>
      <c r="H2" s="495"/>
      <c r="J2" s="269" t="s">
        <v>337</v>
      </c>
      <c r="K2" s="269"/>
      <c r="L2" s="269"/>
      <c r="M2" s="269"/>
      <c r="N2" s="269"/>
      <c r="O2" s="269"/>
      <c r="P2" s="269"/>
      <c r="Q2" s="269"/>
    </row>
    <row r="3" spans="1:17" x14ac:dyDescent="0.2">
      <c r="B3" s="215"/>
      <c r="C3" s="215"/>
      <c r="D3" s="215"/>
      <c r="E3" s="215"/>
      <c r="F3" s="215"/>
      <c r="G3" s="215"/>
      <c r="H3" s="215"/>
      <c r="J3" s="235" t="s">
        <v>335</v>
      </c>
      <c r="K3" s="235"/>
      <c r="L3" s="235"/>
      <c r="M3" s="235"/>
      <c r="N3" s="235"/>
      <c r="O3" s="235"/>
      <c r="P3" s="235"/>
      <c r="Q3" s="235"/>
    </row>
    <row r="4" spans="1:17" x14ac:dyDescent="0.2">
      <c r="A4" s="304" t="s">
        <v>662</v>
      </c>
      <c r="B4" s="215"/>
      <c r="C4" s="215"/>
      <c r="D4" s="215"/>
      <c r="E4" s="215"/>
      <c r="F4" s="215"/>
      <c r="G4" s="215"/>
      <c r="H4" s="215"/>
      <c r="J4" s="235" t="s">
        <v>334</v>
      </c>
      <c r="K4" s="235"/>
      <c r="L4" s="235"/>
      <c r="M4" s="235"/>
      <c r="N4" s="235"/>
      <c r="O4" s="235"/>
      <c r="P4" s="235"/>
      <c r="Q4" s="235"/>
    </row>
    <row r="5" spans="1:17" x14ac:dyDescent="0.2">
      <c r="B5" s="214"/>
      <c r="C5" s="214"/>
      <c r="D5" s="214"/>
      <c r="E5" s="215"/>
      <c r="F5" s="214"/>
      <c r="G5" s="215"/>
      <c r="H5" s="214"/>
      <c r="J5" s="235" t="s">
        <v>338</v>
      </c>
      <c r="K5" s="235"/>
      <c r="L5" s="235"/>
      <c r="M5" s="235"/>
      <c r="N5" s="235"/>
      <c r="O5" s="235"/>
      <c r="P5" s="235"/>
      <c r="Q5" s="235"/>
    </row>
    <row r="6" spans="1:17" x14ac:dyDescent="0.2">
      <c r="B6" s="214"/>
      <c r="C6" s="214"/>
      <c r="D6" s="215"/>
      <c r="E6" s="214"/>
      <c r="F6" s="215"/>
      <c r="G6" s="214"/>
      <c r="J6" s="235" t="s">
        <v>336</v>
      </c>
      <c r="K6" s="235"/>
      <c r="L6" s="235"/>
      <c r="M6" s="235"/>
      <c r="N6" s="235"/>
      <c r="O6" s="235"/>
      <c r="P6" s="235"/>
      <c r="Q6" s="235"/>
    </row>
    <row r="7" spans="1:17" x14ac:dyDescent="0.2">
      <c r="B7" s="287" t="s">
        <v>237</v>
      </c>
      <c r="C7" s="214"/>
      <c r="D7" s="215"/>
      <c r="E7" s="214"/>
      <c r="F7" s="215"/>
      <c r="G7" s="214"/>
    </row>
    <row r="8" spans="1:17" x14ac:dyDescent="0.2">
      <c r="C8"/>
      <c r="D8"/>
      <c r="E8"/>
      <c r="F8"/>
    </row>
    <row r="9" spans="1:17" x14ac:dyDescent="0.2">
      <c r="B9" s="286" t="s">
        <v>373</v>
      </c>
      <c r="C9"/>
      <c r="D9"/>
      <c r="E9"/>
      <c r="F9"/>
      <c r="G9"/>
    </row>
    <row r="10" spans="1:17" x14ac:dyDescent="0.2">
      <c r="B10" s="294" t="s">
        <v>318</v>
      </c>
      <c r="C10"/>
      <c r="D10"/>
      <c r="E10" s="291">
        <f>'PWI II'!B15</f>
        <v>2224000</v>
      </c>
      <c r="F10"/>
      <c r="G10"/>
    </row>
    <row r="11" spans="1:17" x14ac:dyDescent="0.2">
      <c r="B11" s="294" t="s">
        <v>374</v>
      </c>
      <c r="C11"/>
      <c r="D11"/>
      <c r="E11" s="291">
        <f>+'PWI II'!B26</f>
        <v>9791</v>
      </c>
      <c r="F11"/>
      <c r="G11"/>
    </row>
    <row r="12" spans="1:17" x14ac:dyDescent="0.2">
      <c r="B12" s="294" t="s">
        <v>319</v>
      </c>
      <c r="C12"/>
      <c r="D12"/>
      <c r="E12" s="291">
        <f>'PWI II'!B29</f>
        <v>0</v>
      </c>
      <c r="F12"/>
      <c r="G12"/>
    </row>
    <row r="13" spans="1:17" x14ac:dyDescent="0.2">
      <c r="B13" s="294" t="s">
        <v>320</v>
      </c>
      <c r="C13"/>
      <c r="D13"/>
      <c r="E13" s="291">
        <f>'PWI II'!B36</f>
        <v>21865050</v>
      </c>
      <c r="F13"/>
      <c r="G13"/>
    </row>
    <row r="14" spans="1:17" x14ac:dyDescent="0.2">
      <c r="B14" s="294" t="s">
        <v>321</v>
      </c>
      <c r="C14"/>
      <c r="D14"/>
      <c r="E14" s="292">
        <f>'PWI II'!B37</f>
        <v>4215880</v>
      </c>
      <c r="F14" s="290"/>
      <c r="G14" s="221"/>
    </row>
    <row r="15" spans="1:17" x14ac:dyDescent="0.2">
      <c r="B15" t="s">
        <v>375</v>
      </c>
      <c r="C15"/>
      <c r="D15"/>
      <c r="E15" s="285"/>
      <c r="F15" s="290"/>
      <c r="G15" s="285">
        <f>SUM(E10:E14)</f>
        <v>28314721</v>
      </c>
      <c r="H15" s="217" t="s">
        <v>333</v>
      </c>
    </row>
    <row r="16" spans="1:17" x14ac:dyDescent="0.2">
      <c r="C16"/>
      <c r="D16"/>
      <c r="E16"/>
      <c r="F16"/>
      <c r="G16" s="221"/>
    </row>
    <row r="17" spans="2:8" x14ac:dyDescent="0.2">
      <c r="C17"/>
      <c r="D17"/>
      <c r="E17"/>
      <c r="F17"/>
      <c r="G17" s="221"/>
    </row>
    <row r="18" spans="2:8" x14ac:dyDescent="0.2">
      <c r="B18" s="286" t="s">
        <v>324</v>
      </c>
      <c r="C18"/>
      <c r="D18"/>
      <c r="E18"/>
      <c r="F18"/>
      <c r="G18" s="221"/>
      <c r="H18" s="221"/>
    </row>
    <row r="19" spans="2:8" x14ac:dyDescent="0.2">
      <c r="B19" s="294" t="s">
        <v>309</v>
      </c>
      <c r="C19" s="291">
        <f>'PWI II'!B11</f>
        <v>5</v>
      </c>
      <c r="D19"/>
      <c r="E19"/>
      <c r="F19"/>
      <c r="G19" s="221"/>
      <c r="H19" s="221"/>
    </row>
    <row r="20" spans="2:8" x14ac:dyDescent="0.2">
      <c r="B20" s="294" t="s">
        <v>310</v>
      </c>
      <c r="C20" s="291">
        <v>0</v>
      </c>
      <c r="D20"/>
      <c r="E20"/>
      <c r="F20"/>
      <c r="G20" s="221"/>
      <c r="H20" s="221"/>
    </row>
    <row r="21" spans="2:8" x14ac:dyDescent="0.2">
      <c r="B21" s="294" t="s">
        <v>311</v>
      </c>
      <c r="C21" s="291">
        <f>'PWI II'!B12</f>
        <v>2397352</v>
      </c>
      <c r="D21"/>
      <c r="E21"/>
      <c r="F21"/>
      <c r="G21" s="221"/>
      <c r="H21" s="221"/>
    </row>
    <row r="22" spans="2:8" x14ac:dyDescent="0.2">
      <c r="B22" s="294" t="s">
        <v>312</v>
      </c>
      <c r="C22" s="292">
        <f>'PWI II'!B14</f>
        <v>7712</v>
      </c>
      <c r="D22" s="290"/>
      <c r="E22"/>
      <c r="F22"/>
      <c r="G22" s="221"/>
      <c r="H22" s="221"/>
    </row>
    <row r="23" spans="2:8" x14ac:dyDescent="0.2">
      <c r="B23" t="s">
        <v>376</v>
      </c>
      <c r="C23"/>
      <c r="D23"/>
      <c r="E23" s="283">
        <f>SUM(C19:C22)</f>
        <v>2405069</v>
      </c>
      <c r="F23" s="288" t="s">
        <v>377</v>
      </c>
      <c r="G23" s="221"/>
      <c r="H23" s="221"/>
    </row>
    <row r="24" spans="2:8" x14ac:dyDescent="0.2">
      <c r="C24"/>
      <c r="D24"/>
      <c r="E24"/>
      <c r="F24"/>
      <c r="G24" s="221"/>
      <c r="H24" s="221"/>
    </row>
    <row r="25" spans="2:8" x14ac:dyDescent="0.2">
      <c r="B25" s="294" t="s">
        <v>313</v>
      </c>
      <c r="C25" s="291">
        <f>'PWI II'!B13</f>
        <v>88392</v>
      </c>
      <c r="D25"/>
      <c r="E25"/>
      <c r="F25"/>
      <c r="G25" s="221"/>
      <c r="H25" s="221"/>
    </row>
    <row r="26" spans="2:8" x14ac:dyDescent="0.2">
      <c r="B26" t="s">
        <v>378</v>
      </c>
      <c r="C26"/>
      <c r="D26"/>
      <c r="E26" s="283">
        <f>C25</f>
        <v>88392</v>
      </c>
      <c r="F26" s="288" t="s">
        <v>304</v>
      </c>
      <c r="G26" s="221"/>
      <c r="H26" s="221"/>
    </row>
    <row r="27" spans="2:8" x14ac:dyDescent="0.2">
      <c r="C27"/>
      <c r="D27"/>
      <c r="E27"/>
      <c r="F27"/>
      <c r="G27" s="221"/>
      <c r="H27" s="221"/>
    </row>
    <row r="28" spans="2:8" x14ac:dyDescent="0.2">
      <c r="B28" s="294" t="s">
        <v>379</v>
      </c>
      <c r="C28" s="291">
        <v>0</v>
      </c>
      <c r="D28"/>
      <c r="E28"/>
      <c r="F28"/>
      <c r="G28" s="221"/>
      <c r="H28" s="221"/>
    </row>
    <row r="29" spans="2:8" x14ac:dyDescent="0.2">
      <c r="B29" s="294" t="s">
        <v>380</v>
      </c>
      <c r="C29" s="291">
        <f>'PWI II'!B16</f>
        <v>0</v>
      </c>
      <c r="D29"/>
      <c r="E29"/>
      <c r="F29"/>
      <c r="G29" s="221"/>
      <c r="H29" s="221"/>
    </row>
    <row r="30" spans="2:8" x14ac:dyDescent="0.2">
      <c r="B30" t="s">
        <v>381</v>
      </c>
      <c r="C30"/>
      <c r="D30"/>
      <c r="E30" s="283">
        <f>SUM(C28:C29)</f>
        <v>0</v>
      </c>
      <c r="F30" s="288" t="s">
        <v>382</v>
      </c>
      <c r="G30" s="221"/>
      <c r="H30" s="221"/>
    </row>
    <row r="31" spans="2:8" x14ac:dyDescent="0.2">
      <c r="C31"/>
      <c r="D31"/>
      <c r="E31"/>
      <c r="F31"/>
      <c r="G31" s="221"/>
      <c r="H31" s="221"/>
    </row>
    <row r="32" spans="2:8" x14ac:dyDescent="0.2">
      <c r="B32" s="294" t="s">
        <v>383</v>
      </c>
      <c r="C32" s="291"/>
      <c r="D32"/>
      <c r="E32"/>
      <c r="F32"/>
      <c r="G32" s="221"/>
      <c r="H32" s="221"/>
    </row>
    <row r="33" spans="2:8" x14ac:dyDescent="0.2">
      <c r="B33" t="s">
        <v>384</v>
      </c>
      <c r="C33"/>
      <c r="D33"/>
      <c r="E33" s="283">
        <f>C32</f>
        <v>0</v>
      </c>
      <c r="F33" s="288" t="s">
        <v>385</v>
      </c>
      <c r="G33" s="221"/>
      <c r="H33" s="221"/>
    </row>
    <row r="34" spans="2:8" x14ac:dyDescent="0.2">
      <c r="C34"/>
      <c r="D34"/>
      <c r="E34"/>
      <c r="F34"/>
      <c r="G34" s="221"/>
    </row>
    <row r="35" spans="2:8" x14ac:dyDescent="0.2">
      <c r="B35" s="294" t="s">
        <v>314</v>
      </c>
      <c r="C35" s="291">
        <f>'PWI II'!B18</f>
        <v>0</v>
      </c>
      <c r="D35"/>
      <c r="E35"/>
      <c r="F35"/>
      <c r="G35" s="221"/>
    </row>
    <row r="36" spans="2:8" x14ac:dyDescent="0.2">
      <c r="B36" s="294" t="s">
        <v>386</v>
      </c>
      <c r="C36" s="291">
        <f>'PWI II'!B17</f>
        <v>40000</v>
      </c>
      <c r="D36"/>
      <c r="E36"/>
      <c r="F36"/>
      <c r="G36" s="221"/>
    </row>
    <row r="37" spans="2:8" x14ac:dyDescent="0.2">
      <c r="B37" s="294" t="s">
        <v>315</v>
      </c>
      <c r="C37" s="291">
        <f>'PWI II'!B19</f>
        <v>8199</v>
      </c>
      <c r="D37"/>
      <c r="E37"/>
      <c r="F37"/>
      <c r="G37" s="221"/>
    </row>
    <row r="38" spans="2:8" x14ac:dyDescent="0.2">
      <c r="B38" s="294" t="s">
        <v>316</v>
      </c>
      <c r="C38" s="292">
        <v>0</v>
      </c>
      <c r="D38" s="290"/>
      <c r="E38"/>
      <c r="F38"/>
      <c r="G38" s="221"/>
    </row>
    <row r="39" spans="2:8" x14ac:dyDescent="0.2">
      <c r="B39" t="s">
        <v>387</v>
      </c>
      <c r="C39"/>
      <c r="D39"/>
      <c r="E39" s="284">
        <f>SUM(C35:C38)</f>
        <v>48199</v>
      </c>
      <c r="F39" s="290" t="s">
        <v>388</v>
      </c>
      <c r="G39" s="221"/>
    </row>
    <row r="40" spans="2:8" x14ac:dyDescent="0.2">
      <c r="B40" t="s">
        <v>317</v>
      </c>
      <c r="C40" s="285"/>
      <c r="D40" s="290"/>
      <c r="E40" s="285"/>
      <c r="F40" s="290"/>
      <c r="G40" s="216">
        <f>SUM(E19:E39)</f>
        <v>2541660</v>
      </c>
      <c r="H40" s="217" t="s">
        <v>389</v>
      </c>
    </row>
    <row r="41" spans="2:8" x14ac:dyDescent="0.2">
      <c r="C41" s="285"/>
      <c r="D41" s="290"/>
      <c r="E41" s="285"/>
      <c r="F41" s="290"/>
      <c r="G41" s="216"/>
    </row>
    <row r="42" spans="2:8" x14ac:dyDescent="0.2">
      <c r="B42" s="286" t="s">
        <v>390</v>
      </c>
      <c r="C42" s="285"/>
      <c r="D42" s="290"/>
      <c r="E42"/>
      <c r="F42"/>
      <c r="G42" s="221"/>
    </row>
    <row r="43" spans="2:8" x14ac:dyDescent="0.2">
      <c r="B43" s="294" t="s">
        <v>322</v>
      </c>
      <c r="C43" s="293">
        <f>'PWI II'!B30</f>
        <v>0</v>
      </c>
      <c r="D43" s="290" t="s">
        <v>391</v>
      </c>
      <c r="E43"/>
      <c r="F43"/>
      <c r="G43" s="221"/>
    </row>
    <row r="44" spans="2:8" x14ac:dyDescent="0.2">
      <c r="B44" t="s">
        <v>392</v>
      </c>
      <c r="C44"/>
      <c r="D44"/>
      <c r="E44"/>
      <c r="F44"/>
      <c r="G44" s="216">
        <f>C43</f>
        <v>0</v>
      </c>
      <c r="H44" s="217" t="s">
        <v>393</v>
      </c>
    </row>
    <row r="45" spans="2:8" x14ac:dyDescent="0.2">
      <c r="C45"/>
      <c r="D45"/>
      <c r="E45"/>
      <c r="F45"/>
      <c r="G45" s="221"/>
    </row>
    <row r="46" spans="2:8" ht="13.5" thickBot="1" x14ac:dyDescent="0.25">
      <c r="B46" s="217" t="s">
        <v>31</v>
      </c>
      <c r="C46" s="288"/>
      <c r="D46"/>
      <c r="E46" s="288"/>
      <c r="F46"/>
      <c r="G46" s="289">
        <f>SUM(G10:G45)</f>
        <v>30856381</v>
      </c>
      <c r="H46" s="217" t="s">
        <v>394</v>
      </c>
    </row>
    <row r="47" spans="2:8" ht="13.5" thickTop="1" x14ac:dyDescent="0.2">
      <c r="C47"/>
      <c r="D47"/>
      <c r="E47"/>
      <c r="F47"/>
      <c r="G47"/>
    </row>
    <row r="48" spans="2:8" x14ac:dyDescent="0.2">
      <c r="C48" s="274"/>
      <c r="D48" s="274"/>
      <c r="E48" s="274"/>
      <c r="F48" s="274"/>
      <c r="H48" s="216"/>
    </row>
    <row r="49" spans="1:15" x14ac:dyDescent="0.2">
      <c r="C49" s="274"/>
      <c r="D49" s="274"/>
      <c r="E49" s="274"/>
      <c r="F49" s="274"/>
      <c r="H49" s="221"/>
    </row>
    <row r="50" spans="1:15" x14ac:dyDescent="0.2">
      <c r="A50" s="281" t="s">
        <v>663</v>
      </c>
      <c r="C50"/>
      <c r="D50"/>
      <c r="E50"/>
      <c r="F50"/>
      <c r="G50"/>
    </row>
    <row r="51" spans="1:15" x14ac:dyDescent="0.2">
      <c r="A51" s="133"/>
      <c r="B51" s="217" t="s">
        <v>255</v>
      </c>
      <c r="C51"/>
      <c r="D51"/>
      <c r="E51"/>
      <c r="F51"/>
      <c r="G51"/>
    </row>
    <row r="52" spans="1:15" x14ac:dyDescent="0.2">
      <c r="C52"/>
      <c r="D52"/>
      <c r="E52"/>
      <c r="F52"/>
      <c r="G52" s="221"/>
    </row>
    <row r="53" spans="1:15" x14ac:dyDescent="0.2">
      <c r="B53" s="294" t="s">
        <v>395</v>
      </c>
      <c r="C53" s="271"/>
      <c r="D53"/>
      <c r="E53" s="291">
        <f>'PWI II'!B82</f>
        <v>29897629</v>
      </c>
      <c r="F53" s="288" t="s">
        <v>412</v>
      </c>
      <c r="G53" s="221"/>
    </row>
    <row r="54" spans="1:15" x14ac:dyDescent="0.2">
      <c r="B54" t="s">
        <v>396</v>
      </c>
      <c r="C54"/>
      <c r="D54"/>
      <c r="E54"/>
      <c r="F54"/>
      <c r="G54" s="216">
        <f>E53</f>
        <v>29897629</v>
      </c>
      <c r="H54" s="217" t="s">
        <v>413</v>
      </c>
    </row>
    <row r="55" spans="1:15" x14ac:dyDescent="0.2">
      <c r="C55"/>
      <c r="D55"/>
      <c r="E55"/>
      <c r="F55"/>
      <c r="G55" s="216"/>
    </row>
    <row r="56" spans="1:15" x14ac:dyDescent="0.2">
      <c r="B56" s="294" t="s">
        <v>397</v>
      </c>
      <c r="C56" s="282"/>
      <c r="D56" s="299"/>
      <c r="E56" s="291">
        <f>'PWI II'!B67</f>
        <v>2411777</v>
      </c>
      <c r="F56" s="288" t="s">
        <v>414</v>
      </c>
      <c r="G56" s="300"/>
      <c r="H56" s="113"/>
    </row>
    <row r="57" spans="1:15" x14ac:dyDescent="0.2">
      <c r="B57" t="s">
        <v>398</v>
      </c>
      <c r="C57"/>
      <c r="D57"/>
      <c r="E57" s="282"/>
      <c r="F57"/>
      <c r="G57" s="216">
        <f>E56</f>
        <v>2411777</v>
      </c>
      <c r="H57" s="217" t="s">
        <v>415</v>
      </c>
    </row>
    <row r="58" spans="1:15" x14ac:dyDescent="0.2">
      <c r="C58"/>
      <c r="D58"/>
      <c r="E58"/>
      <c r="F58"/>
      <c r="G58" s="221"/>
    </row>
    <row r="59" spans="1:15" x14ac:dyDescent="0.2">
      <c r="B59" s="286" t="s">
        <v>325</v>
      </c>
      <c r="C59"/>
      <c r="D59"/>
      <c r="E59"/>
      <c r="F59"/>
      <c r="G59"/>
    </row>
    <row r="60" spans="1:15" x14ac:dyDescent="0.2">
      <c r="B60" s="294" t="s">
        <v>75</v>
      </c>
      <c r="C60" s="291">
        <v>0</v>
      </c>
      <c r="D60"/>
      <c r="E60"/>
      <c r="F60"/>
      <c r="G60"/>
      <c r="I60" s="113"/>
      <c r="J60" s="493"/>
      <c r="K60" s="493"/>
      <c r="L60" s="493"/>
      <c r="M60" s="493"/>
      <c r="N60" s="493"/>
      <c r="O60" s="493"/>
    </row>
    <row r="61" spans="1:15" x14ac:dyDescent="0.2">
      <c r="B61" s="294" t="s">
        <v>326</v>
      </c>
      <c r="C61" s="291">
        <f>'PWI II'!B57</f>
        <v>0</v>
      </c>
      <c r="D61"/>
      <c r="E61"/>
      <c r="F61"/>
      <c r="G61"/>
    </row>
    <row r="62" spans="1:15" x14ac:dyDescent="0.2">
      <c r="B62" s="294" t="s">
        <v>458</v>
      </c>
      <c r="C62" s="291">
        <f>'PWI II'!B58</f>
        <v>0</v>
      </c>
      <c r="D62"/>
      <c r="E62"/>
      <c r="F62"/>
      <c r="G62"/>
    </row>
    <row r="63" spans="1:15" x14ac:dyDescent="0.2">
      <c r="B63" s="294" t="s">
        <v>407</v>
      </c>
      <c r="C63" s="291">
        <f>'PWI II'!B59</f>
        <v>50848</v>
      </c>
      <c r="D63"/>
      <c r="E63"/>
      <c r="F63"/>
      <c r="G63"/>
    </row>
    <row r="64" spans="1:15" x14ac:dyDescent="0.2">
      <c r="B64" s="294" t="s">
        <v>327</v>
      </c>
      <c r="C64" s="293">
        <f>'PWI II'!B61</f>
        <v>0</v>
      </c>
      <c r="D64" s="290"/>
      <c r="E64"/>
      <c r="F64"/>
      <c r="G64"/>
    </row>
    <row r="65" spans="2:8" x14ac:dyDescent="0.2">
      <c r="B65" s="297" t="s">
        <v>347</v>
      </c>
      <c r="C65" s="292">
        <f>'PWI II'!B60</f>
        <v>37000</v>
      </c>
      <c r="D65" s="290"/>
      <c r="E65"/>
      <c r="F65"/>
      <c r="G65"/>
    </row>
    <row r="66" spans="2:8" x14ac:dyDescent="0.2">
      <c r="B66" t="s">
        <v>534</v>
      </c>
      <c r="C66"/>
      <c r="D66"/>
      <c r="E66" s="283">
        <f>SUM(C60:C65)</f>
        <v>87848</v>
      </c>
      <c r="F66" s="288" t="s">
        <v>416</v>
      </c>
      <c r="G66"/>
    </row>
    <row r="67" spans="2:8" ht="15" x14ac:dyDescent="0.25">
      <c r="B67" s="270"/>
      <c r="C67" s="271"/>
      <c r="D67" s="271"/>
      <c r="E67" s="271"/>
      <c r="F67" s="271"/>
    </row>
    <row r="68" spans="2:8" x14ac:dyDescent="0.2">
      <c r="B68" s="294" t="s">
        <v>399</v>
      </c>
      <c r="C68" s="291">
        <f>'PWI II'!B68</f>
        <v>0</v>
      </c>
      <c r="D68" s="275" t="s">
        <v>417</v>
      </c>
      <c r="E68"/>
      <c r="F68"/>
      <c r="G68"/>
    </row>
    <row r="69" spans="2:8" x14ac:dyDescent="0.2">
      <c r="B69" s="294" t="s">
        <v>400</v>
      </c>
      <c r="C69" s="291">
        <v>0</v>
      </c>
      <c r="D69"/>
      <c r="E69"/>
      <c r="F69"/>
      <c r="G69"/>
    </row>
    <row r="70" spans="2:8" x14ac:dyDescent="0.2">
      <c r="B70" s="294" t="s">
        <v>328</v>
      </c>
      <c r="C70" s="292">
        <f>'PWI II'!B66</f>
        <v>-1946692</v>
      </c>
      <c r="D70" s="275" t="s">
        <v>402</v>
      </c>
      <c r="E70"/>
      <c r="F70"/>
      <c r="G70"/>
    </row>
    <row r="71" spans="2:8" x14ac:dyDescent="0.2">
      <c r="B71" t="s">
        <v>401</v>
      </c>
      <c r="C71"/>
      <c r="E71" s="284">
        <f>SUM(C68:C70)</f>
        <v>-1946692</v>
      </c>
      <c r="F71" s="290"/>
      <c r="G71"/>
    </row>
    <row r="72" spans="2:8" x14ac:dyDescent="0.2">
      <c r="B72" t="s">
        <v>317</v>
      </c>
      <c r="C72"/>
      <c r="D72"/>
      <c r="E72"/>
      <c r="F72"/>
      <c r="G72" s="219">
        <f>SUM(E60:E71)</f>
        <v>-1858844</v>
      </c>
      <c r="H72" s="217"/>
    </row>
    <row r="73" spans="2:8" x14ac:dyDescent="0.2">
      <c r="C73" s="272"/>
      <c r="D73" s="272"/>
      <c r="E73" s="272"/>
      <c r="F73" s="272"/>
    </row>
    <row r="74" spans="2:8" x14ac:dyDescent="0.2">
      <c r="B74" s="286" t="s">
        <v>329</v>
      </c>
      <c r="C74"/>
      <c r="D74"/>
      <c r="E74"/>
      <c r="F74"/>
      <c r="G74"/>
    </row>
    <row r="75" spans="2:8" x14ac:dyDescent="0.2">
      <c r="B75" s="295" t="s">
        <v>330</v>
      </c>
      <c r="C75" s="291">
        <f>'PWI II'!B70</f>
        <v>405819</v>
      </c>
      <c r="D75"/>
      <c r="E75"/>
      <c r="F75"/>
      <c r="G75"/>
    </row>
    <row r="76" spans="2:8" x14ac:dyDescent="0.2">
      <c r="B76" s="220" t="s">
        <v>403</v>
      </c>
      <c r="C76"/>
      <c r="D76" s="275"/>
      <c r="E76" s="283">
        <f>C75</f>
        <v>405819</v>
      </c>
      <c r="F76" s="288" t="s">
        <v>404</v>
      </c>
      <c r="G76"/>
    </row>
    <row r="77" spans="2:8" ht="15" x14ac:dyDescent="0.25">
      <c r="B77" s="270"/>
      <c r="C77" s="273"/>
      <c r="D77" s="273"/>
      <c r="E77" s="273"/>
      <c r="F77" s="273"/>
      <c r="H77" s="219"/>
    </row>
    <row r="78" spans="2:8" x14ac:dyDescent="0.2">
      <c r="B78" s="294" t="s">
        <v>331</v>
      </c>
      <c r="C78" s="291">
        <f>'PWI II'!B69</f>
        <v>0</v>
      </c>
      <c r="D78"/>
      <c r="E78"/>
      <c r="F78"/>
      <c r="G78"/>
    </row>
    <row r="79" spans="2:8" x14ac:dyDescent="0.2">
      <c r="B79" t="s">
        <v>405</v>
      </c>
      <c r="C79"/>
      <c r="D79"/>
      <c r="E79" s="284">
        <f>C78</f>
        <v>0</v>
      </c>
      <c r="F79" s="290" t="s">
        <v>418</v>
      </c>
      <c r="G79"/>
    </row>
    <row r="80" spans="2:8" x14ac:dyDescent="0.2">
      <c r="B80" t="s">
        <v>332</v>
      </c>
      <c r="C80"/>
      <c r="D80"/>
      <c r="E80"/>
      <c r="F80"/>
      <c r="G80" s="219">
        <f>SUM(E75:E79)</f>
        <v>405819</v>
      </c>
      <c r="H80" s="217" t="s">
        <v>419</v>
      </c>
    </row>
    <row r="81" spans="2:8" x14ac:dyDescent="0.2">
      <c r="C81" s="271"/>
      <c r="D81" s="271"/>
      <c r="E81" s="271"/>
      <c r="F81" s="271"/>
    </row>
    <row r="82" spans="2:8" ht="13.5" thickBot="1" x14ac:dyDescent="0.25">
      <c r="B82" s="217" t="s">
        <v>209</v>
      </c>
      <c r="C82"/>
      <c r="D82"/>
      <c r="E82"/>
      <c r="F82"/>
      <c r="G82" s="289">
        <f>SUM(G53:G81)</f>
        <v>30856381</v>
      </c>
      <c r="H82" s="217" t="s">
        <v>420</v>
      </c>
    </row>
    <row r="83" spans="2:8" ht="13.5" thickTop="1" x14ac:dyDescent="0.2">
      <c r="C83" s="221"/>
      <c r="D83" s="221"/>
      <c r="E83" s="221"/>
      <c r="F83" s="221"/>
      <c r="G83"/>
    </row>
    <row r="84" spans="2:8" x14ac:dyDescent="0.2">
      <c r="C84" s="274"/>
      <c r="D84" s="274"/>
      <c r="E84" s="274"/>
      <c r="F84" s="274"/>
    </row>
    <row r="85" spans="2:8" x14ac:dyDescent="0.2">
      <c r="B85" s="217" t="s">
        <v>341</v>
      </c>
      <c r="C85" s="290"/>
      <c r="D85" s="221"/>
      <c r="E85" s="290"/>
      <c r="F85" s="221"/>
      <c r="G85" s="296">
        <f>+G46-G82</f>
        <v>0</v>
      </c>
    </row>
    <row r="86" spans="2:8" ht="15" x14ac:dyDescent="0.25">
      <c r="B86" s="270"/>
      <c r="C86" s="278"/>
      <c r="D86" s="278"/>
      <c r="E86" s="278"/>
      <c r="F86" s="278"/>
      <c r="H86" s="216"/>
    </row>
    <row r="87" spans="2:8" ht="15" x14ac:dyDescent="0.25">
      <c r="B87" s="270"/>
      <c r="C87" s="278"/>
      <c r="D87" s="278"/>
      <c r="E87" s="278"/>
      <c r="F87" s="278"/>
      <c r="H87" s="221"/>
    </row>
    <row r="88" spans="2:8" x14ac:dyDescent="0.2">
      <c r="B88" t="s">
        <v>401</v>
      </c>
      <c r="C88"/>
      <c r="D88" s="288" t="s">
        <v>402</v>
      </c>
      <c r="E88" s="285">
        <f>C70</f>
        <v>-1946692</v>
      </c>
      <c r="F88" s="290"/>
      <c r="G88"/>
      <c r="H88" s="222"/>
    </row>
    <row r="89" spans="2:8" x14ac:dyDescent="0.2">
      <c r="B89" s="220" t="s">
        <v>403</v>
      </c>
      <c r="C89"/>
      <c r="D89" s="288" t="s">
        <v>404</v>
      </c>
      <c r="E89" s="283">
        <f>E76</f>
        <v>405819</v>
      </c>
      <c r="F89"/>
      <c r="G89"/>
      <c r="H89" s="221"/>
    </row>
    <row r="90" spans="2:8" ht="13.5" thickBot="1" x14ac:dyDescent="0.25">
      <c r="B90" s="220" t="s">
        <v>406</v>
      </c>
      <c r="C90"/>
      <c r="D90"/>
      <c r="E90" s="298">
        <f>SUM(E88:E89)</f>
        <v>-1540873</v>
      </c>
      <c r="F90" s="288" t="s">
        <v>421</v>
      </c>
      <c r="G90"/>
      <c r="H90" s="221"/>
    </row>
    <row r="91" spans="2:8" ht="13.5" thickTop="1" x14ac:dyDescent="0.2"/>
    <row r="92" spans="2:8" x14ac:dyDescent="0.2">
      <c r="B92" s="221"/>
      <c r="C92" s="213"/>
      <c r="D92" s="213"/>
      <c r="E92" s="222"/>
      <c r="F92" s="213"/>
      <c r="G92" s="222"/>
      <c r="H92" s="221"/>
    </row>
    <row r="93" spans="2:8" x14ac:dyDescent="0.2">
      <c r="B93" s="221"/>
      <c r="C93" s="213"/>
      <c r="D93" s="213"/>
      <c r="E93" s="222"/>
      <c r="F93" s="213"/>
      <c r="G93" s="222"/>
      <c r="H93" s="221"/>
    </row>
    <row r="94" spans="2:8" x14ac:dyDescent="0.2">
      <c r="B94" s="220"/>
      <c r="C94" s="213"/>
      <c r="D94" s="213"/>
      <c r="E94" s="222"/>
      <c r="F94" s="213"/>
      <c r="G94" s="222"/>
      <c r="H94" s="221"/>
    </row>
    <row r="95" spans="2:8" x14ac:dyDescent="0.2">
      <c r="B95" s="220"/>
      <c r="C95" s="213"/>
      <c r="D95" s="213"/>
      <c r="E95" s="222"/>
      <c r="F95" s="213"/>
      <c r="G95" s="222"/>
      <c r="H95" s="221"/>
    </row>
    <row r="96" spans="2:8" x14ac:dyDescent="0.2">
      <c r="B96" s="221"/>
      <c r="C96" s="213"/>
      <c r="D96" s="213"/>
      <c r="E96" s="222"/>
      <c r="F96" s="213"/>
      <c r="G96" s="222"/>
      <c r="H96" s="221"/>
    </row>
    <row r="97" spans="2:8" x14ac:dyDescent="0.2">
      <c r="B97" s="221"/>
      <c r="C97" s="213"/>
      <c r="D97" s="213"/>
      <c r="E97" s="222"/>
      <c r="F97" s="213"/>
      <c r="G97" s="222"/>
      <c r="H97" s="221"/>
    </row>
    <row r="98" spans="2:8" x14ac:dyDescent="0.2">
      <c r="B98" s="221"/>
      <c r="C98" s="213"/>
      <c r="D98" s="213"/>
      <c r="E98" s="222"/>
      <c r="F98" s="213"/>
      <c r="G98" s="222"/>
      <c r="H98" s="221"/>
    </row>
  </sheetData>
  <mergeCells count="3">
    <mergeCell ref="J60:O60"/>
    <mergeCell ref="B1:H1"/>
    <mergeCell ref="B2:H2"/>
  </mergeCells>
  <phoneticPr fontId="2" type="noConversion"/>
  <printOptions horizontalCentered="1"/>
  <pageMargins left="0.5" right="0.5" top="0.5" bottom="0.5" header="0.25" footer="0.25"/>
  <pageSetup scale="60" orientation="portrait" blackAndWhite="1" r:id="rId1"/>
  <headerFooter alignWithMargins="0"/>
  <customProperties>
    <customPr name="_pios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topLeftCell="A58" zoomScaleNormal="100" workbookViewId="0">
      <selection activeCell="M9" sqref="M9:O15"/>
    </sheetView>
  </sheetViews>
  <sheetFormatPr defaultRowHeight="12.75" x14ac:dyDescent="0.2"/>
  <cols>
    <col min="1" max="1" width="45.5703125" bestFit="1" customWidth="1"/>
    <col min="2" max="2" width="16" customWidth="1"/>
    <col min="3" max="3" width="2.28515625" bestFit="1" customWidth="1"/>
    <col min="4" max="4" width="22.28515625" bestFit="1" customWidth="1"/>
    <col min="5" max="5" width="24.85546875" bestFit="1" customWidth="1"/>
  </cols>
  <sheetData>
    <row r="1" spans="1:5" ht="15.75" x14ac:dyDescent="0.25">
      <c r="A1" s="303"/>
      <c r="B1" s="301" t="s">
        <v>361</v>
      </c>
      <c r="C1" s="301"/>
      <c r="D1" s="277"/>
      <c r="E1" s="303"/>
    </row>
    <row r="2" spans="1:5" ht="15.75" x14ac:dyDescent="0.25">
      <c r="A2" s="303"/>
      <c r="B2" s="301" t="s">
        <v>362</v>
      </c>
      <c r="C2" s="301"/>
      <c r="D2" s="277"/>
      <c r="E2" s="303"/>
    </row>
    <row r="3" spans="1:5" x14ac:dyDescent="0.2">
      <c r="A3" s="496">
        <f>'GAAP BS'!E1</f>
        <v>42369</v>
      </c>
      <c r="B3" s="496"/>
      <c r="C3" s="496"/>
      <c r="D3" s="496"/>
      <c r="E3" s="496"/>
    </row>
    <row r="6" spans="1:5" x14ac:dyDescent="0.2">
      <c r="C6" s="275" t="s">
        <v>333</v>
      </c>
    </row>
    <row r="7" spans="1:5" ht="15" x14ac:dyDescent="0.25">
      <c r="B7" s="335" t="s">
        <v>352</v>
      </c>
      <c r="C7" s="335"/>
      <c r="D7" s="335" t="s">
        <v>352</v>
      </c>
      <c r="E7" s="335" t="s">
        <v>353</v>
      </c>
    </row>
    <row r="8" spans="1:5" ht="15" x14ac:dyDescent="0.25">
      <c r="B8" s="336">
        <v>42369</v>
      </c>
      <c r="C8" s="336"/>
      <c r="D8" s="336">
        <v>42004</v>
      </c>
      <c r="E8" s="337" t="s">
        <v>354</v>
      </c>
    </row>
    <row r="10" spans="1:5" ht="15" x14ac:dyDescent="0.25">
      <c r="A10" s="270" t="s">
        <v>324</v>
      </c>
    </row>
    <row r="11" spans="1:5" ht="15" x14ac:dyDescent="0.25">
      <c r="A11" t="s">
        <v>309</v>
      </c>
      <c r="B11" s="305">
        <v>5</v>
      </c>
      <c r="C11" s="305"/>
      <c r="D11" s="305">
        <v>100</v>
      </c>
      <c r="E11" s="271">
        <f t="shared" ref="E11:E19" si="0">+B11-D11</f>
        <v>-95</v>
      </c>
    </row>
    <row r="12" spans="1:5" x14ac:dyDescent="0.2">
      <c r="A12" t="s">
        <v>311</v>
      </c>
      <c r="B12" s="271">
        <v>2397352</v>
      </c>
      <c r="C12" s="271"/>
      <c r="D12" s="271">
        <v>1808292</v>
      </c>
      <c r="E12" s="271">
        <f t="shared" si="0"/>
        <v>589060</v>
      </c>
    </row>
    <row r="13" spans="1:5" x14ac:dyDescent="0.2">
      <c r="A13" t="s">
        <v>313</v>
      </c>
      <c r="B13" s="271">
        <v>88392</v>
      </c>
      <c r="C13" s="271"/>
      <c r="D13" s="271">
        <v>88374</v>
      </c>
      <c r="E13" s="271">
        <f t="shared" si="0"/>
        <v>18</v>
      </c>
    </row>
    <row r="14" spans="1:5" x14ac:dyDescent="0.2">
      <c r="A14" t="s">
        <v>312</v>
      </c>
      <c r="B14" s="271">
        <v>7712</v>
      </c>
      <c r="C14" s="271"/>
      <c r="D14" s="271">
        <v>126624</v>
      </c>
      <c r="E14" s="271">
        <f>+B14-D14</f>
        <v>-118912</v>
      </c>
    </row>
    <row r="15" spans="1:5" x14ac:dyDescent="0.2">
      <c r="A15" t="s">
        <v>318</v>
      </c>
      <c r="B15" s="271">
        <v>2224000</v>
      </c>
      <c r="C15" s="271"/>
      <c r="D15" s="271">
        <v>273000</v>
      </c>
      <c r="E15" s="271">
        <f t="shared" si="0"/>
        <v>1951000</v>
      </c>
    </row>
    <row r="16" spans="1:5" x14ac:dyDescent="0.2">
      <c r="A16" t="s">
        <v>379</v>
      </c>
      <c r="B16" s="271">
        <v>0</v>
      </c>
      <c r="C16" s="271"/>
      <c r="D16" s="271">
        <v>796</v>
      </c>
      <c r="E16" s="271">
        <f t="shared" si="0"/>
        <v>-796</v>
      </c>
    </row>
    <row r="17" spans="1:5" x14ac:dyDescent="0.2">
      <c r="A17" t="s">
        <v>386</v>
      </c>
      <c r="B17" s="271">
        <v>40000</v>
      </c>
      <c r="C17" s="271"/>
      <c r="D17" s="271">
        <v>0</v>
      </c>
      <c r="E17" s="271">
        <f t="shared" si="0"/>
        <v>40000</v>
      </c>
    </row>
    <row r="18" spans="1:5" x14ac:dyDescent="0.2">
      <c r="A18" t="s">
        <v>314</v>
      </c>
      <c r="B18" s="271">
        <v>0</v>
      </c>
      <c r="C18" s="271"/>
      <c r="D18" s="271">
        <v>12085</v>
      </c>
      <c r="E18" s="271">
        <f t="shared" si="0"/>
        <v>-12085</v>
      </c>
    </row>
    <row r="19" spans="1:5" x14ac:dyDescent="0.2">
      <c r="A19" t="s">
        <v>315</v>
      </c>
      <c r="B19" s="272">
        <v>8199</v>
      </c>
      <c r="C19" s="272"/>
      <c r="D19" s="272">
        <v>8164</v>
      </c>
      <c r="E19" s="272">
        <f t="shared" si="0"/>
        <v>35</v>
      </c>
    </row>
    <row r="20" spans="1:5" ht="15" x14ac:dyDescent="0.25">
      <c r="A20" s="270" t="s">
        <v>317</v>
      </c>
      <c r="B20" s="273">
        <f>SUM(B11:B19)</f>
        <v>4765660</v>
      </c>
      <c r="C20" s="273"/>
      <c r="D20" s="273">
        <f>SUM(D11:D19)</f>
        <v>2317435</v>
      </c>
      <c r="E20" s="273">
        <f>SUM(E11:E19)</f>
        <v>2448225</v>
      </c>
    </row>
    <row r="21" spans="1:5" x14ac:dyDescent="0.2">
      <c r="B21" s="271"/>
      <c r="C21" s="271"/>
      <c r="D21" s="271"/>
      <c r="E21" s="271"/>
    </row>
    <row r="22" spans="1:5" ht="15" x14ac:dyDescent="0.25">
      <c r="A22" s="270" t="s">
        <v>348</v>
      </c>
      <c r="B22" s="271"/>
      <c r="C22" s="271"/>
      <c r="D22" s="271"/>
      <c r="E22" s="271"/>
    </row>
    <row r="23" spans="1:5" x14ac:dyDescent="0.2">
      <c r="A23" t="s">
        <v>350</v>
      </c>
      <c r="B23" s="271">
        <v>298267</v>
      </c>
      <c r="C23" s="271"/>
      <c r="D23" s="271">
        <v>298267</v>
      </c>
      <c r="E23" s="271">
        <f>+B23-D23</f>
        <v>0</v>
      </c>
    </row>
    <row r="24" spans="1:5" x14ac:dyDescent="0.2">
      <c r="A24" t="s">
        <v>355</v>
      </c>
      <c r="B24" s="272">
        <v>-288476</v>
      </c>
      <c r="C24" s="272"/>
      <c r="D24" s="272">
        <v>-285573</v>
      </c>
      <c r="E24" s="272">
        <f>+B24-D24</f>
        <v>-2903</v>
      </c>
    </row>
    <row r="25" spans="1:5" x14ac:dyDescent="0.2">
      <c r="B25" s="271"/>
      <c r="C25" s="271"/>
      <c r="D25" s="271"/>
      <c r="E25" s="271"/>
    </row>
    <row r="26" spans="1:5" ht="15" x14ac:dyDescent="0.25">
      <c r="A26" t="s">
        <v>356</v>
      </c>
      <c r="B26" s="273">
        <f>SUM(B23:B24)</f>
        <v>9791</v>
      </c>
      <c r="C26" s="273"/>
      <c r="D26" s="273">
        <f>SUM(D23:D24)</f>
        <v>12694</v>
      </c>
      <c r="E26" s="273">
        <f>SUM(E23:E24)</f>
        <v>-2903</v>
      </c>
    </row>
    <row r="27" spans="1:5" x14ac:dyDescent="0.2">
      <c r="B27" s="271"/>
      <c r="C27" s="271"/>
      <c r="D27" s="271"/>
      <c r="E27" s="271"/>
    </row>
    <row r="28" spans="1:5" ht="15" x14ac:dyDescent="0.25">
      <c r="A28" s="270" t="s">
        <v>357</v>
      </c>
      <c r="B28" s="271"/>
      <c r="C28" s="271"/>
      <c r="D28" s="271"/>
      <c r="E28" s="271"/>
    </row>
    <row r="29" spans="1:5" x14ac:dyDescent="0.2">
      <c r="A29" t="s">
        <v>319</v>
      </c>
      <c r="B29" s="271">
        <v>0</v>
      </c>
      <c r="C29" s="271"/>
      <c r="D29" s="271">
        <v>88630</v>
      </c>
      <c r="E29" s="271">
        <f>+B29-D29</f>
        <v>-88630</v>
      </c>
    </row>
    <row r="30" spans="1:5" x14ac:dyDescent="0.2">
      <c r="A30" t="s">
        <v>322</v>
      </c>
      <c r="B30" s="272">
        <v>0</v>
      </c>
      <c r="C30" s="272"/>
      <c r="D30" s="272">
        <v>437000</v>
      </c>
      <c r="E30" s="272">
        <f>+B30-D30</f>
        <v>-437000</v>
      </c>
    </row>
    <row r="31" spans="1:5" x14ac:dyDescent="0.2">
      <c r="B31" s="271"/>
      <c r="C31" s="271"/>
      <c r="D31" s="271"/>
      <c r="E31" s="271"/>
    </row>
    <row r="32" spans="1:5" ht="15" x14ac:dyDescent="0.25">
      <c r="A32" t="s">
        <v>358</v>
      </c>
      <c r="B32" s="273">
        <f>SUM(B29:B30)</f>
        <v>0</v>
      </c>
      <c r="C32" s="273"/>
      <c r="D32" s="273">
        <f>SUM(D29:D30)</f>
        <v>525630</v>
      </c>
      <c r="E32" s="273">
        <f>SUM(E29:E30)</f>
        <v>-525630</v>
      </c>
    </row>
    <row r="33" spans="1:5" x14ac:dyDescent="0.2">
      <c r="B33" s="271"/>
      <c r="C33" s="271"/>
      <c r="D33" s="271"/>
      <c r="E33" s="271"/>
    </row>
    <row r="34" spans="1:5" x14ac:dyDescent="0.2">
      <c r="B34" s="271"/>
      <c r="C34" s="271"/>
      <c r="D34" s="271"/>
      <c r="E34" s="271"/>
    </row>
    <row r="35" spans="1:5" ht="15" x14ac:dyDescent="0.25">
      <c r="A35" s="270" t="s">
        <v>359</v>
      </c>
      <c r="B35" s="271"/>
      <c r="C35" s="271"/>
      <c r="D35" s="271"/>
      <c r="E35" s="271"/>
    </row>
    <row r="36" spans="1:5" x14ac:dyDescent="0.2">
      <c r="A36" t="s">
        <v>320</v>
      </c>
      <c r="B36" s="271">
        <v>21865050</v>
      </c>
      <c r="C36" s="271"/>
      <c r="D36" s="271">
        <v>24651973</v>
      </c>
      <c r="E36" s="271">
        <f>+B36-D36</f>
        <v>-2786923</v>
      </c>
    </row>
    <row r="37" spans="1:5" x14ac:dyDescent="0.2">
      <c r="A37" t="s">
        <v>321</v>
      </c>
      <c r="B37" s="272">
        <v>4215880</v>
      </c>
      <c r="C37" s="272"/>
      <c r="D37" s="272">
        <v>3912404</v>
      </c>
      <c r="E37" s="272">
        <f>+B37-D37</f>
        <v>303476</v>
      </c>
    </row>
    <row r="38" spans="1:5" x14ac:dyDescent="0.2">
      <c r="B38" s="271"/>
      <c r="C38" s="271"/>
      <c r="D38" s="271"/>
      <c r="E38" s="271"/>
    </row>
    <row r="39" spans="1:5" x14ac:dyDescent="0.2">
      <c r="A39" t="s">
        <v>360</v>
      </c>
      <c r="B39" s="272">
        <f>SUM(B36:B37)+B32+B26</f>
        <v>26090721</v>
      </c>
      <c r="C39" s="272"/>
      <c r="D39" s="272">
        <f>SUM(D36:D37)+D32+D26</f>
        <v>29102701</v>
      </c>
      <c r="E39" s="272">
        <f>SUM(E36:E37)+E32+E26</f>
        <v>-3011980</v>
      </c>
    </row>
    <row r="40" spans="1:5" x14ac:dyDescent="0.2">
      <c r="B40" s="271"/>
      <c r="C40" s="271"/>
      <c r="D40" s="271"/>
      <c r="E40" s="271"/>
    </row>
    <row r="41" spans="1:5" ht="15.75" thickBot="1" x14ac:dyDescent="0.3">
      <c r="A41" s="270" t="s">
        <v>31</v>
      </c>
      <c r="B41" s="338">
        <f>+B39+B20</f>
        <v>30856381</v>
      </c>
      <c r="C41" s="338"/>
      <c r="D41" s="338">
        <f>+D39+D20</f>
        <v>31420136</v>
      </c>
      <c r="E41" s="338">
        <f>+B41-D41</f>
        <v>-563755</v>
      </c>
    </row>
    <row r="42" spans="1:5" ht="13.5" thickTop="1" x14ac:dyDescent="0.2">
      <c r="B42" s="274"/>
      <c r="C42" s="274"/>
      <c r="D42" s="274"/>
      <c r="E42" s="274"/>
    </row>
    <row r="43" spans="1:5" ht="15" x14ac:dyDescent="0.25">
      <c r="A43" s="277"/>
      <c r="B43" s="302"/>
      <c r="C43" s="302"/>
      <c r="D43" s="302"/>
      <c r="E43" s="302"/>
    </row>
    <row r="44" spans="1:5" ht="15" x14ac:dyDescent="0.25">
      <c r="A44" s="277"/>
      <c r="B44" s="302"/>
      <c r="C44" s="302"/>
      <c r="D44" s="302"/>
      <c r="E44" s="302"/>
    </row>
    <row r="45" spans="1:5" ht="15.75" x14ac:dyDescent="0.25">
      <c r="A45" s="303"/>
      <c r="B45" s="301" t="s">
        <v>361</v>
      </c>
      <c r="C45" s="301"/>
      <c r="D45" s="277"/>
      <c r="E45" s="303"/>
    </row>
    <row r="46" spans="1:5" ht="15.75" x14ac:dyDescent="0.25">
      <c r="A46" s="303"/>
      <c r="B46" s="301" t="s">
        <v>362</v>
      </c>
      <c r="C46" s="301"/>
      <c r="D46" s="277"/>
      <c r="E46" s="303"/>
    </row>
    <row r="47" spans="1:5" x14ac:dyDescent="0.2">
      <c r="A47" s="496">
        <f>A3</f>
        <v>42369</v>
      </c>
      <c r="B47" s="496"/>
      <c r="C47" s="496"/>
      <c r="D47" s="496"/>
      <c r="E47" s="496"/>
    </row>
    <row r="48" spans="1:5" ht="15" x14ac:dyDescent="0.25">
      <c r="A48" s="277"/>
      <c r="B48" s="302"/>
      <c r="C48" s="302"/>
      <c r="D48" s="302"/>
      <c r="E48" s="302"/>
    </row>
    <row r="49" spans="1:5" ht="15" x14ac:dyDescent="0.25">
      <c r="A49" s="277"/>
      <c r="B49" s="302"/>
      <c r="C49" s="302"/>
      <c r="D49" s="302"/>
      <c r="E49" s="302"/>
    </row>
    <row r="50" spans="1:5" ht="15" x14ac:dyDescent="0.25">
      <c r="A50" s="277"/>
      <c r="B50" s="302"/>
      <c r="C50" s="302"/>
      <c r="D50" s="302"/>
      <c r="E50" s="302"/>
    </row>
    <row r="51" spans="1:5" x14ac:dyDescent="0.2">
      <c r="C51" s="275" t="s">
        <v>377</v>
      </c>
    </row>
    <row r="52" spans="1:5" ht="15" x14ac:dyDescent="0.25">
      <c r="B52" s="335" t="s">
        <v>352</v>
      </c>
      <c r="C52" s="335"/>
      <c r="D52" s="335" t="s">
        <v>352</v>
      </c>
      <c r="E52" s="335" t="s">
        <v>353</v>
      </c>
    </row>
    <row r="53" spans="1:5" ht="15" x14ac:dyDescent="0.25">
      <c r="B53" s="336">
        <v>42369</v>
      </c>
      <c r="C53" s="336"/>
      <c r="D53" s="336">
        <v>42004</v>
      </c>
      <c r="E53" s="337" t="s">
        <v>354</v>
      </c>
    </row>
    <row r="54" spans="1:5" x14ac:dyDescent="0.2">
      <c r="B54" s="271" t="s">
        <v>163</v>
      </c>
      <c r="C54" s="271"/>
      <c r="D54" s="271" t="s">
        <v>163</v>
      </c>
      <c r="E54" s="271" t="s">
        <v>163</v>
      </c>
    </row>
    <row r="55" spans="1:5" x14ac:dyDescent="0.2">
      <c r="B55" s="271"/>
      <c r="C55" s="271"/>
      <c r="D55" s="271"/>
      <c r="E55" s="271"/>
    </row>
    <row r="56" spans="1:5" ht="15" x14ac:dyDescent="0.25">
      <c r="A56" s="270" t="s">
        <v>325</v>
      </c>
      <c r="B56" s="271"/>
      <c r="C56" s="271"/>
      <c r="D56" s="271"/>
      <c r="E56" s="271"/>
    </row>
    <row r="57" spans="1:5" x14ac:dyDescent="0.2">
      <c r="A57" t="s">
        <v>347</v>
      </c>
      <c r="B57" s="271">
        <v>0</v>
      </c>
      <c r="C57" s="271"/>
      <c r="D57" s="271">
        <v>2000</v>
      </c>
      <c r="E57" s="271">
        <f>+B57-D57</f>
        <v>-2000</v>
      </c>
    </row>
    <row r="58" spans="1:5" x14ac:dyDescent="0.2">
      <c r="A58" t="s">
        <v>326</v>
      </c>
      <c r="B58" s="271">
        <v>0</v>
      </c>
      <c r="C58" s="271"/>
      <c r="D58" s="271">
        <v>56090</v>
      </c>
      <c r="E58" s="271">
        <f>+B58-D58</f>
        <v>-56090</v>
      </c>
    </row>
    <row r="59" spans="1:5" x14ac:dyDescent="0.2">
      <c r="A59" t="s">
        <v>363</v>
      </c>
      <c r="B59" s="271">
        <v>50848</v>
      </c>
      <c r="C59" s="271"/>
      <c r="D59" s="271">
        <v>50848</v>
      </c>
      <c r="E59" s="271">
        <f>+B59-D59</f>
        <v>0</v>
      </c>
    </row>
    <row r="60" spans="1:5" x14ac:dyDescent="0.2">
      <c r="A60" t="s">
        <v>327</v>
      </c>
      <c r="B60" s="271">
        <v>37000</v>
      </c>
      <c r="C60" s="271"/>
      <c r="D60" s="271">
        <v>45000</v>
      </c>
      <c r="E60" s="271">
        <f>+B60-D60</f>
        <v>-8000</v>
      </c>
    </row>
    <row r="61" spans="1:5" x14ac:dyDescent="0.2">
      <c r="A61" t="s">
        <v>661</v>
      </c>
      <c r="B61" s="272">
        <v>0</v>
      </c>
      <c r="C61" s="272"/>
      <c r="D61" s="272">
        <v>110000</v>
      </c>
      <c r="E61" s="272">
        <f>+B61-D61</f>
        <v>-110000</v>
      </c>
    </row>
    <row r="62" spans="1:5" ht="15" x14ac:dyDescent="0.25">
      <c r="A62" s="270" t="s">
        <v>364</v>
      </c>
      <c r="B62" s="273">
        <f>SUM(B57:B61)</f>
        <v>87848</v>
      </c>
      <c r="C62" s="273"/>
      <c r="D62" s="273">
        <f>SUM(D57:D61)</f>
        <v>263938</v>
      </c>
      <c r="E62" s="273">
        <f>SUM(E57:E61)</f>
        <v>-176090</v>
      </c>
    </row>
    <row r="63" spans="1:5" ht="15" x14ac:dyDescent="0.25">
      <c r="A63" s="270"/>
      <c r="B63" s="271"/>
      <c r="C63" s="271"/>
      <c r="D63" s="271"/>
      <c r="E63" s="271"/>
    </row>
    <row r="64" spans="1:5" ht="15" x14ac:dyDescent="0.25">
      <c r="A64" s="270" t="s">
        <v>329</v>
      </c>
      <c r="B64" s="271"/>
      <c r="C64" s="271"/>
      <c r="D64" s="271"/>
      <c r="E64" s="271"/>
    </row>
    <row r="65" spans="1:5" x14ac:dyDescent="0.2">
      <c r="B65" s="271"/>
      <c r="C65" s="271"/>
      <c r="D65" s="271"/>
      <c r="E65" s="271"/>
    </row>
    <row r="66" spans="1:5" x14ac:dyDescent="0.2">
      <c r="A66" t="s">
        <v>328</v>
      </c>
      <c r="B66" s="271">
        <v>-1946692</v>
      </c>
      <c r="C66" s="271"/>
      <c r="D66" s="271">
        <v>-1052061</v>
      </c>
      <c r="E66" s="271">
        <f>+B66-D66</f>
        <v>-894631</v>
      </c>
    </row>
    <row r="67" spans="1:5" x14ac:dyDescent="0.2">
      <c r="A67" s="339" t="s">
        <v>278</v>
      </c>
      <c r="B67" s="271">
        <v>2411777</v>
      </c>
      <c r="C67" s="271"/>
      <c r="D67" s="271">
        <v>2411777</v>
      </c>
      <c r="E67" s="271">
        <f>+B67-D67</f>
        <v>0</v>
      </c>
    </row>
    <row r="68" spans="1:5" x14ac:dyDescent="0.2">
      <c r="A68" s="339" t="s">
        <v>351</v>
      </c>
      <c r="B68" s="271">
        <v>0</v>
      </c>
      <c r="C68" s="271"/>
      <c r="D68" s="271">
        <v>0</v>
      </c>
      <c r="E68" s="271">
        <f>+B68-D68</f>
        <v>0</v>
      </c>
    </row>
    <row r="69" spans="1:5" x14ac:dyDescent="0.2">
      <c r="A69" t="s">
        <v>331</v>
      </c>
      <c r="B69" s="271">
        <v>0</v>
      </c>
      <c r="C69" s="271"/>
      <c r="D69" s="271">
        <v>1000</v>
      </c>
      <c r="E69" s="271">
        <f>+B69-D69</f>
        <v>-1000</v>
      </c>
    </row>
    <row r="70" spans="1:5" x14ac:dyDescent="0.2">
      <c r="A70" t="s">
        <v>330</v>
      </c>
      <c r="B70" s="272">
        <v>405819</v>
      </c>
      <c r="C70" s="272"/>
      <c r="D70" s="272">
        <v>-69931</v>
      </c>
      <c r="E70" s="272">
        <f>+B70-D70</f>
        <v>475750</v>
      </c>
    </row>
    <row r="71" spans="1:5" ht="15" x14ac:dyDescent="0.25">
      <c r="A71" s="270" t="s">
        <v>332</v>
      </c>
      <c r="B71" s="340">
        <f>SUM(B66:B70)</f>
        <v>870904</v>
      </c>
      <c r="C71" s="340"/>
      <c r="D71" s="340">
        <f>SUM(D66:D70)</f>
        <v>1290785</v>
      </c>
      <c r="E71" s="340">
        <f>SUM(E66:E70)</f>
        <v>-419881</v>
      </c>
    </row>
    <row r="72" spans="1:5" ht="15" x14ac:dyDescent="0.25">
      <c r="A72" s="270"/>
      <c r="B72" s="271"/>
      <c r="C72" s="271"/>
      <c r="D72" s="271"/>
      <c r="E72" s="271"/>
    </row>
    <row r="73" spans="1:5" ht="15" x14ac:dyDescent="0.25">
      <c r="A73" s="270" t="s">
        <v>365</v>
      </c>
      <c r="B73" s="273">
        <f>+B71+B62</f>
        <v>958752</v>
      </c>
      <c r="C73" s="273"/>
      <c r="D73" s="273">
        <f>+D71+D62</f>
        <v>1554723</v>
      </c>
      <c r="E73" s="273">
        <f>+E71+E62</f>
        <v>-595971</v>
      </c>
    </row>
    <row r="74" spans="1:5" x14ac:dyDescent="0.2">
      <c r="B74" s="271"/>
      <c r="C74" s="271"/>
      <c r="D74" s="271"/>
      <c r="E74" s="271"/>
    </row>
    <row r="75" spans="1:5" x14ac:dyDescent="0.2">
      <c r="B75" s="271"/>
      <c r="C75" s="271"/>
      <c r="D75" s="271"/>
      <c r="E75" s="271"/>
    </row>
    <row r="76" spans="1:5" ht="15" x14ac:dyDescent="0.25">
      <c r="A76" s="270" t="s">
        <v>366</v>
      </c>
      <c r="B76" s="271"/>
      <c r="C76" s="271"/>
      <c r="D76" s="271"/>
      <c r="E76" s="271"/>
    </row>
    <row r="77" spans="1:5" x14ac:dyDescent="0.2">
      <c r="A77" t="s">
        <v>367</v>
      </c>
      <c r="B77" s="271">
        <v>10200</v>
      </c>
      <c r="C77" s="271"/>
      <c r="D77" s="271">
        <v>10200</v>
      </c>
      <c r="E77" s="271">
        <f>+B77-D77</f>
        <v>0</v>
      </c>
    </row>
    <row r="78" spans="1:5" x14ac:dyDescent="0.2">
      <c r="A78" t="s">
        <v>368</v>
      </c>
      <c r="B78" s="271">
        <v>44487244</v>
      </c>
      <c r="C78" s="271"/>
      <c r="D78" s="271">
        <v>44487244</v>
      </c>
      <c r="E78" s="271">
        <f>+B78-D78</f>
        <v>0</v>
      </c>
    </row>
    <row r="79" spans="1:5" x14ac:dyDescent="0.2">
      <c r="A79" t="s">
        <v>369</v>
      </c>
      <c r="B79" s="271">
        <f>-14632031+1</f>
        <v>-14632030</v>
      </c>
      <c r="C79" s="271"/>
      <c r="D79" s="271">
        <f>-16531791</f>
        <v>-16531791</v>
      </c>
      <c r="E79" s="271">
        <f>+B79-D79</f>
        <v>1899761</v>
      </c>
    </row>
    <row r="80" spans="1:5" x14ac:dyDescent="0.2">
      <c r="A80" t="s">
        <v>370</v>
      </c>
      <c r="B80" s="272">
        <v>32215</v>
      </c>
      <c r="C80" s="272"/>
      <c r="D80" s="272">
        <v>1899760</v>
      </c>
      <c r="E80" s="272">
        <f>+B80-D80</f>
        <v>-1867545</v>
      </c>
    </row>
    <row r="81" spans="1:5" x14ac:dyDescent="0.2">
      <c r="B81" s="271"/>
      <c r="C81" s="271"/>
      <c r="D81" s="271"/>
      <c r="E81" s="271"/>
    </row>
    <row r="82" spans="1:5" ht="15" x14ac:dyDescent="0.25">
      <c r="A82" s="270" t="s">
        <v>371</v>
      </c>
      <c r="B82" s="340">
        <f>SUM(B77:B81)</f>
        <v>29897629</v>
      </c>
      <c r="C82" s="340"/>
      <c r="D82" s="340">
        <f>SUM(D77:D81)</f>
        <v>29865413</v>
      </c>
      <c r="E82" s="340">
        <f>SUM(E77:E81)</f>
        <v>32216</v>
      </c>
    </row>
    <row r="83" spans="1:5" ht="15" x14ac:dyDescent="0.25">
      <c r="A83" s="270"/>
      <c r="B83" s="273"/>
      <c r="C83" s="273"/>
      <c r="D83" s="273"/>
      <c r="E83" s="273"/>
    </row>
    <row r="84" spans="1:5" ht="15.75" thickBot="1" x14ac:dyDescent="0.3">
      <c r="A84" s="270" t="s">
        <v>372</v>
      </c>
      <c r="B84" s="338">
        <f>+B82+B73</f>
        <v>30856381</v>
      </c>
      <c r="C84" s="338"/>
      <c r="D84" s="338">
        <f>+D82+D73</f>
        <v>31420136</v>
      </c>
      <c r="E84" s="338">
        <f>+E82+E73</f>
        <v>-563755</v>
      </c>
    </row>
    <row r="85" spans="1:5" ht="13.5" thickTop="1" x14ac:dyDescent="0.2">
      <c r="B85" s="271"/>
      <c r="C85" s="271"/>
      <c r="D85" s="271"/>
      <c r="E85" s="271"/>
    </row>
    <row r="86" spans="1:5" ht="15" x14ac:dyDescent="0.25">
      <c r="A86" s="277"/>
      <c r="B86" s="276"/>
      <c r="C86" s="276"/>
      <c r="D86" s="276"/>
      <c r="E86" s="276"/>
    </row>
    <row r="87" spans="1:5" ht="15" x14ac:dyDescent="0.25">
      <c r="A87" s="277"/>
      <c r="B87" s="276"/>
      <c r="C87" s="276"/>
      <c r="D87" s="276"/>
      <c r="E87" s="276"/>
    </row>
    <row r="88" spans="1:5" ht="15" x14ac:dyDescent="0.25">
      <c r="A88" s="277"/>
      <c r="B88" s="276"/>
      <c r="C88" s="276"/>
      <c r="D88" s="276"/>
      <c r="E88" s="276"/>
    </row>
    <row r="89" spans="1:5" ht="15" x14ac:dyDescent="0.25">
      <c r="A89" s="277"/>
      <c r="B89" s="276"/>
      <c r="C89" s="276"/>
      <c r="D89" s="276"/>
      <c r="E89" s="276"/>
    </row>
    <row r="90" spans="1:5" ht="15" x14ac:dyDescent="0.25">
      <c r="A90" s="277"/>
      <c r="B90" s="276"/>
      <c r="C90" s="276"/>
      <c r="D90" s="276"/>
      <c r="E90" s="276"/>
    </row>
    <row r="91" spans="1:5" ht="15" x14ac:dyDescent="0.25">
      <c r="A91" s="277"/>
      <c r="B91" s="276"/>
      <c r="C91" s="276"/>
      <c r="D91" s="276"/>
      <c r="E91" s="276"/>
    </row>
    <row r="92" spans="1:5" ht="15" x14ac:dyDescent="0.25">
      <c r="B92" s="276"/>
      <c r="C92" s="276"/>
      <c r="D92" s="276"/>
      <c r="E92" s="276"/>
    </row>
    <row r="93" spans="1:5" ht="15" x14ac:dyDescent="0.25">
      <c r="B93" s="276"/>
      <c r="C93" s="276"/>
      <c r="D93" s="276"/>
      <c r="E93" s="276"/>
    </row>
    <row r="94" spans="1:5" ht="15" x14ac:dyDescent="0.25">
      <c r="B94" s="276"/>
      <c r="C94" s="276"/>
      <c r="D94" s="276"/>
      <c r="E94" s="276"/>
    </row>
    <row r="95" spans="1:5" ht="15" x14ac:dyDescent="0.25">
      <c r="B95" s="276"/>
      <c r="C95" s="276"/>
      <c r="D95" s="276"/>
      <c r="E95" s="276"/>
    </row>
    <row r="96" spans="1:5" ht="15" x14ac:dyDescent="0.25">
      <c r="B96" s="276"/>
      <c r="C96" s="276"/>
      <c r="D96" s="276"/>
      <c r="E96" s="276"/>
    </row>
    <row r="97" spans="2:5" ht="15" x14ac:dyDescent="0.25">
      <c r="B97" s="276"/>
      <c r="C97" s="276"/>
      <c r="D97" s="276"/>
      <c r="E97" s="276"/>
    </row>
    <row r="98" spans="2:5" ht="15" x14ac:dyDescent="0.25">
      <c r="B98" s="276"/>
      <c r="C98" s="276"/>
      <c r="D98" s="276"/>
      <c r="E98" s="276"/>
    </row>
    <row r="99" spans="2:5" ht="15" x14ac:dyDescent="0.25">
      <c r="B99" s="276"/>
      <c r="C99" s="276"/>
      <c r="D99" s="276"/>
      <c r="E99" s="276"/>
    </row>
    <row r="100" spans="2:5" ht="15" x14ac:dyDescent="0.25">
      <c r="B100" s="276"/>
      <c r="C100" s="276"/>
      <c r="D100" s="276"/>
      <c r="E100" s="276"/>
    </row>
    <row r="101" spans="2:5" ht="15" x14ac:dyDescent="0.25">
      <c r="B101" s="276"/>
      <c r="C101" s="276"/>
      <c r="D101" s="276"/>
      <c r="E101" s="276"/>
    </row>
    <row r="102" spans="2:5" ht="15" x14ac:dyDescent="0.25">
      <c r="B102" s="276"/>
      <c r="C102" s="276"/>
      <c r="D102" s="276"/>
      <c r="E102" s="276"/>
    </row>
    <row r="103" spans="2:5" ht="15" x14ac:dyDescent="0.25">
      <c r="B103" s="276"/>
      <c r="C103" s="276"/>
      <c r="D103" s="276"/>
      <c r="E103" s="276"/>
    </row>
    <row r="104" spans="2:5" ht="15" x14ac:dyDescent="0.25">
      <c r="B104" s="276"/>
      <c r="C104" s="276"/>
      <c r="D104" s="276"/>
      <c r="E104" s="276"/>
    </row>
    <row r="105" spans="2:5" ht="15" x14ac:dyDescent="0.25">
      <c r="B105" s="276"/>
      <c r="C105" s="276"/>
      <c r="D105" s="276"/>
      <c r="E105" s="276"/>
    </row>
    <row r="106" spans="2:5" ht="15" x14ac:dyDescent="0.25">
      <c r="B106" s="276"/>
      <c r="C106" s="276"/>
      <c r="D106" s="276"/>
      <c r="E106" s="276"/>
    </row>
    <row r="107" spans="2:5" ht="15" x14ac:dyDescent="0.25">
      <c r="B107" s="276"/>
      <c r="C107" s="276"/>
      <c r="D107" s="276"/>
      <c r="E107" s="276"/>
    </row>
    <row r="108" spans="2:5" ht="15" x14ac:dyDescent="0.25">
      <c r="B108" s="276"/>
      <c r="C108" s="276"/>
      <c r="D108" s="276"/>
      <c r="E108" s="276"/>
    </row>
    <row r="109" spans="2:5" ht="15" x14ac:dyDescent="0.25">
      <c r="B109" s="276"/>
      <c r="C109" s="276"/>
      <c r="D109" s="276"/>
      <c r="E109" s="276"/>
    </row>
    <row r="110" spans="2:5" ht="15" x14ac:dyDescent="0.25">
      <c r="B110" s="276"/>
      <c r="C110" s="276"/>
      <c r="D110" s="276"/>
      <c r="E110" s="276"/>
    </row>
    <row r="111" spans="2:5" ht="15" x14ac:dyDescent="0.25">
      <c r="B111" s="276"/>
      <c r="C111" s="276"/>
      <c r="D111" s="276"/>
      <c r="E111" s="276"/>
    </row>
    <row r="112" spans="2:5" ht="15" x14ac:dyDescent="0.25">
      <c r="B112" s="276"/>
      <c r="C112" s="276"/>
      <c r="D112" s="276"/>
      <c r="E112" s="276"/>
    </row>
    <row r="113" spans="2:5" ht="15" x14ac:dyDescent="0.25">
      <c r="B113" s="276"/>
      <c r="C113" s="276"/>
      <c r="D113" s="276"/>
      <c r="E113" s="276"/>
    </row>
    <row r="114" spans="2:5" ht="15" x14ac:dyDescent="0.25">
      <c r="B114" s="276"/>
      <c r="C114" s="276"/>
      <c r="D114" s="276"/>
      <c r="E114" s="276"/>
    </row>
    <row r="115" spans="2:5" ht="15" x14ac:dyDescent="0.25">
      <c r="B115" s="276"/>
      <c r="C115" s="276"/>
      <c r="D115" s="276"/>
      <c r="E115" s="276"/>
    </row>
    <row r="116" spans="2:5" ht="15" x14ac:dyDescent="0.25">
      <c r="B116" s="276"/>
      <c r="C116" s="276"/>
      <c r="D116" s="276"/>
      <c r="E116" s="276"/>
    </row>
    <row r="117" spans="2:5" ht="15" x14ac:dyDescent="0.25">
      <c r="B117" s="276"/>
      <c r="C117" s="276"/>
      <c r="D117" s="276"/>
      <c r="E117" s="276"/>
    </row>
    <row r="118" spans="2:5" ht="15" x14ac:dyDescent="0.25">
      <c r="B118" s="276"/>
      <c r="C118" s="276"/>
      <c r="D118" s="276"/>
      <c r="E118" s="276"/>
    </row>
    <row r="119" spans="2:5" ht="15" x14ac:dyDescent="0.25">
      <c r="B119" s="276"/>
      <c r="C119" s="276"/>
      <c r="D119" s="276"/>
      <c r="E119" s="276"/>
    </row>
    <row r="120" spans="2:5" ht="15" x14ac:dyDescent="0.25">
      <c r="B120" s="276"/>
      <c r="C120" s="276"/>
      <c r="D120" s="276"/>
      <c r="E120" s="276"/>
    </row>
    <row r="121" spans="2:5" ht="15" x14ac:dyDescent="0.25">
      <c r="B121" s="276"/>
      <c r="C121" s="276"/>
      <c r="D121" s="276"/>
      <c r="E121" s="276"/>
    </row>
    <row r="122" spans="2:5" ht="15" x14ac:dyDescent="0.25">
      <c r="B122" s="276"/>
      <c r="C122" s="276"/>
      <c r="D122" s="276"/>
      <c r="E122" s="276"/>
    </row>
    <row r="123" spans="2:5" ht="15" x14ac:dyDescent="0.25">
      <c r="B123" s="276"/>
      <c r="C123" s="276"/>
      <c r="D123" s="276"/>
      <c r="E123" s="276"/>
    </row>
    <row r="124" spans="2:5" ht="15" x14ac:dyDescent="0.25">
      <c r="B124" s="276"/>
      <c r="C124" s="276"/>
      <c r="D124" s="276"/>
      <c r="E124" s="276"/>
    </row>
    <row r="125" spans="2:5" ht="15" x14ac:dyDescent="0.25">
      <c r="B125" s="276"/>
      <c r="C125" s="276"/>
      <c r="D125" s="276"/>
      <c r="E125" s="276"/>
    </row>
    <row r="126" spans="2:5" ht="15" x14ac:dyDescent="0.25">
      <c r="B126" s="276"/>
      <c r="C126" s="276"/>
      <c r="D126" s="276"/>
      <c r="E126" s="276"/>
    </row>
    <row r="127" spans="2:5" ht="15" x14ac:dyDescent="0.25">
      <c r="B127" s="276"/>
      <c r="C127" s="276"/>
      <c r="D127" s="276"/>
      <c r="E127" s="276"/>
    </row>
    <row r="128" spans="2:5" ht="15" x14ac:dyDescent="0.25">
      <c r="B128" s="276"/>
      <c r="C128" s="276"/>
      <c r="D128" s="276"/>
      <c r="E128" s="276"/>
    </row>
    <row r="129" spans="2:5" ht="15" x14ac:dyDescent="0.25">
      <c r="B129" s="276"/>
      <c r="C129" s="276"/>
      <c r="D129" s="276"/>
      <c r="E129" s="276"/>
    </row>
    <row r="130" spans="2:5" ht="15" x14ac:dyDescent="0.25">
      <c r="B130" s="276"/>
      <c r="C130" s="276"/>
      <c r="D130" s="276"/>
      <c r="E130" s="276"/>
    </row>
    <row r="131" spans="2:5" ht="15" x14ac:dyDescent="0.25">
      <c r="B131" s="276"/>
      <c r="C131" s="276"/>
      <c r="D131" s="276"/>
      <c r="E131" s="276"/>
    </row>
    <row r="132" spans="2:5" ht="15" x14ac:dyDescent="0.25">
      <c r="B132" s="276"/>
      <c r="C132" s="276"/>
      <c r="D132" s="276"/>
      <c r="E132" s="276"/>
    </row>
    <row r="133" spans="2:5" ht="15" x14ac:dyDescent="0.25">
      <c r="B133" s="276"/>
      <c r="C133" s="276"/>
      <c r="D133" s="276"/>
      <c r="E133" s="276"/>
    </row>
    <row r="134" spans="2:5" ht="15" x14ac:dyDescent="0.25">
      <c r="B134" s="276"/>
      <c r="C134" s="276"/>
      <c r="D134" s="276"/>
      <c r="E134" s="276"/>
    </row>
    <row r="135" spans="2:5" ht="15" x14ac:dyDescent="0.25">
      <c r="B135" s="276"/>
      <c r="C135" s="276"/>
      <c r="D135" s="276"/>
      <c r="E135" s="276"/>
    </row>
    <row r="136" spans="2:5" ht="15" x14ac:dyDescent="0.25">
      <c r="B136" s="276"/>
      <c r="C136" s="276"/>
      <c r="D136" s="276"/>
      <c r="E136" s="276"/>
    </row>
    <row r="137" spans="2:5" ht="15" x14ac:dyDescent="0.25">
      <c r="B137" s="276"/>
      <c r="C137" s="276"/>
      <c r="D137" s="276"/>
      <c r="E137" s="276"/>
    </row>
    <row r="138" spans="2:5" ht="15" x14ac:dyDescent="0.25">
      <c r="B138" s="276"/>
      <c r="C138" s="276"/>
      <c r="D138" s="276"/>
      <c r="E138" s="276"/>
    </row>
    <row r="139" spans="2:5" ht="15" x14ac:dyDescent="0.25">
      <c r="B139" s="276"/>
      <c r="C139" s="276"/>
      <c r="D139" s="276"/>
      <c r="E139" s="276"/>
    </row>
    <row r="140" spans="2:5" ht="15" x14ac:dyDescent="0.25">
      <c r="B140" s="276"/>
      <c r="C140" s="276"/>
      <c r="D140" s="276"/>
      <c r="E140" s="276"/>
    </row>
    <row r="141" spans="2:5" ht="15" x14ac:dyDescent="0.25">
      <c r="B141" s="276"/>
      <c r="C141" s="276"/>
      <c r="D141" s="276"/>
      <c r="E141" s="276"/>
    </row>
    <row r="142" spans="2:5" ht="15" x14ac:dyDescent="0.25">
      <c r="B142" s="276"/>
      <c r="C142" s="276"/>
      <c r="D142" s="276"/>
      <c r="E142" s="276"/>
    </row>
    <row r="143" spans="2:5" ht="15" x14ac:dyDescent="0.25">
      <c r="B143" s="276"/>
      <c r="C143" s="276"/>
      <c r="D143" s="276"/>
      <c r="E143" s="276"/>
    </row>
    <row r="144" spans="2:5" ht="15" x14ac:dyDescent="0.25">
      <c r="B144" s="276"/>
      <c r="C144" s="276"/>
      <c r="D144" s="276"/>
      <c r="E144" s="276"/>
    </row>
    <row r="145" spans="2:5" ht="15" x14ac:dyDescent="0.25">
      <c r="B145" s="276"/>
      <c r="C145" s="276"/>
      <c r="D145" s="276"/>
      <c r="E145" s="276"/>
    </row>
    <row r="146" spans="2:5" ht="15" x14ac:dyDescent="0.25">
      <c r="B146" s="276"/>
      <c r="C146" s="276"/>
      <c r="D146" s="276"/>
      <c r="E146" s="276"/>
    </row>
    <row r="147" spans="2:5" ht="15" x14ac:dyDescent="0.25">
      <c r="B147" s="276"/>
      <c r="C147" s="276"/>
      <c r="D147" s="276"/>
      <c r="E147" s="276"/>
    </row>
    <row r="148" spans="2:5" ht="15" x14ac:dyDescent="0.25">
      <c r="B148" s="276"/>
      <c r="C148" s="276"/>
      <c r="D148" s="276"/>
      <c r="E148" s="276"/>
    </row>
    <row r="149" spans="2:5" ht="15" x14ac:dyDescent="0.25">
      <c r="B149" s="276"/>
      <c r="C149" s="276"/>
      <c r="D149" s="276"/>
      <c r="E149" s="276"/>
    </row>
  </sheetData>
  <mergeCells count="2">
    <mergeCell ref="A3:E3"/>
    <mergeCell ref="A47:E47"/>
  </mergeCells>
  <pageMargins left="0.7" right="0.7" top="0.75" bottom="0.75" header="0.3" footer="0.3"/>
  <pageSetup scale="53" orientation="portrait" r:id="rId1"/>
  <headerFooter>
    <oddFooter>&amp;CSource: Gust Erikson, President of Puget Western, Inc.</oddFooter>
  </headerFooter>
  <customProperties>
    <customPr name="_pios_id" r:id="rId2"/>
  </customProperties>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35"/>
  <sheetViews>
    <sheetView topLeftCell="A106" zoomScaleNormal="100" workbookViewId="0">
      <selection activeCell="M9" sqref="M9:O15"/>
    </sheetView>
  </sheetViews>
  <sheetFormatPr defaultRowHeight="12.75" x14ac:dyDescent="0.2"/>
  <cols>
    <col min="1" max="1" width="41.28515625" style="116" customWidth="1"/>
    <col min="2" max="2" width="32" style="114" customWidth="1"/>
    <col min="3" max="3" width="15.28515625" style="115" customWidth="1"/>
    <col min="4" max="4" width="14.140625" style="489" customWidth="1"/>
    <col min="5" max="5" width="2.5703125" style="116" customWidth="1"/>
    <col min="6" max="6" width="35.5703125" style="116" customWidth="1"/>
    <col min="7" max="7" width="19" style="116" bestFit="1" customWidth="1"/>
    <col min="8" max="8" width="16.85546875" style="116" bestFit="1" customWidth="1"/>
    <col min="9" max="16384" width="9.140625" style="116"/>
  </cols>
  <sheetData>
    <row r="1" spans="1:8" x14ac:dyDescent="0.2">
      <c r="A1" s="113" t="s">
        <v>120</v>
      </c>
      <c r="B1" s="114" t="s">
        <v>121</v>
      </c>
      <c r="D1" s="489" t="s">
        <v>122</v>
      </c>
      <c r="E1" s="116" t="s">
        <v>123</v>
      </c>
      <c r="F1" s="116" t="s">
        <v>124</v>
      </c>
    </row>
    <row r="2" spans="1:8" x14ac:dyDescent="0.2">
      <c r="A2" s="117"/>
      <c r="B2" s="114" t="s">
        <v>685</v>
      </c>
      <c r="C2" s="115" t="s">
        <v>684</v>
      </c>
      <c r="D2" s="489" t="s">
        <v>686</v>
      </c>
      <c r="E2" s="116" t="s">
        <v>125</v>
      </c>
      <c r="F2" s="497" t="s">
        <v>126</v>
      </c>
      <c r="G2" s="118"/>
    </row>
    <row r="3" spans="1:8" x14ac:dyDescent="0.2">
      <c r="B3" s="114" t="s">
        <v>127</v>
      </c>
      <c r="F3" s="497"/>
      <c r="G3" s="118"/>
    </row>
    <row r="4" spans="1:8" x14ac:dyDescent="0.2">
      <c r="A4" s="116" t="s">
        <v>161</v>
      </c>
      <c r="B4" s="114" t="s">
        <v>541</v>
      </c>
      <c r="H4" s="119"/>
    </row>
    <row r="5" spans="1:8" x14ac:dyDescent="0.2">
      <c r="A5" t="s">
        <v>236</v>
      </c>
      <c r="B5">
        <v>0</v>
      </c>
      <c r="C5">
        <v>0</v>
      </c>
      <c r="D5" s="490">
        <f>B5-C5</f>
        <v>0</v>
      </c>
      <c r="G5"/>
    </row>
    <row r="6" spans="1:8" x14ac:dyDescent="0.2">
      <c r="A6"/>
      <c r="B6"/>
      <c r="C6"/>
      <c r="D6" s="490">
        <f t="shared" ref="D6:D69" si="0">B6-C6</f>
        <v>0</v>
      </c>
      <c r="G6"/>
    </row>
    <row r="7" spans="1:8" x14ac:dyDescent="0.2">
      <c r="A7" t="s">
        <v>237</v>
      </c>
      <c r="B7" s="183">
        <v>10802977774</v>
      </c>
      <c r="C7" s="183">
        <v>10802959915</v>
      </c>
      <c r="D7" s="490">
        <f t="shared" si="0"/>
        <v>17859</v>
      </c>
      <c r="G7" s="183"/>
    </row>
    <row r="8" spans="1:8" x14ac:dyDescent="0.2">
      <c r="A8"/>
      <c r="B8"/>
      <c r="C8"/>
      <c r="D8" s="490">
        <f t="shared" si="0"/>
        <v>0</v>
      </c>
      <c r="G8"/>
    </row>
    <row r="9" spans="1:8" x14ac:dyDescent="0.2">
      <c r="A9" t="s">
        <v>238</v>
      </c>
      <c r="B9" s="183">
        <v>8912662280</v>
      </c>
      <c r="C9" s="183">
        <v>8912662194</v>
      </c>
      <c r="D9" s="490">
        <f t="shared" si="0"/>
        <v>86</v>
      </c>
      <c r="G9" s="183"/>
    </row>
    <row r="10" spans="1:8" x14ac:dyDescent="0.2">
      <c r="A10"/>
      <c r="B10"/>
      <c r="C10"/>
      <c r="D10" s="490">
        <f t="shared" si="0"/>
        <v>0</v>
      </c>
      <c r="G10"/>
    </row>
    <row r="11" spans="1:8" x14ac:dyDescent="0.2">
      <c r="A11" t="s">
        <v>239</v>
      </c>
      <c r="B11" s="183">
        <v>9601090721</v>
      </c>
      <c r="C11" s="183">
        <v>9601090721</v>
      </c>
      <c r="D11" s="490">
        <f t="shared" si="0"/>
        <v>0</v>
      </c>
      <c r="G11" s="183"/>
    </row>
    <row r="12" spans="1:8" x14ac:dyDescent="0.2">
      <c r="A12" t="s">
        <v>240</v>
      </c>
      <c r="B12" s="183">
        <v>3444744410</v>
      </c>
      <c r="C12" s="183">
        <v>3444744410</v>
      </c>
      <c r="D12" s="490">
        <f t="shared" si="0"/>
        <v>0</v>
      </c>
      <c r="G12" s="183"/>
    </row>
    <row r="13" spans="1:8" x14ac:dyDescent="0.2">
      <c r="A13" t="s">
        <v>241</v>
      </c>
      <c r="B13" s="183">
        <v>548656694</v>
      </c>
      <c r="C13" s="183">
        <v>548656694</v>
      </c>
      <c r="D13" s="490">
        <f t="shared" si="0"/>
        <v>0</v>
      </c>
      <c r="G13" s="183"/>
    </row>
    <row r="14" spans="1:8" x14ac:dyDescent="0.2">
      <c r="A14" t="s">
        <v>282</v>
      </c>
      <c r="B14" s="183">
        <v>-4681829545</v>
      </c>
      <c r="C14" s="183">
        <v>-4681829631</v>
      </c>
      <c r="D14" s="490">
        <f t="shared" si="0"/>
        <v>86</v>
      </c>
      <c r="G14" s="183"/>
    </row>
    <row r="15" spans="1:8" x14ac:dyDescent="0.2">
      <c r="A15"/>
      <c r="B15"/>
      <c r="C15"/>
      <c r="D15" s="490">
        <f t="shared" si="0"/>
        <v>0</v>
      </c>
      <c r="G15"/>
    </row>
    <row r="16" spans="1:8" x14ac:dyDescent="0.2">
      <c r="A16" t="s">
        <v>169</v>
      </c>
      <c r="B16" s="183">
        <v>84651974</v>
      </c>
      <c r="C16" s="183">
        <v>84651974</v>
      </c>
      <c r="D16" s="490">
        <f t="shared" si="0"/>
        <v>0</v>
      </c>
      <c r="G16" s="183"/>
    </row>
    <row r="17" spans="1:7" x14ac:dyDescent="0.2">
      <c r="A17"/>
      <c r="B17"/>
      <c r="C17"/>
      <c r="D17" s="490">
        <f t="shared" si="0"/>
        <v>0</v>
      </c>
      <c r="G17"/>
    </row>
    <row r="18" spans="1:7" x14ac:dyDescent="0.2">
      <c r="A18" t="s">
        <v>243</v>
      </c>
      <c r="B18" s="183">
        <v>84651974</v>
      </c>
      <c r="C18" s="183">
        <v>84651974</v>
      </c>
      <c r="D18" s="490">
        <f t="shared" si="0"/>
        <v>0</v>
      </c>
      <c r="G18" s="183"/>
    </row>
    <row r="19" spans="1:7" x14ac:dyDescent="0.2">
      <c r="A19"/>
      <c r="B19"/>
      <c r="C19"/>
      <c r="D19" s="490">
        <f t="shared" si="0"/>
        <v>0</v>
      </c>
      <c r="G19"/>
    </row>
    <row r="20" spans="1:7" x14ac:dyDescent="0.2">
      <c r="A20" t="s">
        <v>447</v>
      </c>
      <c r="B20" s="183">
        <v>3759918</v>
      </c>
      <c r="C20" s="183">
        <v>3759918</v>
      </c>
      <c r="D20" s="490">
        <f t="shared" si="0"/>
        <v>0</v>
      </c>
      <c r="G20" s="183"/>
    </row>
    <row r="21" spans="1:7" x14ac:dyDescent="0.2">
      <c r="A21" t="s">
        <v>448</v>
      </c>
      <c r="B21" s="183">
        <v>398836</v>
      </c>
      <c r="C21" s="183">
        <v>398836</v>
      </c>
      <c r="D21" s="490">
        <f t="shared" si="0"/>
        <v>0</v>
      </c>
      <c r="G21" s="183"/>
    </row>
    <row r="22" spans="1:7" x14ac:dyDescent="0.2">
      <c r="A22" t="s">
        <v>449</v>
      </c>
      <c r="B22" s="183">
        <v>29897623</v>
      </c>
      <c r="C22" s="183">
        <v>29897623</v>
      </c>
      <c r="D22" s="490">
        <f t="shared" si="0"/>
        <v>0</v>
      </c>
      <c r="G22" s="183"/>
    </row>
    <row r="23" spans="1:7" x14ac:dyDescent="0.2">
      <c r="A23" t="s">
        <v>450</v>
      </c>
      <c r="B23" s="183">
        <v>50595598</v>
      </c>
      <c r="C23" s="183">
        <v>50595598</v>
      </c>
      <c r="D23" s="490">
        <f t="shared" si="0"/>
        <v>0</v>
      </c>
      <c r="G23" s="183"/>
    </row>
    <row r="24" spans="1:7" x14ac:dyDescent="0.2">
      <c r="A24"/>
      <c r="B24"/>
      <c r="C24"/>
      <c r="D24" s="490">
        <f t="shared" si="0"/>
        <v>0</v>
      </c>
      <c r="G24"/>
    </row>
    <row r="25" spans="1:7" x14ac:dyDescent="0.2">
      <c r="A25" t="s">
        <v>244</v>
      </c>
      <c r="B25" s="183">
        <v>740402229</v>
      </c>
      <c r="C25" s="183">
        <v>740402229</v>
      </c>
      <c r="D25" s="490">
        <f t="shared" si="0"/>
        <v>0</v>
      </c>
      <c r="G25" s="183"/>
    </row>
    <row r="26" spans="1:7" x14ac:dyDescent="0.2">
      <c r="A26"/>
      <c r="B26"/>
      <c r="C26"/>
      <c r="D26" s="490">
        <f t="shared" si="0"/>
        <v>0</v>
      </c>
      <c r="G26"/>
    </row>
    <row r="27" spans="1:7" x14ac:dyDescent="0.2">
      <c r="A27" t="s">
        <v>60</v>
      </c>
      <c r="B27" s="183">
        <v>43650969</v>
      </c>
      <c r="C27" s="183">
        <v>43650969</v>
      </c>
      <c r="D27" s="490">
        <f t="shared" si="0"/>
        <v>0</v>
      </c>
      <c r="G27" s="183"/>
    </row>
    <row r="28" spans="1:7" x14ac:dyDescent="0.2">
      <c r="A28" t="s">
        <v>61</v>
      </c>
      <c r="B28" s="183">
        <v>3659936</v>
      </c>
      <c r="C28" s="183">
        <v>3659936</v>
      </c>
      <c r="D28" s="490">
        <f t="shared" si="0"/>
        <v>0</v>
      </c>
      <c r="G28" s="183"/>
    </row>
    <row r="29" spans="1:7" x14ac:dyDescent="0.2">
      <c r="A29" t="s">
        <v>245</v>
      </c>
      <c r="B29" s="183">
        <v>321397916</v>
      </c>
      <c r="C29" s="183">
        <v>321397916</v>
      </c>
      <c r="D29" s="490">
        <f t="shared" si="0"/>
        <v>0</v>
      </c>
      <c r="G29" s="183"/>
    </row>
    <row r="30" spans="1:7" x14ac:dyDescent="0.2">
      <c r="A30" t="s">
        <v>246</v>
      </c>
      <c r="B30" s="183">
        <v>217273664</v>
      </c>
      <c r="C30" s="183">
        <v>217273664</v>
      </c>
      <c r="D30" s="490">
        <f t="shared" si="0"/>
        <v>0</v>
      </c>
      <c r="G30" s="183"/>
    </row>
    <row r="31" spans="1:7" x14ac:dyDescent="0.2">
      <c r="A31" t="s">
        <v>247</v>
      </c>
      <c r="B31" s="183">
        <v>-12589440</v>
      </c>
      <c r="C31" s="183">
        <v>-12589440</v>
      </c>
      <c r="D31" s="490">
        <f t="shared" si="0"/>
        <v>0</v>
      </c>
      <c r="G31" s="183"/>
    </row>
    <row r="32" spans="1:7" x14ac:dyDescent="0.2">
      <c r="A32" t="s">
        <v>172</v>
      </c>
      <c r="B32" s="183">
        <v>-9755943</v>
      </c>
      <c r="C32" s="183">
        <v>-9755943</v>
      </c>
      <c r="D32" s="490">
        <f t="shared" si="0"/>
        <v>0</v>
      </c>
      <c r="G32" s="183"/>
    </row>
    <row r="33" spans="1:7" x14ac:dyDescent="0.2">
      <c r="A33" t="s">
        <v>175</v>
      </c>
      <c r="B33" s="183">
        <v>78244398</v>
      </c>
      <c r="C33" s="183">
        <v>78244398</v>
      </c>
      <c r="D33" s="490">
        <f t="shared" si="0"/>
        <v>0</v>
      </c>
      <c r="G33" s="183"/>
    </row>
    <row r="34" spans="1:7" x14ac:dyDescent="0.2">
      <c r="A34" t="s">
        <v>176</v>
      </c>
      <c r="B34" s="183">
        <v>57323690</v>
      </c>
      <c r="C34" s="183">
        <v>57323690</v>
      </c>
      <c r="D34" s="490">
        <f t="shared" si="0"/>
        <v>0</v>
      </c>
      <c r="G34" s="183"/>
    </row>
    <row r="35" spans="1:7" x14ac:dyDescent="0.2">
      <c r="A35" t="s">
        <v>248</v>
      </c>
      <c r="B35" s="183">
        <v>24418315</v>
      </c>
      <c r="C35" s="183">
        <v>24418315</v>
      </c>
      <c r="D35" s="490">
        <f t="shared" si="0"/>
        <v>0</v>
      </c>
      <c r="G35" s="183"/>
    </row>
    <row r="36" spans="1:7" x14ac:dyDescent="0.2">
      <c r="A36" t="s">
        <v>66</v>
      </c>
      <c r="B36" s="183">
        <v>16778725</v>
      </c>
      <c r="C36" s="183">
        <v>16778725</v>
      </c>
      <c r="D36" s="490">
        <f t="shared" si="0"/>
        <v>0</v>
      </c>
      <c r="G36" s="183"/>
    </row>
    <row r="37" spans="1:7" x14ac:dyDescent="0.2">
      <c r="A37"/>
      <c r="B37"/>
      <c r="C37"/>
      <c r="D37" s="490">
        <f t="shared" si="0"/>
        <v>0</v>
      </c>
      <c r="G37"/>
    </row>
    <row r="38" spans="1:7" x14ac:dyDescent="0.2">
      <c r="A38" t="s">
        <v>249</v>
      </c>
      <c r="B38" s="183">
        <v>1065261291</v>
      </c>
      <c r="C38" s="183">
        <v>1065243517</v>
      </c>
      <c r="D38" s="490">
        <f t="shared" si="0"/>
        <v>17774</v>
      </c>
      <c r="G38" s="183"/>
    </row>
    <row r="39" spans="1:7" x14ac:dyDescent="0.2">
      <c r="A39"/>
      <c r="B39"/>
      <c r="C39"/>
      <c r="D39" s="490">
        <f t="shared" si="0"/>
        <v>0</v>
      </c>
      <c r="G39"/>
    </row>
    <row r="40" spans="1:7" x14ac:dyDescent="0.2">
      <c r="A40" t="s">
        <v>250</v>
      </c>
      <c r="B40" s="183">
        <v>971501542</v>
      </c>
      <c r="C40" s="183">
        <v>971483683</v>
      </c>
      <c r="D40" s="490">
        <f t="shared" si="0"/>
        <v>17859</v>
      </c>
      <c r="G40" s="183"/>
    </row>
    <row r="41" spans="1:7" x14ac:dyDescent="0.2">
      <c r="A41"/>
      <c r="B41"/>
      <c r="C41"/>
      <c r="D41" s="490">
        <f t="shared" si="0"/>
        <v>0</v>
      </c>
      <c r="G41"/>
    </row>
    <row r="42" spans="1:7" x14ac:dyDescent="0.2">
      <c r="A42" t="s">
        <v>251</v>
      </c>
      <c r="B42" s="183">
        <v>72693724</v>
      </c>
      <c r="C42" s="183">
        <v>72675865</v>
      </c>
      <c r="D42" s="490">
        <f t="shared" si="0"/>
        <v>17859</v>
      </c>
      <c r="G42" s="183"/>
    </row>
    <row r="43" spans="1:7" x14ac:dyDescent="0.2">
      <c r="A43" t="s">
        <v>55</v>
      </c>
      <c r="B43" s="183">
        <v>4748727</v>
      </c>
      <c r="C43" s="183">
        <v>4748727</v>
      </c>
      <c r="D43" s="490">
        <f t="shared" si="0"/>
        <v>0</v>
      </c>
      <c r="G43" s="183"/>
    </row>
    <row r="44" spans="1:7" x14ac:dyDescent="0.2">
      <c r="A44" t="s">
        <v>70</v>
      </c>
      <c r="B44" s="183">
        <v>894059091</v>
      </c>
      <c r="C44" s="183">
        <v>894059091</v>
      </c>
      <c r="D44" s="490">
        <f t="shared" si="0"/>
        <v>0</v>
      </c>
      <c r="G44" s="183"/>
    </row>
    <row r="45" spans="1:7" x14ac:dyDescent="0.2">
      <c r="A45"/>
      <c r="B45"/>
      <c r="C45"/>
      <c r="D45" s="490">
        <f t="shared" si="0"/>
        <v>0</v>
      </c>
      <c r="G45"/>
    </row>
    <row r="46" spans="1:7" x14ac:dyDescent="0.2">
      <c r="A46" t="s">
        <v>242</v>
      </c>
      <c r="B46" s="183">
        <v>5289838</v>
      </c>
      <c r="C46" s="183">
        <v>5289838</v>
      </c>
      <c r="D46" s="490">
        <f t="shared" si="0"/>
        <v>0</v>
      </c>
      <c r="G46" s="183"/>
    </row>
    <row r="47" spans="1:7" x14ac:dyDescent="0.2">
      <c r="A47" t="s">
        <v>221</v>
      </c>
      <c r="B47" s="183">
        <v>125776621</v>
      </c>
      <c r="C47" s="183">
        <v>125776621</v>
      </c>
      <c r="D47" s="490">
        <f t="shared" si="0"/>
        <v>0</v>
      </c>
      <c r="G47" s="183"/>
    </row>
    <row r="48" spans="1:7" x14ac:dyDescent="0.2">
      <c r="A48" t="s">
        <v>106</v>
      </c>
      <c r="B48">
        <v>0</v>
      </c>
      <c r="C48">
        <v>0</v>
      </c>
      <c r="D48" s="490">
        <f t="shared" si="0"/>
        <v>0</v>
      </c>
      <c r="G48"/>
    </row>
    <row r="49" spans="1:7" x14ac:dyDescent="0.2">
      <c r="A49" t="s">
        <v>565</v>
      </c>
      <c r="B49" s="183">
        <v>66887180</v>
      </c>
      <c r="C49" s="183">
        <v>66887180</v>
      </c>
      <c r="D49" s="490">
        <f t="shared" si="0"/>
        <v>0</v>
      </c>
      <c r="G49" s="183"/>
    </row>
    <row r="50" spans="1:7" x14ac:dyDescent="0.2">
      <c r="A50" t="s">
        <v>223</v>
      </c>
      <c r="B50" s="183">
        <v>112227706</v>
      </c>
      <c r="C50" s="183">
        <v>112227706</v>
      </c>
      <c r="D50" s="490">
        <f t="shared" si="0"/>
        <v>0</v>
      </c>
      <c r="G50" s="183"/>
    </row>
    <row r="51" spans="1:7" x14ac:dyDescent="0.2">
      <c r="A51" t="s">
        <v>566</v>
      </c>
      <c r="B51" s="183">
        <v>40352762</v>
      </c>
      <c r="C51" s="183">
        <v>40352762</v>
      </c>
      <c r="D51" s="490">
        <f t="shared" si="0"/>
        <v>0</v>
      </c>
      <c r="G51" s="183"/>
    </row>
    <row r="52" spans="1:7" x14ac:dyDescent="0.2">
      <c r="A52" t="s">
        <v>567</v>
      </c>
      <c r="B52" s="183">
        <v>52197238</v>
      </c>
      <c r="C52" s="183">
        <v>52197238</v>
      </c>
      <c r="D52" s="490">
        <f t="shared" si="0"/>
        <v>0</v>
      </c>
      <c r="G52" s="183"/>
    </row>
    <row r="53" spans="1:7" x14ac:dyDescent="0.2">
      <c r="A53" t="s">
        <v>568</v>
      </c>
      <c r="B53">
        <v>0</v>
      </c>
      <c r="C53">
        <v>0</v>
      </c>
      <c r="D53" s="490">
        <f t="shared" si="0"/>
        <v>0</v>
      </c>
      <c r="G53"/>
    </row>
    <row r="54" spans="1:7" x14ac:dyDescent="0.2">
      <c r="A54" t="s">
        <v>569</v>
      </c>
      <c r="B54" s="183">
        <v>60889375</v>
      </c>
      <c r="C54" s="183">
        <v>60889375</v>
      </c>
      <c r="D54" s="490">
        <f t="shared" si="0"/>
        <v>0</v>
      </c>
      <c r="G54" s="183"/>
    </row>
    <row r="55" spans="1:7" x14ac:dyDescent="0.2">
      <c r="A55" t="s">
        <v>570</v>
      </c>
      <c r="B55" s="183">
        <v>12821138</v>
      </c>
      <c r="C55" s="183">
        <v>12821138</v>
      </c>
      <c r="D55" s="490">
        <f t="shared" si="0"/>
        <v>0</v>
      </c>
      <c r="G55" s="183"/>
    </row>
    <row r="56" spans="1:7" x14ac:dyDescent="0.2">
      <c r="A56" t="s">
        <v>571</v>
      </c>
      <c r="B56" s="183">
        <v>1287423</v>
      </c>
      <c r="C56" s="183">
        <v>1287423</v>
      </c>
      <c r="D56" s="490">
        <f t="shared" si="0"/>
        <v>0</v>
      </c>
      <c r="G56" s="183"/>
    </row>
    <row r="57" spans="1:7" x14ac:dyDescent="0.2">
      <c r="A57" t="s">
        <v>572</v>
      </c>
      <c r="B57" s="183">
        <v>6048891</v>
      </c>
      <c r="C57" s="183">
        <v>6048891</v>
      </c>
      <c r="D57" s="490">
        <f t="shared" si="0"/>
        <v>0</v>
      </c>
      <c r="G57" s="183"/>
    </row>
    <row r="58" spans="1:7" x14ac:dyDescent="0.2">
      <c r="A58" t="s">
        <v>573</v>
      </c>
      <c r="B58" s="183">
        <v>15253289</v>
      </c>
      <c r="C58" s="183">
        <v>15253289</v>
      </c>
      <c r="D58" s="490">
        <f t="shared" si="0"/>
        <v>0</v>
      </c>
      <c r="G58" s="183"/>
    </row>
    <row r="59" spans="1:7" x14ac:dyDescent="0.2">
      <c r="A59" t="s">
        <v>574</v>
      </c>
      <c r="B59" s="183">
        <v>10569308</v>
      </c>
      <c r="C59" s="183">
        <v>10569308</v>
      </c>
      <c r="D59" s="490">
        <f t="shared" si="0"/>
        <v>0</v>
      </c>
      <c r="G59" s="183"/>
    </row>
    <row r="60" spans="1:7" x14ac:dyDescent="0.2">
      <c r="A60" t="s">
        <v>575</v>
      </c>
      <c r="B60" s="183">
        <v>965351</v>
      </c>
      <c r="C60" s="183">
        <v>965351</v>
      </c>
      <c r="D60" s="490">
        <f t="shared" si="0"/>
        <v>0</v>
      </c>
      <c r="G60" s="183"/>
    </row>
    <row r="61" spans="1:7" x14ac:dyDescent="0.2">
      <c r="A61" t="s">
        <v>576</v>
      </c>
      <c r="B61" s="183">
        <v>78633384</v>
      </c>
      <c r="C61" s="183">
        <v>78633384</v>
      </c>
      <c r="D61" s="490">
        <f t="shared" si="0"/>
        <v>0</v>
      </c>
      <c r="G61" s="183"/>
    </row>
    <row r="62" spans="1:7" x14ac:dyDescent="0.2">
      <c r="A62" t="s">
        <v>577</v>
      </c>
      <c r="B62" s="183">
        <v>18319607</v>
      </c>
      <c r="C62" s="183">
        <v>18319607</v>
      </c>
      <c r="D62" s="490">
        <f t="shared" si="0"/>
        <v>0</v>
      </c>
      <c r="G62" s="183"/>
    </row>
    <row r="63" spans="1:7" x14ac:dyDescent="0.2">
      <c r="A63" t="s">
        <v>578</v>
      </c>
      <c r="B63" s="183">
        <v>5024310</v>
      </c>
      <c r="C63" s="183">
        <v>5024310</v>
      </c>
      <c r="D63" s="490">
        <f t="shared" si="0"/>
        <v>0</v>
      </c>
      <c r="G63" s="183"/>
    </row>
    <row r="64" spans="1:7" x14ac:dyDescent="0.2">
      <c r="A64" t="s">
        <v>579</v>
      </c>
      <c r="B64" s="183">
        <v>23053933</v>
      </c>
      <c r="C64" s="183">
        <v>23053933</v>
      </c>
      <c r="D64" s="490">
        <f t="shared" si="0"/>
        <v>0</v>
      </c>
      <c r="G64" s="183"/>
    </row>
    <row r="65" spans="1:7" x14ac:dyDescent="0.2">
      <c r="A65" t="s">
        <v>580</v>
      </c>
      <c r="B65" s="183">
        <v>258461735</v>
      </c>
      <c r="C65" s="183">
        <v>258461735</v>
      </c>
      <c r="D65" s="490">
        <f t="shared" si="0"/>
        <v>0</v>
      </c>
      <c r="G65" s="183"/>
    </row>
    <row r="66" spans="1:7" x14ac:dyDescent="0.2">
      <c r="A66"/>
      <c r="B66"/>
      <c r="C66"/>
      <c r="D66" s="490">
        <f t="shared" si="0"/>
        <v>0</v>
      </c>
      <c r="G66"/>
    </row>
    <row r="67" spans="1:7" x14ac:dyDescent="0.2">
      <c r="A67" t="s">
        <v>581</v>
      </c>
      <c r="B67" s="183">
        <v>8043859</v>
      </c>
      <c r="C67" s="183">
        <v>8043859</v>
      </c>
      <c r="D67" s="490">
        <f t="shared" si="0"/>
        <v>0</v>
      </c>
      <c r="G67" s="183"/>
    </row>
    <row r="68" spans="1:7" x14ac:dyDescent="0.2">
      <c r="A68" t="s">
        <v>582</v>
      </c>
      <c r="B68" s="183">
        <v>28602539</v>
      </c>
      <c r="C68" s="183">
        <v>28602539</v>
      </c>
      <c r="D68" s="490">
        <f t="shared" si="0"/>
        <v>0</v>
      </c>
      <c r="G68" s="183"/>
    </row>
    <row r="69" spans="1:7" x14ac:dyDescent="0.2">
      <c r="A69" t="s">
        <v>583</v>
      </c>
      <c r="B69" s="183">
        <v>94169777</v>
      </c>
      <c r="C69" s="183">
        <v>94169777</v>
      </c>
      <c r="D69" s="490">
        <f t="shared" si="0"/>
        <v>0</v>
      </c>
      <c r="G69" s="183"/>
    </row>
    <row r="70" spans="1:7" x14ac:dyDescent="0.2">
      <c r="A70" t="s">
        <v>584</v>
      </c>
      <c r="B70" s="183">
        <v>82117411</v>
      </c>
      <c r="C70" s="183">
        <v>82117411</v>
      </c>
      <c r="D70" s="490">
        <f t="shared" ref="D70:D132" si="1">B70-C70</f>
        <v>0</v>
      </c>
      <c r="G70" s="183"/>
    </row>
    <row r="71" spans="1:7" x14ac:dyDescent="0.2">
      <c r="A71" t="s">
        <v>585</v>
      </c>
      <c r="B71">
        <v>0</v>
      </c>
      <c r="C71">
        <v>0</v>
      </c>
      <c r="D71" s="490">
        <f t="shared" si="1"/>
        <v>0</v>
      </c>
      <c r="G71"/>
    </row>
    <row r="72" spans="1:7" x14ac:dyDescent="0.2">
      <c r="A72" t="s">
        <v>586</v>
      </c>
      <c r="B72" s="183">
        <v>543918</v>
      </c>
      <c r="C72" s="183">
        <v>543918</v>
      </c>
      <c r="D72" s="490">
        <f t="shared" si="1"/>
        <v>0</v>
      </c>
      <c r="G72" s="183"/>
    </row>
    <row r="73" spans="1:7" x14ac:dyDescent="0.2">
      <c r="A73" t="s">
        <v>587</v>
      </c>
      <c r="B73" s="183">
        <v>44984231</v>
      </c>
      <c r="C73" s="183">
        <v>44984231</v>
      </c>
      <c r="D73" s="490">
        <f t="shared" si="1"/>
        <v>0</v>
      </c>
      <c r="G73" s="183"/>
    </row>
    <row r="74" spans="1:7" x14ac:dyDescent="0.2">
      <c r="A74"/>
      <c r="B74"/>
      <c r="C74"/>
      <c r="D74" s="490">
        <f t="shared" si="1"/>
        <v>0</v>
      </c>
      <c r="G74"/>
    </row>
    <row r="75" spans="1:7" x14ac:dyDescent="0.2">
      <c r="A75" t="s">
        <v>348</v>
      </c>
      <c r="B75" s="183">
        <v>93759748</v>
      </c>
      <c r="C75" s="183">
        <v>93759834</v>
      </c>
      <c r="D75" s="490">
        <f t="shared" si="1"/>
        <v>-86</v>
      </c>
      <c r="G75" s="183"/>
    </row>
    <row r="76" spans="1:7" x14ac:dyDescent="0.2">
      <c r="A76"/>
      <c r="B76"/>
      <c r="C76"/>
      <c r="D76" s="490">
        <f t="shared" si="1"/>
        <v>0</v>
      </c>
      <c r="G76"/>
    </row>
    <row r="77" spans="1:7" x14ac:dyDescent="0.2">
      <c r="A77" t="s">
        <v>253</v>
      </c>
      <c r="B77" s="183">
        <v>5225474</v>
      </c>
      <c r="C77" s="183">
        <v>5225474</v>
      </c>
      <c r="D77" s="490">
        <f t="shared" si="1"/>
        <v>0</v>
      </c>
      <c r="G77" s="183"/>
    </row>
    <row r="78" spans="1:7" x14ac:dyDescent="0.2">
      <c r="A78" t="s">
        <v>254</v>
      </c>
      <c r="B78" s="183">
        <v>88534275</v>
      </c>
      <c r="C78" s="183">
        <v>88534360</v>
      </c>
      <c r="D78" s="490">
        <f t="shared" si="1"/>
        <v>-85</v>
      </c>
      <c r="G78" s="183"/>
    </row>
    <row r="79" spans="1:7" x14ac:dyDescent="0.2">
      <c r="A79"/>
      <c r="B79"/>
      <c r="C79"/>
      <c r="D79" s="490">
        <f t="shared" si="1"/>
        <v>0</v>
      </c>
      <c r="G79"/>
    </row>
    <row r="80" spans="1:7" x14ac:dyDescent="0.2">
      <c r="A80" t="s">
        <v>588</v>
      </c>
      <c r="B80" s="183">
        <v>20161969</v>
      </c>
      <c r="C80" s="183">
        <v>20161969</v>
      </c>
      <c r="D80" s="490">
        <f t="shared" si="1"/>
        <v>0</v>
      </c>
      <c r="G80" s="183"/>
    </row>
    <row r="81" spans="1:7" x14ac:dyDescent="0.2">
      <c r="A81" t="s">
        <v>589</v>
      </c>
      <c r="B81" s="183">
        <v>46177</v>
      </c>
      <c r="C81" s="183">
        <v>46177</v>
      </c>
      <c r="D81" s="490">
        <f t="shared" si="1"/>
        <v>0</v>
      </c>
      <c r="G81" s="183"/>
    </row>
    <row r="82" spans="1:7" x14ac:dyDescent="0.2">
      <c r="A82" t="s">
        <v>590</v>
      </c>
      <c r="B82" s="183">
        <v>9700672</v>
      </c>
      <c r="C82" s="183">
        <v>9700672</v>
      </c>
      <c r="D82" s="490">
        <f t="shared" si="1"/>
        <v>0</v>
      </c>
      <c r="G82" s="183"/>
    </row>
    <row r="83" spans="1:7" x14ac:dyDescent="0.2">
      <c r="A83" t="s">
        <v>591</v>
      </c>
      <c r="B83">
        <v>0</v>
      </c>
      <c r="C83">
        <v>85</v>
      </c>
      <c r="D83" s="490">
        <f t="shared" si="1"/>
        <v>-85</v>
      </c>
      <c r="G83"/>
    </row>
    <row r="84" spans="1:7" x14ac:dyDescent="0.2">
      <c r="A84" t="s">
        <v>592</v>
      </c>
      <c r="B84" s="183">
        <v>28603397</v>
      </c>
      <c r="C84" s="183">
        <v>28603397</v>
      </c>
      <c r="D84" s="490">
        <f t="shared" si="1"/>
        <v>0</v>
      </c>
      <c r="G84" s="183"/>
    </row>
    <row r="85" spans="1:7" x14ac:dyDescent="0.2">
      <c r="A85" t="s">
        <v>593</v>
      </c>
      <c r="B85" s="183">
        <v>30022060</v>
      </c>
      <c r="C85" s="183">
        <v>30022060</v>
      </c>
      <c r="D85" s="490">
        <f t="shared" si="1"/>
        <v>0</v>
      </c>
      <c r="G85" s="183"/>
    </row>
    <row r="86" spans="1:7" x14ac:dyDescent="0.2">
      <c r="A86"/>
      <c r="B86"/>
      <c r="C86"/>
      <c r="D86" s="490">
        <f t="shared" si="1"/>
        <v>0</v>
      </c>
      <c r="G86"/>
    </row>
    <row r="87" spans="1:7" x14ac:dyDescent="0.2">
      <c r="A87" t="s">
        <v>594</v>
      </c>
      <c r="B87" s="183">
        <v>30022060</v>
      </c>
      <c r="C87" s="183">
        <v>30022060</v>
      </c>
      <c r="D87" s="490">
        <f t="shared" si="1"/>
        <v>0</v>
      </c>
      <c r="G87" s="183"/>
    </row>
    <row r="88" spans="1:7" x14ac:dyDescent="0.2">
      <c r="A88"/>
      <c r="B88"/>
      <c r="C88"/>
      <c r="D88" s="490">
        <f t="shared" si="1"/>
        <v>0</v>
      </c>
      <c r="G88"/>
    </row>
    <row r="89" spans="1:7" x14ac:dyDescent="0.2">
      <c r="A89" t="s">
        <v>255</v>
      </c>
      <c r="B89" s="183">
        <v>10802977774</v>
      </c>
      <c r="C89" s="183">
        <v>10802959915</v>
      </c>
      <c r="D89" s="490">
        <f t="shared" si="1"/>
        <v>17859</v>
      </c>
      <c r="G89" s="183"/>
    </row>
    <row r="90" spans="1:7" x14ac:dyDescent="0.2">
      <c r="A90"/>
      <c r="B90"/>
      <c r="C90"/>
      <c r="D90" s="490">
        <f t="shared" si="1"/>
        <v>0</v>
      </c>
      <c r="G90"/>
    </row>
    <row r="91" spans="1:7" x14ac:dyDescent="0.2">
      <c r="A91" t="s">
        <v>256</v>
      </c>
      <c r="B91" s="183">
        <v>789085348</v>
      </c>
      <c r="C91" s="183">
        <v>789085348</v>
      </c>
      <c r="D91" s="490">
        <f t="shared" si="1"/>
        <v>0</v>
      </c>
      <c r="G91" s="183"/>
    </row>
    <row r="92" spans="1:7" x14ac:dyDescent="0.2">
      <c r="A92"/>
      <c r="B92"/>
      <c r="C92"/>
      <c r="D92" s="490">
        <f t="shared" si="1"/>
        <v>0</v>
      </c>
      <c r="G92"/>
    </row>
    <row r="93" spans="1:7" x14ac:dyDescent="0.2">
      <c r="A93" t="s">
        <v>75</v>
      </c>
      <c r="B93" s="183">
        <v>246548984</v>
      </c>
      <c r="C93" s="183">
        <v>246548984</v>
      </c>
      <c r="D93" s="490">
        <f t="shared" si="1"/>
        <v>0</v>
      </c>
      <c r="G93" s="183"/>
    </row>
    <row r="94" spans="1:7" x14ac:dyDescent="0.2">
      <c r="A94" t="s">
        <v>198</v>
      </c>
      <c r="B94" s="183">
        <v>159004000</v>
      </c>
      <c r="C94" s="183">
        <v>159004000</v>
      </c>
      <c r="D94" s="490">
        <f t="shared" si="1"/>
        <v>0</v>
      </c>
      <c r="G94" s="183"/>
    </row>
    <row r="95" spans="1:7" x14ac:dyDescent="0.2">
      <c r="A95"/>
      <c r="B95"/>
      <c r="C95"/>
      <c r="D95" s="490">
        <f t="shared" si="1"/>
        <v>0</v>
      </c>
      <c r="G95"/>
    </row>
    <row r="96" spans="1:7" x14ac:dyDescent="0.2">
      <c r="A96" t="s">
        <v>257</v>
      </c>
      <c r="B96" s="183">
        <v>159004000</v>
      </c>
      <c r="C96" s="183">
        <v>159004000</v>
      </c>
      <c r="D96" s="490">
        <f t="shared" si="1"/>
        <v>0</v>
      </c>
      <c r="G96" s="183"/>
    </row>
    <row r="97" spans="1:7" x14ac:dyDescent="0.2">
      <c r="A97" t="s">
        <v>258</v>
      </c>
      <c r="B97">
        <v>0</v>
      </c>
      <c r="C97">
        <v>0</v>
      </c>
      <c r="D97" s="490">
        <f t="shared" si="1"/>
        <v>0</v>
      </c>
      <c r="G97"/>
    </row>
    <row r="98" spans="1:7" x14ac:dyDescent="0.2">
      <c r="A98"/>
      <c r="B98"/>
      <c r="C98"/>
      <c r="D98" s="490">
        <f t="shared" si="1"/>
        <v>0</v>
      </c>
      <c r="G98"/>
    </row>
    <row r="99" spans="1:7" x14ac:dyDescent="0.2">
      <c r="A99" t="s">
        <v>76</v>
      </c>
      <c r="B99" s="183">
        <v>114561816</v>
      </c>
      <c r="C99" s="183">
        <v>114561816</v>
      </c>
      <c r="D99" s="490">
        <f t="shared" si="1"/>
        <v>0</v>
      </c>
      <c r="G99" s="183"/>
    </row>
    <row r="100" spans="1:7" x14ac:dyDescent="0.2">
      <c r="A100" t="s">
        <v>259</v>
      </c>
      <c r="B100" s="183">
        <v>38457319</v>
      </c>
      <c r="C100" s="183">
        <v>38457319</v>
      </c>
      <c r="D100" s="490">
        <f t="shared" si="1"/>
        <v>0</v>
      </c>
      <c r="G100" s="183"/>
    </row>
    <row r="101" spans="1:7" x14ac:dyDescent="0.2">
      <c r="A101" t="s">
        <v>260</v>
      </c>
      <c r="B101" s="183">
        <v>47771880</v>
      </c>
      <c r="C101" s="183">
        <v>47771880</v>
      </c>
      <c r="D101" s="490">
        <f t="shared" si="1"/>
        <v>0</v>
      </c>
      <c r="G101" s="183"/>
    </row>
    <row r="102" spans="1:7" x14ac:dyDescent="0.2">
      <c r="A102" t="s">
        <v>261</v>
      </c>
      <c r="B102" s="183">
        <v>131420314</v>
      </c>
      <c r="C102" s="183">
        <v>131420314</v>
      </c>
      <c r="D102" s="490">
        <f t="shared" si="1"/>
        <v>0</v>
      </c>
      <c r="G102" s="183"/>
    </row>
    <row r="103" spans="1:7" x14ac:dyDescent="0.2">
      <c r="A103" t="s">
        <v>79</v>
      </c>
      <c r="B103" s="183">
        <v>51321035</v>
      </c>
      <c r="C103" s="183">
        <v>51321035</v>
      </c>
      <c r="D103" s="490">
        <f t="shared" si="1"/>
        <v>0</v>
      </c>
      <c r="G103" s="183"/>
    </row>
    <row r="104" spans="1:7" x14ac:dyDescent="0.2">
      <c r="A104"/>
      <c r="B104"/>
      <c r="C104"/>
      <c r="D104" s="490">
        <f t="shared" si="1"/>
        <v>0</v>
      </c>
      <c r="G104"/>
    </row>
    <row r="105" spans="1:7" x14ac:dyDescent="0.2">
      <c r="A105" t="s">
        <v>262</v>
      </c>
      <c r="B105" s="183">
        <v>2878927957</v>
      </c>
      <c r="C105" s="183">
        <v>2885098950</v>
      </c>
      <c r="D105" s="490">
        <f t="shared" si="1"/>
        <v>-6170993</v>
      </c>
      <c r="G105" s="183"/>
    </row>
    <row r="106" spans="1:7" x14ac:dyDescent="0.2">
      <c r="A106"/>
      <c r="B106"/>
      <c r="C106"/>
      <c r="D106" s="490">
        <f t="shared" si="1"/>
        <v>0</v>
      </c>
      <c r="G106"/>
    </row>
    <row r="107" spans="1:7" x14ac:dyDescent="0.2">
      <c r="A107" t="s">
        <v>263</v>
      </c>
      <c r="B107" s="183">
        <v>1558157217</v>
      </c>
      <c r="C107" s="183">
        <v>1554806899</v>
      </c>
      <c r="D107" s="490">
        <f t="shared" si="1"/>
        <v>3350318</v>
      </c>
      <c r="G107" s="183"/>
    </row>
    <row r="108" spans="1:7" x14ac:dyDescent="0.2">
      <c r="A108" t="s">
        <v>207</v>
      </c>
      <c r="B108" s="183">
        <v>651094424</v>
      </c>
      <c r="C108" s="183">
        <v>651094424</v>
      </c>
      <c r="D108" s="490">
        <f t="shared" si="1"/>
        <v>0</v>
      </c>
      <c r="G108" s="183"/>
    </row>
    <row r="109" spans="1:7" x14ac:dyDescent="0.2">
      <c r="A109" t="s">
        <v>82</v>
      </c>
      <c r="B109" s="183">
        <v>669676315</v>
      </c>
      <c r="C109" s="183">
        <v>679197626</v>
      </c>
      <c r="D109" s="490">
        <f t="shared" si="1"/>
        <v>-9521311</v>
      </c>
      <c r="G109" s="183"/>
    </row>
    <row r="110" spans="1:7" x14ac:dyDescent="0.2">
      <c r="A110"/>
      <c r="B110"/>
      <c r="C110"/>
      <c r="D110" s="490">
        <f t="shared" si="1"/>
        <v>0</v>
      </c>
      <c r="G110"/>
    </row>
    <row r="111" spans="1:7" x14ac:dyDescent="0.2">
      <c r="A111" t="s">
        <v>264</v>
      </c>
      <c r="B111" s="183">
        <v>47775659</v>
      </c>
      <c r="C111" s="183">
        <v>47775659</v>
      </c>
      <c r="D111" s="490">
        <f t="shared" si="1"/>
        <v>0</v>
      </c>
      <c r="G111" s="183"/>
    </row>
    <row r="112" spans="1:7" x14ac:dyDescent="0.2">
      <c r="A112"/>
      <c r="B112"/>
      <c r="C112"/>
      <c r="D112" s="490">
        <f t="shared" si="1"/>
        <v>0</v>
      </c>
      <c r="G112"/>
    </row>
    <row r="113" spans="1:7" x14ac:dyDescent="0.2">
      <c r="A113" t="s">
        <v>451</v>
      </c>
      <c r="B113" s="183">
        <v>47775659</v>
      </c>
      <c r="C113" s="183">
        <v>47775659</v>
      </c>
      <c r="D113" s="490">
        <f t="shared" si="1"/>
        <v>0</v>
      </c>
      <c r="G113" s="183"/>
    </row>
    <row r="114" spans="1:7" x14ac:dyDescent="0.2">
      <c r="A114"/>
      <c r="B114"/>
      <c r="C114"/>
      <c r="D114" s="490">
        <f t="shared" si="1"/>
        <v>0</v>
      </c>
      <c r="G114"/>
    </row>
    <row r="115" spans="1:7" x14ac:dyDescent="0.2">
      <c r="A115" t="s">
        <v>265</v>
      </c>
      <c r="B115" s="183">
        <v>621900657</v>
      </c>
      <c r="C115" s="183">
        <v>631421968</v>
      </c>
      <c r="D115" s="490">
        <f t="shared" si="1"/>
        <v>-9521311</v>
      </c>
      <c r="G115" s="183"/>
    </row>
    <row r="116" spans="1:7" x14ac:dyDescent="0.2">
      <c r="A116"/>
      <c r="B116"/>
      <c r="C116"/>
      <c r="D116" s="490">
        <f t="shared" si="1"/>
        <v>0</v>
      </c>
      <c r="G116"/>
    </row>
    <row r="117" spans="1:7" x14ac:dyDescent="0.2">
      <c r="A117" t="s">
        <v>266</v>
      </c>
      <c r="B117" s="183">
        <v>7134964469</v>
      </c>
      <c r="C117" s="183">
        <v>7128775617</v>
      </c>
      <c r="D117" s="490">
        <f t="shared" si="1"/>
        <v>6188852</v>
      </c>
      <c r="G117" s="183"/>
    </row>
    <row r="118" spans="1:7" x14ac:dyDescent="0.2">
      <c r="A118"/>
      <c r="B118"/>
      <c r="C118"/>
      <c r="D118" s="490">
        <f t="shared" si="1"/>
        <v>0</v>
      </c>
      <c r="G118"/>
    </row>
    <row r="119" spans="1:7" x14ac:dyDescent="0.2">
      <c r="A119" t="s">
        <v>267</v>
      </c>
      <c r="B119" s="183">
        <v>3362991534</v>
      </c>
      <c r="C119" s="183">
        <v>3356802682</v>
      </c>
      <c r="D119" s="490">
        <f t="shared" si="1"/>
        <v>6188852</v>
      </c>
      <c r="G119" s="183"/>
    </row>
    <row r="120" spans="1:7" x14ac:dyDescent="0.2">
      <c r="A120" t="s">
        <v>268</v>
      </c>
      <c r="B120" s="183">
        <v>3771972936</v>
      </c>
      <c r="C120" s="183">
        <v>3771972936</v>
      </c>
      <c r="D120" s="490">
        <f t="shared" si="1"/>
        <v>0</v>
      </c>
      <c r="G120" s="183"/>
    </row>
    <row r="121" spans="1:7" x14ac:dyDescent="0.2">
      <c r="A121"/>
      <c r="B121"/>
      <c r="C121"/>
      <c r="D121" s="490">
        <f t="shared" si="1"/>
        <v>0</v>
      </c>
      <c r="G121"/>
    </row>
    <row r="122" spans="1:7" x14ac:dyDescent="0.2">
      <c r="A122" t="s">
        <v>446</v>
      </c>
      <c r="B122" s="183">
        <v>3771972936</v>
      </c>
      <c r="C122" s="183">
        <v>3771972936</v>
      </c>
      <c r="D122" s="490">
        <f t="shared" si="1"/>
        <v>0</v>
      </c>
      <c r="G122" s="183"/>
    </row>
    <row r="123" spans="1:7" x14ac:dyDescent="0.2">
      <c r="A123"/>
      <c r="B123"/>
      <c r="C123"/>
      <c r="D123" s="490">
        <f t="shared" si="1"/>
        <v>0</v>
      </c>
      <c r="G123"/>
    </row>
    <row r="124" spans="1:7" x14ac:dyDescent="0.2">
      <c r="A124" t="s">
        <v>281</v>
      </c>
      <c r="B124" s="183">
        <v>3771972936</v>
      </c>
      <c r="C124" s="183">
        <v>3771972936</v>
      </c>
      <c r="D124" s="490">
        <f t="shared" si="1"/>
        <v>0</v>
      </c>
      <c r="G124" s="183"/>
    </row>
    <row r="125" spans="1:7" x14ac:dyDescent="0.2">
      <c r="A125"/>
      <c r="B125"/>
      <c r="C125"/>
      <c r="D125" s="490">
        <f t="shared" si="1"/>
        <v>0</v>
      </c>
      <c r="G125"/>
    </row>
    <row r="126" spans="1:7" x14ac:dyDescent="0.2">
      <c r="A126" t="s">
        <v>276</v>
      </c>
      <c r="B126" s="183">
        <v>3523860000</v>
      </c>
      <c r="C126" s="183">
        <v>3523860000</v>
      </c>
      <c r="D126" s="490">
        <f t="shared" si="1"/>
        <v>0</v>
      </c>
      <c r="G126" s="183"/>
    </row>
    <row r="127" spans="1:7" x14ac:dyDescent="0.2">
      <c r="A127" t="s">
        <v>275</v>
      </c>
      <c r="B127" s="183">
        <v>250000000</v>
      </c>
      <c r="C127" s="183">
        <v>250000000</v>
      </c>
      <c r="D127" s="490">
        <f t="shared" si="1"/>
        <v>0</v>
      </c>
      <c r="G127" s="183"/>
    </row>
    <row r="128" spans="1:7" x14ac:dyDescent="0.2">
      <c r="A128" t="s">
        <v>277</v>
      </c>
      <c r="B128" s="183">
        <v>-1887064</v>
      </c>
      <c r="C128" s="183">
        <v>-1887064</v>
      </c>
      <c r="D128" s="490">
        <f t="shared" si="1"/>
        <v>0</v>
      </c>
      <c r="G128" s="183"/>
    </row>
    <row r="129" spans="1:7" x14ac:dyDescent="0.2">
      <c r="A129"/>
      <c r="B129"/>
      <c r="C129"/>
      <c r="D129" s="490">
        <f t="shared" si="1"/>
        <v>0</v>
      </c>
      <c r="G129"/>
    </row>
    <row r="130" spans="1:7" x14ac:dyDescent="0.2">
      <c r="A130" t="s">
        <v>269</v>
      </c>
      <c r="B130">
        <v>0</v>
      </c>
      <c r="C130">
        <v>0</v>
      </c>
      <c r="D130" s="490">
        <f t="shared" si="1"/>
        <v>0</v>
      </c>
      <c r="G130"/>
    </row>
    <row r="131" spans="1:7" x14ac:dyDescent="0.2">
      <c r="A131" t="s">
        <v>270</v>
      </c>
      <c r="B131" s="183">
        <v>61412961</v>
      </c>
      <c r="C131" s="183">
        <v>61412961</v>
      </c>
      <c r="D131" s="490">
        <f t="shared" si="1"/>
        <v>0</v>
      </c>
      <c r="G131" s="183"/>
    </row>
    <row r="132" spans="1:7" x14ac:dyDescent="0.2">
      <c r="A132" t="s">
        <v>271</v>
      </c>
      <c r="B132" s="183">
        <v>61412961</v>
      </c>
      <c r="C132" s="183">
        <v>61412961</v>
      </c>
      <c r="D132" s="490">
        <f t="shared" si="1"/>
        <v>0</v>
      </c>
      <c r="G132" s="183"/>
    </row>
    <row r="133" spans="1:7" x14ac:dyDescent="0.2">
      <c r="A133" t="s">
        <v>271</v>
      </c>
      <c r="B133" s="183"/>
      <c r="C133" s="183"/>
      <c r="G133" s="183"/>
    </row>
    <row r="134" spans="1:7" x14ac:dyDescent="0.2">
      <c r="C134" s="114"/>
      <c r="G134" s="114"/>
    </row>
    <row r="135" spans="1:7" x14ac:dyDescent="0.2">
      <c r="C135" s="116"/>
    </row>
  </sheetData>
  <mergeCells count="1">
    <mergeCell ref="F2:F3"/>
  </mergeCells>
  <phoneticPr fontId="2" type="noConversion"/>
  <pageMargins left="0.25" right="0.25" top="0.75" bottom="0.75" header="0.3" footer="0.3"/>
  <pageSetup scale="75" orientation="portrait" r:id="rId1"/>
  <headerFooter alignWithMargins="0"/>
  <customProperties>
    <customPr name="_pios_id" r:id="rId2"/>
  </customPropertie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88"/>
  <sheetViews>
    <sheetView zoomScaleNormal="100" workbookViewId="0">
      <selection activeCell="M9" sqref="M9:O15"/>
    </sheetView>
  </sheetViews>
  <sheetFormatPr defaultRowHeight="12.75" x14ac:dyDescent="0.2"/>
  <cols>
    <col min="1" max="1" width="42.42578125" style="396" customWidth="1"/>
    <col min="2" max="2" width="17.140625" style="396" customWidth="1"/>
    <col min="3" max="3" width="17.28515625" style="395" bestFit="1" customWidth="1"/>
    <col min="4" max="4" width="13.42578125" style="490" bestFit="1" customWidth="1"/>
    <col min="6" max="6" width="2.5703125" bestFit="1" customWidth="1"/>
    <col min="7" max="7" width="61.7109375" bestFit="1" customWidth="1"/>
    <col min="10" max="10" width="15.140625" customWidth="1"/>
  </cols>
  <sheetData>
    <row r="1" spans="1:10" s="116" customFormat="1" x14ac:dyDescent="0.2">
      <c r="A1" s="392" t="s">
        <v>120</v>
      </c>
      <c r="B1" s="392"/>
      <c r="C1" s="393" t="s">
        <v>121</v>
      </c>
      <c r="D1" s="492"/>
      <c r="E1" s="116" t="s">
        <v>122</v>
      </c>
      <c r="F1" s="116" t="s">
        <v>123</v>
      </c>
      <c r="G1" s="116" t="s">
        <v>124</v>
      </c>
    </row>
    <row r="2" spans="1:10" s="116" customFormat="1" x14ac:dyDescent="0.2">
      <c r="A2" s="394"/>
      <c r="B2" s="394"/>
      <c r="C2" s="393"/>
      <c r="D2" s="492"/>
      <c r="F2" s="116" t="s">
        <v>125</v>
      </c>
      <c r="G2" s="116" t="s">
        <v>126</v>
      </c>
      <c r="H2" s="118"/>
    </row>
    <row r="3" spans="1:10" s="116" customFormat="1" x14ac:dyDescent="0.2">
      <c r="A3" t="s">
        <v>161</v>
      </c>
      <c r="B3"/>
      <c r="C3" s="395" t="s">
        <v>541</v>
      </c>
      <c r="D3" s="492"/>
      <c r="H3" s="118"/>
    </row>
    <row r="4" spans="1:10" x14ac:dyDescent="0.2">
      <c r="A4"/>
      <c r="B4" s="491" t="s">
        <v>688</v>
      </c>
      <c r="C4" s="491" t="s">
        <v>689</v>
      </c>
      <c r="D4" s="490" t="s">
        <v>686</v>
      </c>
      <c r="J4" s="116"/>
    </row>
    <row r="5" spans="1:10" x14ac:dyDescent="0.2">
      <c r="A5" t="s">
        <v>236</v>
      </c>
      <c r="B5">
        <v>0</v>
      </c>
      <c r="C5">
        <v>0</v>
      </c>
      <c r="D5" s="490">
        <f>B5-C5</f>
        <v>0</v>
      </c>
      <c r="J5" s="116"/>
    </row>
    <row r="6" spans="1:10" x14ac:dyDescent="0.2">
      <c r="A6"/>
      <c r="B6"/>
      <c r="C6"/>
      <c r="D6" s="490">
        <f t="shared" ref="D6:D69" si="0">B6-C6</f>
        <v>0</v>
      </c>
      <c r="J6" s="116"/>
    </row>
    <row r="7" spans="1:10" x14ac:dyDescent="0.2">
      <c r="A7" t="s">
        <v>237</v>
      </c>
      <c r="B7" s="183">
        <v>5386246627</v>
      </c>
      <c r="C7" s="183">
        <v>5380052483</v>
      </c>
      <c r="D7" s="490">
        <f t="shared" si="0"/>
        <v>6194144</v>
      </c>
      <c r="J7" s="116"/>
    </row>
    <row r="8" spans="1:10" x14ac:dyDescent="0.2">
      <c r="A8"/>
      <c r="B8"/>
      <c r="C8"/>
      <c r="D8" s="490">
        <f t="shared" si="0"/>
        <v>0</v>
      </c>
      <c r="J8" s="116"/>
    </row>
    <row r="9" spans="1:10" x14ac:dyDescent="0.2">
      <c r="A9" t="s">
        <v>238</v>
      </c>
      <c r="B9">
        <v>0</v>
      </c>
      <c r="C9">
        <v>0</v>
      </c>
      <c r="D9" s="490">
        <f t="shared" si="0"/>
        <v>0</v>
      </c>
      <c r="J9" s="116"/>
    </row>
    <row r="10" spans="1:10" x14ac:dyDescent="0.2">
      <c r="A10"/>
      <c r="B10"/>
      <c r="C10"/>
      <c r="D10" s="490">
        <f t="shared" si="0"/>
        <v>0</v>
      </c>
      <c r="J10" s="116"/>
    </row>
    <row r="11" spans="1:10" x14ac:dyDescent="0.2">
      <c r="A11" t="s">
        <v>239</v>
      </c>
      <c r="B11" s="183">
        <v>-2168600314</v>
      </c>
      <c r="C11" s="183">
        <v>-2168600314</v>
      </c>
      <c r="D11" s="490">
        <f t="shared" si="0"/>
        <v>0</v>
      </c>
      <c r="J11" s="116"/>
    </row>
    <row r="12" spans="1:10" x14ac:dyDescent="0.2">
      <c r="A12" t="s">
        <v>240</v>
      </c>
      <c r="B12" s="183">
        <v>-594454438</v>
      </c>
      <c r="C12" s="183">
        <v>-594454438</v>
      </c>
      <c r="D12" s="490">
        <f t="shared" si="0"/>
        <v>0</v>
      </c>
      <c r="J12" s="116"/>
    </row>
    <row r="13" spans="1:10" x14ac:dyDescent="0.2">
      <c r="A13" t="s">
        <v>241</v>
      </c>
      <c r="B13" s="183">
        <v>-39906538</v>
      </c>
      <c r="C13" s="183">
        <v>-39906538</v>
      </c>
      <c r="D13" s="490">
        <f t="shared" si="0"/>
        <v>0</v>
      </c>
      <c r="J13" s="116"/>
    </row>
    <row r="14" spans="1:10" x14ac:dyDescent="0.2">
      <c r="A14" t="s">
        <v>282</v>
      </c>
      <c r="B14" s="183">
        <v>2802961291</v>
      </c>
      <c r="C14" s="183">
        <v>2802961291</v>
      </c>
      <c r="D14" s="490">
        <f t="shared" si="0"/>
        <v>0</v>
      </c>
      <c r="J14" s="116"/>
    </row>
    <row r="15" spans="1:10" x14ac:dyDescent="0.2">
      <c r="A15"/>
      <c r="B15"/>
      <c r="C15"/>
      <c r="D15" s="490">
        <f t="shared" si="0"/>
        <v>0</v>
      </c>
      <c r="J15" s="116"/>
    </row>
    <row r="16" spans="1:10" x14ac:dyDescent="0.2">
      <c r="A16" t="s">
        <v>169</v>
      </c>
      <c r="B16" s="183">
        <v>5023166619</v>
      </c>
      <c r="C16" s="183">
        <v>5016977767</v>
      </c>
      <c r="D16" s="490">
        <f t="shared" si="0"/>
        <v>6188852</v>
      </c>
      <c r="J16" s="116"/>
    </row>
    <row r="17" spans="1:10" x14ac:dyDescent="0.2">
      <c r="A17"/>
      <c r="B17"/>
      <c r="C17"/>
      <c r="D17" s="490">
        <f t="shared" si="0"/>
        <v>0</v>
      </c>
      <c r="J17" s="116"/>
    </row>
    <row r="18" spans="1:10" x14ac:dyDescent="0.2">
      <c r="A18" t="s">
        <v>243</v>
      </c>
      <c r="B18" s="183">
        <v>5023166619</v>
      </c>
      <c r="C18" s="183">
        <v>5016977767</v>
      </c>
      <c r="D18" s="490">
        <f t="shared" si="0"/>
        <v>6188852</v>
      </c>
      <c r="J18" s="116"/>
    </row>
    <row r="19" spans="1:10" x14ac:dyDescent="0.2">
      <c r="A19"/>
      <c r="B19"/>
      <c r="C19"/>
      <c r="D19" s="490">
        <f t="shared" si="0"/>
        <v>0</v>
      </c>
      <c r="J19" s="116"/>
    </row>
    <row r="20" spans="1:10" x14ac:dyDescent="0.2">
      <c r="A20" t="s">
        <v>447</v>
      </c>
      <c r="B20" s="183">
        <v>3215417</v>
      </c>
      <c r="C20" s="183">
        <v>3215417</v>
      </c>
      <c r="D20" s="490">
        <f t="shared" si="0"/>
        <v>0</v>
      </c>
      <c r="J20" s="116"/>
    </row>
    <row r="21" spans="1:10" x14ac:dyDescent="0.2">
      <c r="A21" t="s">
        <v>448</v>
      </c>
      <c r="B21" s="183">
        <v>446721</v>
      </c>
      <c r="C21" s="183">
        <v>446721</v>
      </c>
      <c r="D21" s="490">
        <f t="shared" si="0"/>
        <v>0</v>
      </c>
      <c r="J21" s="116"/>
    </row>
    <row r="22" spans="1:10" x14ac:dyDescent="0.2">
      <c r="A22" t="s">
        <v>450</v>
      </c>
      <c r="B22" s="183">
        <v>5019504481</v>
      </c>
      <c r="C22" s="183">
        <v>5013315629</v>
      </c>
      <c r="D22" s="490">
        <f t="shared" si="0"/>
        <v>6188852</v>
      </c>
      <c r="J22" s="116"/>
    </row>
    <row r="23" spans="1:10" x14ac:dyDescent="0.2">
      <c r="A23"/>
      <c r="B23"/>
      <c r="C23"/>
      <c r="D23" s="490">
        <f t="shared" si="0"/>
        <v>0</v>
      </c>
      <c r="J23" s="116"/>
    </row>
    <row r="24" spans="1:10" x14ac:dyDescent="0.2">
      <c r="A24" t="s">
        <v>596</v>
      </c>
      <c r="B24" s="183">
        <v>426900</v>
      </c>
      <c r="C24" s="183">
        <v>426900</v>
      </c>
      <c r="D24" s="490">
        <f t="shared" si="0"/>
        <v>0</v>
      </c>
      <c r="J24" s="116"/>
    </row>
    <row r="25" spans="1:10" x14ac:dyDescent="0.2">
      <c r="A25" t="s">
        <v>597</v>
      </c>
      <c r="B25" s="183">
        <v>3512113609</v>
      </c>
      <c r="C25" s="183">
        <v>3512113609</v>
      </c>
      <c r="D25" s="490">
        <f t="shared" si="0"/>
        <v>0</v>
      </c>
      <c r="J25" s="116"/>
    </row>
    <row r="26" spans="1:10" x14ac:dyDescent="0.2">
      <c r="A26" t="s">
        <v>598</v>
      </c>
      <c r="B26" s="183">
        <v>-149548979</v>
      </c>
      <c r="C26" s="183">
        <v>-155737832</v>
      </c>
      <c r="D26" s="490">
        <f t="shared" si="0"/>
        <v>6188853</v>
      </c>
      <c r="J26" s="116"/>
    </row>
    <row r="27" spans="1:10" x14ac:dyDescent="0.2">
      <c r="A27" t="s">
        <v>599</v>
      </c>
      <c r="B27" s="183">
        <v>1656512951</v>
      </c>
      <c r="C27" s="183">
        <v>1656512951</v>
      </c>
      <c r="D27" s="490">
        <f t="shared" si="0"/>
        <v>0</v>
      </c>
      <c r="J27" s="116"/>
    </row>
    <row r="28" spans="1:10" x14ac:dyDescent="0.2">
      <c r="A28"/>
      <c r="B28"/>
      <c r="C28"/>
      <c r="D28" s="490">
        <f t="shared" si="0"/>
        <v>0</v>
      </c>
      <c r="J28" s="116"/>
    </row>
    <row r="29" spans="1:10" s="116" customFormat="1" x14ac:dyDescent="0.2">
      <c r="A29" t="s">
        <v>244</v>
      </c>
      <c r="B29" s="183">
        <v>39207038</v>
      </c>
      <c r="C29" s="183">
        <v>39207038</v>
      </c>
      <c r="D29" s="490">
        <f t="shared" si="0"/>
        <v>0</v>
      </c>
    </row>
    <row r="30" spans="1:10" x14ac:dyDescent="0.2">
      <c r="A30"/>
      <c r="B30"/>
      <c r="C30"/>
      <c r="D30" s="490">
        <f t="shared" si="0"/>
        <v>0</v>
      </c>
      <c r="J30" s="116"/>
    </row>
    <row r="31" spans="1:10" x14ac:dyDescent="0.2">
      <c r="A31" t="s">
        <v>60</v>
      </c>
      <c r="B31" s="183">
        <v>638667</v>
      </c>
      <c r="C31" s="183">
        <v>638667</v>
      </c>
      <c r="D31" s="490">
        <f t="shared" si="0"/>
        <v>0</v>
      </c>
      <c r="J31" s="116"/>
    </row>
    <row r="32" spans="1:10" x14ac:dyDescent="0.2">
      <c r="A32" t="s">
        <v>245</v>
      </c>
      <c r="B32" s="183">
        <v>203470</v>
      </c>
      <c r="C32" s="183">
        <v>203470</v>
      </c>
      <c r="D32" s="490">
        <f t="shared" si="0"/>
        <v>0</v>
      </c>
      <c r="J32" s="116"/>
    </row>
    <row r="33" spans="1:10" x14ac:dyDescent="0.2">
      <c r="A33"/>
      <c r="B33"/>
      <c r="C33"/>
      <c r="D33" s="490">
        <f t="shared" si="0"/>
        <v>0</v>
      </c>
      <c r="J33" s="116"/>
    </row>
    <row r="34" spans="1:10" x14ac:dyDescent="0.2">
      <c r="A34" t="s">
        <v>600</v>
      </c>
      <c r="B34">
        <v>0</v>
      </c>
      <c r="C34">
        <v>0</v>
      </c>
      <c r="D34" s="490">
        <f t="shared" si="0"/>
        <v>0</v>
      </c>
      <c r="J34" s="116"/>
    </row>
    <row r="35" spans="1:10" x14ac:dyDescent="0.2">
      <c r="A35" t="s">
        <v>680</v>
      </c>
      <c r="B35" s="183">
        <v>204473</v>
      </c>
      <c r="C35" s="183">
        <v>204473</v>
      </c>
      <c r="D35" s="490">
        <f t="shared" si="0"/>
        <v>0</v>
      </c>
      <c r="J35" s="116"/>
    </row>
    <row r="36" spans="1:10" x14ac:dyDescent="0.2">
      <c r="A36" t="s">
        <v>601</v>
      </c>
      <c r="B36" s="183">
        <v>-1003</v>
      </c>
      <c r="C36" s="183">
        <v>-1003</v>
      </c>
      <c r="D36" s="490">
        <f t="shared" si="0"/>
        <v>0</v>
      </c>
      <c r="J36" s="116"/>
    </row>
    <row r="37" spans="1:10" x14ac:dyDescent="0.2">
      <c r="A37"/>
      <c r="B37"/>
      <c r="C37"/>
      <c r="D37" s="490">
        <f t="shared" si="0"/>
        <v>0</v>
      </c>
      <c r="J37" s="116"/>
    </row>
    <row r="38" spans="1:10" x14ac:dyDescent="0.2">
      <c r="A38" t="s">
        <v>176</v>
      </c>
      <c r="B38" s="183">
        <v>1334172</v>
      </c>
      <c r="C38" s="183">
        <v>1334172</v>
      </c>
      <c r="D38" s="490">
        <f t="shared" si="0"/>
        <v>0</v>
      </c>
      <c r="J38" s="116"/>
    </row>
    <row r="39" spans="1:10" x14ac:dyDescent="0.2">
      <c r="A39" t="s">
        <v>248</v>
      </c>
      <c r="B39">
        <v>0</v>
      </c>
      <c r="C39">
        <v>0</v>
      </c>
      <c r="D39" s="490">
        <f t="shared" si="0"/>
        <v>0</v>
      </c>
      <c r="G39" t="s">
        <v>66</v>
      </c>
      <c r="J39" s="116"/>
    </row>
    <row r="40" spans="1:10" x14ac:dyDescent="0.2">
      <c r="A40" t="s">
        <v>602</v>
      </c>
      <c r="B40" s="183">
        <v>37030729</v>
      </c>
      <c r="C40" s="183">
        <v>37030729</v>
      </c>
      <c r="D40" s="490">
        <f t="shared" si="0"/>
        <v>0</v>
      </c>
      <c r="J40" s="116"/>
    </row>
    <row r="41" spans="1:10" x14ac:dyDescent="0.2">
      <c r="A41"/>
      <c r="B41"/>
      <c r="C41"/>
      <c r="D41" s="490">
        <f t="shared" si="0"/>
        <v>0</v>
      </c>
      <c r="J41" s="116"/>
    </row>
    <row r="42" spans="1:10" x14ac:dyDescent="0.2">
      <c r="A42" t="s">
        <v>249</v>
      </c>
      <c r="B42" s="183">
        <v>323872970</v>
      </c>
      <c r="C42" s="183">
        <v>323867678</v>
      </c>
      <c r="D42" s="490">
        <f t="shared" si="0"/>
        <v>5292</v>
      </c>
      <c r="J42" s="116"/>
    </row>
    <row r="43" spans="1:10" x14ac:dyDescent="0.2">
      <c r="A43"/>
      <c r="B43"/>
      <c r="C43"/>
      <c r="D43" s="490">
        <f t="shared" si="0"/>
        <v>0</v>
      </c>
      <c r="J43" s="116"/>
    </row>
    <row r="44" spans="1:10" x14ac:dyDescent="0.2">
      <c r="A44" t="s">
        <v>250</v>
      </c>
      <c r="B44" s="183">
        <v>26772848</v>
      </c>
      <c r="C44" s="183">
        <v>26767556</v>
      </c>
      <c r="D44" s="490">
        <f t="shared" si="0"/>
        <v>5292</v>
      </c>
      <c r="J44" s="116"/>
    </row>
    <row r="45" spans="1:10" x14ac:dyDescent="0.2">
      <c r="A45"/>
      <c r="B45"/>
      <c r="C45"/>
      <c r="D45" s="490">
        <f t="shared" si="0"/>
        <v>0</v>
      </c>
      <c r="J45" s="116"/>
    </row>
    <row r="46" spans="1:10" x14ac:dyDescent="0.2">
      <c r="A46" t="s">
        <v>251</v>
      </c>
      <c r="B46" s="183">
        <v>537402</v>
      </c>
      <c r="C46" s="183">
        <v>532110</v>
      </c>
      <c r="D46" s="490">
        <f t="shared" si="0"/>
        <v>5292</v>
      </c>
      <c r="J46" s="116"/>
    </row>
    <row r="47" spans="1:10" x14ac:dyDescent="0.2">
      <c r="A47" t="s">
        <v>603</v>
      </c>
      <c r="B47" s="183">
        <v>26223385</v>
      </c>
      <c r="C47" s="183">
        <v>26223385</v>
      </c>
      <c r="D47" s="490">
        <f t="shared" si="0"/>
        <v>0</v>
      </c>
      <c r="J47" s="116"/>
    </row>
    <row r="48" spans="1:10" x14ac:dyDescent="0.2">
      <c r="A48" t="s">
        <v>70</v>
      </c>
      <c r="B48" s="183">
        <v>12061</v>
      </c>
      <c r="C48" s="183">
        <v>12061</v>
      </c>
      <c r="D48" s="490">
        <f t="shared" si="0"/>
        <v>0</v>
      </c>
      <c r="J48" s="116"/>
    </row>
    <row r="49" spans="1:10" x14ac:dyDescent="0.2">
      <c r="A49"/>
      <c r="B49"/>
      <c r="C49"/>
      <c r="D49" s="490">
        <f t="shared" si="0"/>
        <v>0</v>
      </c>
      <c r="J49" s="116"/>
    </row>
    <row r="50" spans="1:10" x14ac:dyDescent="0.2">
      <c r="A50" t="s">
        <v>348</v>
      </c>
      <c r="B50" s="183">
        <v>297100122</v>
      </c>
      <c r="C50" s="183">
        <v>297100122</v>
      </c>
      <c r="D50" s="490">
        <f t="shared" si="0"/>
        <v>0</v>
      </c>
      <c r="J50" s="116"/>
    </row>
    <row r="51" spans="1:10" x14ac:dyDescent="0.2">
      <c r="A51"/>
      <c r="B51"/>
      <c r="C51"/>
      <c r="D51" s="490">
        <f t="shared" si="0"/>
        <v>0</v>
      </c>
      <c r="J51" s="116"/>
    </row>
    <row r="52" spans="1:10" x14ac:dyDescent="0.2">
      <c r="A52" t="s">
        <v>253</v>
      </c>
      <c r="B52">
        <v>0</v>
      </c>
      <c r="C52">
        <v>0</v>
      </c>
      <c r="D52" s="490">
        <f t="shared" si="0"/>
        <v>0</v>
      </c>
      <c r="J52" s="116"/>
    </row>
    <row r="53" spans="1:10" x14ac:dyDescent="0.2">
      <c r="A53" t="s">
        <v>254</v>
      </c>
      <c r="B53" s="183">
        <v>8342693</v>
      </c>
      <c r="C53" s="183">
        <v>8342693</v>
      </c>
      <c r="D53" s="490">
        <f t="shared" si="0"/>
        <v>0</v>
      </c>
      <c r="J53" s="116"/>
    </row>
    <row r="54" spans="1:10" s="116" customFormat="1" x14ac:dyDescent="0.2">
      <c r="A54"/>
      <c r="B54"/>
      <c r="C54"/>
      <c r="D54" s="490">
        <f t="shared" si="0"/>
        <v>0</v>
      </c>
    </row>
    <row r="55" spans="1:10" x14ac:dyDescent="0.2">
      <c r="A55" t="s">
        <v>588</v>
      </c>
      <c r="B55">
        <v>0</v>
      </c>
      <c r="C55">
        <v>0</v>
      </c>
      <c r="D55" s="490">
        <f t="shared" si="0"/>
        <v>0</v>
      </c>
      <c r="J55" s="116"/>
    </row>
    <row r="56" spans="1:10" x14ac:dyDescent="0.2">
      <c r="A56" t="s">
        <v>593</v>
      </c>
      <c r="B56" s="183">
        <v>8342693</v>
      </c>
      <c r="C56" s="183">
        <v>8342693</v>
      </c>
      <c r="D56" s="490">
        <f t="shared" si="0"/>
        <v>0</v>
      </c>
      <c r="J56" s="116"/>
    </row>
    <row r="57" spans="1:10" x14ac:dyDescent="0.2">
      <c r="A57"/>
      <c r="B57"/>
      <c r="C57"/>
      <c r="D57" s="490">
        <f t="shared" si="0"/>
        <v>0</v>
      </c>
      <c r="J57" s="116"/>
    </row>
    <row r="58" spans="1:10" x14ac:dyDescent="0.2">
      <c r="A58" t="s">
        <v>594</v>
      </c>
      <c r="B58" s="183">
        <v>8342693</v>
      </c>
      <c r="C58" s="183">
        <v>8342693</v>
      </c>
      <c r="D58" s="490">
        <f t="shared" si="0"/>
        <v>0</v>
      </c>
      <c r="J58" s="116"/>
    </row>
    <row r="59" spans="1:10" x14ac:dyDescent="0.2">
      <c r="A59"/>
      <c r="B59"/>
      <c r="C59"/>
      <c r="D59" s="490">
        <f t="shared" si="0"/>
        <v>0</v>
      </c>
      <c r="J59" s="116"/>
    </row>
    <row r="60" spans="1:10" x14ac:dyDescent="0.2">
      <c r="A60" t="s">
        <v>604</v>
      </c>
      <c r="B60" s="183">
        <v>288757429</v>
      </c>
      <c r="C60" s="183">
        <v>288757429</v>
      </c>
      <c r="D60" s="490">
        <f t="shared" si="0"/>
        <v>0</v>
      </c>
      <c r="J60" s="116"/>
    </row>
    <row r="61" spans="1:10" x14ac:dyDescent="0.2">
      <c r="A61"/>
      <c r="B61"/>
      <c r="C61"/>
      <c r="D61" s="490">
        <f t="shared" si="0"/>
        <v>0</v>
      </c>
      <c r="J61" s="116"/>
    </row>
    <row r="62" spans="1:10" x14ac:dyDescent="0.2">
      <c r="A62" t="s">
        <v>255</v>
      </c>
      <c r="B62" s="183">
        <v>5386246627</v>
      </c>
      <c r="C62" s="183">
        <v>5380052483</v>
      </c>
      <c r="D62" s="490">
        <f t="shared" si="0"/>
        <v>6194144</v>
      </c>
      <c r="J62" s="116"/>
    </row>
    <row r="63" spans="1:10" x14ac:dyDescent="0.2">
      <c r="A63"/>
      <c r="B63"/>
      <c r="C63"/>
      <c r="D63" s="490">
        <f t="shared" si="0"/>
        <v>0</v>
      </c>
      <c r="J63" s="116"/>
    </row>
    <row r="64" spans="1:10" x14ac:dyDescent="0.2">
      <c r="A64" t="s">
        <v>256</v>
      </c>
      <c r="B64" s="183">
        <v>34140561</v>
      </c>
      <c r="C64" s="183">
        <v>34140561</v>
      </c>
      <c r="D64" s="490">
        <f t="shared" si="0"/>
        <v>0</v>
      </c>
      <c r="J64" s="116"/>
    </row>
    <row r="65" spans="1:10" x14ac:dyDescent="0.2">
      <c r="A65"/>
      <c r="B65"/>
      <c r="C65"/>
      <c r="D65" s="490">
        <f t="shared" si="0"/>
        <v>0</v>
      </c>
      <c r="J65" s="116"/>
    </row>
    <row r="66" spans="1:10" x14ac:dyDescent="0.2">
      <c r="A66" t="s">
        <v>75</v>
      </c>
      <c r="B66" s="183">
        <v>170680</v>
      </c>
      <c r="C66" s="183">
        <v>170680</v>
      </c>
      <c r="D66" s="490">
        <f t="shared" si="0"/>
        <v>0</v>
      </c>
      <c r="J66" s="116"/>
    </row>
    <row r="67" spans="1:10" x14ac:dyDescent="0.2">
      <c r="A67"/>
      <c r="B67"/>
      <c r="C67"/>
      <c r="D67" s="490">
        <f t="shared" si="0"/>
        <v>0</v>
      </c>
      <c r="J67" s="116"/>
    </row>
    <row r="68" spans="1:10" x14ac:dyDescent="0.2">
      <c r="A68" t="s">
        <v>605</v>
      </c>
      <c r="B68" s="183">
        <v>170680</v>
      </c>
      <c r="C68" s="183">
        <v>170680</v>
      </c>
      <c r="D68" s="490">
        <f t="shared" si="0"/>
        <v>0</v>
      </c>
      <c r="J68" s="116"/>
    </row>
    <row r="69" spans="1:10" x14ac:dyDescent="0.2">
      <c r="A69"/>
      <c r="B69"/>
      <c r="C69"/>
      <c r="D69" s="490">
        <f t="shared" si="0"/>
        <v>0</v>
      </c>
      <c r="J69" s="116"/>
    </row>
    <row r="70" spans="1:10" x14ac:dyDescent="0.2">
      <c r="A70" t="s">
        <v>606</v>
      </c>
      <c r="B70">
        <v>0</v>
      </c>
      <c r="C70">
        <v>0</v>
      </c>
      <c r="D70" s="490">
        <f t="shared" ref="D70:D110" si="1">B70-C70</f>
        <v>0</v>
      </c>
      <c r="J70" s="116"/>
    </row>
    <row r="71" spans="1:10" x14ac:dyDescent="0.2">
      <c r="A71" t="s">
        <v>607</v>
      </c>
      <c r="B71" s="183">
        <v>170680</v>
      </c>
      <c r="C71" s="183">
        <v>170680</v>
      </c>
      <c r="D71" s="490">
        <f t="shared" si="1"/>
        <v>0</v>
      </c>
      <c r="J71" s="116"/>
    </row>
    <row r="72" spans="1:10" x14ac:dyDescent="0.2">
      <c r="A72"/>
      <c r="B72"/>
      <c r="C72"/>
      <c r="D72" s="490">
        <f t="shared" si="1"/>
        <v>0</v>
      </c>
      <c r="J72" s="116"/>
    </row>
    <row r="73" spans="1:10" x14ac:dyDescent="0.2">
      <c r="A73" t="s">
        <v>76</v>
      </c>
      <c r="B73">
        <v>0</v>
      </c>
      <c r="C73">
        <v>0</v>
      </c>
      <c r="D73" s="490">
        <f t="shared" si="1"/>
        <v>0</v>
      </c>
      <c r="J73" s="116"/>
    </row>
    <row r="74" spans="1:10" x14ac:dyDescent="0.2">
      <c r="A74" t="s">
        <v>260</v>
      </c>
      <c r="B74" s="183">
        <v>25606148</v>
      </c>
      <c r="C74" s="183">
        <v>25606148</v>
      </c>
      <c r="D74" s="490">
        <f t="shared" si="1"/>
        <v>0</v>
      </c>
      <c r="J74" s="116"/>
    </row>
    <row r="75" spans="1:10" x14ac:dyDescent="0.2">
      <c r="A75"/>
      <c r="B75"/>
      <c r="C75"/>
      <c r="D75" s="490">
        <f t="shared" si="1"/>
        <v>0</v>
      </c>
      <c r="J75" s="116"/>
    </row>
    <row r="76" spans="1:10" x14ac:dyDescent="0.2">
      <c r="A76" t="s">
        <v>608</v>
      </c>
      <c r="B76" s="183">
        <v>25606148</v>
      </c>
      <c r="C76" s="183">
        <v>25606148</v>
      </c>
      <c r="D76" s="490">
        <f t="shared" si="1"/>
        <v>0</v>
      </c>
      <c r="J76" s="116"/>
    </row>
    <row r="77" spans="1:10" x14ac:dyDescent="0.2">
      <c r="A77"/>
      <c r="B77"/>
      <c r="C77"/>
      <c r="D77" s="490">
        <f t="shared" si="1"/>
        <v>0</v>
      </c>
      <c r="J77" s="116"/>
    </row>
    <row r="78" spans="1:10" x14ac:dyDescent="0.2">
      <c r="A78" t="s">
        <v>609</v>
      </c>
      <c r="B78">
        <v>0</v>
      </c>
      <c r="C78">
        <v>0</v>
      </c>
      <c r="D78" s="490">
        <f t="shared" si="1"/>
        <v>0</v>
      </c>
      <c r="J78" s="116"/>
    </row>
    <row r="79" spans="1:10" x14ac:dyDescent="0.2">
      <c r="A79" t="s">
        <v>610</v>
      </c>
      <c r="B79" s="183">
        <v>49418</v>
      </c>
      <c r="C79" s="183">
        <v>49418</v>
      </c>
      <c r="D79" s="490">
        <f t="shared" si="1"/>
        <v>0</v>
      </c>
      <c r="J79" s="116"/>
    </row>
    <row r="80" spans="1:10" x14ac:dyDescent="0.2">
      <c r="A80" t="s">
        <v>611</v>
      </c>
      <c r="B80" s="183">
        <v>429717</v>
      </c>
      <c r="C80" s="183">
        <v>429717</v>
      </c>
      <c r="D80" s="490">
        <f t="shared" si="1"/>
        <v>0</v>
      </c>
      <c r="J80" s="116"/>
    </row>
    <row r="81" spans="1:10" x14ac:dyDescent="0.2">
      <c r="A81" t="s">
        <v>612</v>
      </c>
      <c r="B81" s="183">
        <v>1381250</v>
      </c>
      <c r="C81" s="183">
        <v>1381250</v>
      </c>
      <c r="D81" s="490">
        <f t="shared" si="1"/>
        <v>0</v>
      </c>
      <c r="J81" s="116"/>
    </row>
    <row r="82" spans="1:10" x14ac:dyDescent="0.2">
      <c r="A82" t="s">
        <v>613</v>
      </c>
      <c r="B82" s="183">
        <v>2073889</v>
      </c>
      <c r="C82" s="183">
        <v>2073889</v>
      </c>
      <c r="D82" s="490">
        <f t="shared" si="1"/>
        <v>0</v>
      </c>
      <c r="J82" s="116"/>
    </row>
    <row r="83" spans="1:10" x14ac:dyDescent="0.2">
      <c r="A83" t="s">
        <v>614</v>
      </c>
      <c r="B83" s="183">
        <v>10000000</v>
      </c>
      <c r="C83" s="183">
        <v>10000000</v>
      </c>
      <c r="D83" s="490">
        <f t="shared" si="1"/>
        <v>0</v>
      </c>
      <c r="J83" s="116"/>
    </row>
    <row r="84" spans="1:10" x14ac:dyDescent="0.2">
      <c r="A84" t="s">
        <v>615</v>
      </c>
      <c r="B84" s="183">
        <v>11671875</v>
      </c>
      <c r="C84" s="183">
        <v>11671875</v>
      </c>
      <c r="D84" s="490">
        <f t="shared" si="1"/>
        <v>0</v>
      </c>
      <c r="J84" s="116"/>
    </row>
    <row r="85" spans="1:10" x14ac:dyDescent="0.2">
      <c r="A85"/>
      <c r="B85"/>
      <c r="C85"/>
      <c r="D85" s="490">
        <f t="shared" si="1"/>
        <v>0</v>
      </c>
      <c r="J85" s="116"/>
    </row>
    <row r="86" spans="1:10" x14ac:dyDescent="0.2">
      <c r="A86" t="s">
        <v>261</v>
      </c>
      <c r="B86" s="183">
        <v>4752920</v>
      </c>
      <c r="C86" s="183">
        <v>4752920</v>
      </c>
      <c r="D86" s="490">
        <f t="shared" si="1"/>
        <v>0</v>
      </c>
      <c r="J86" s="116"/>
    </row>
    <row r="87" spans="1:10" x14ac:dyDescent="0.2">
      <c r="A87" t="s">
        <v>79</v>
      </c>
      <c r="B87" s="183">
        <v>3610813</v>
      </c>
      <c r="C87" s="183">
        <v>3610813</v>
      </c>
      <c r="D87" s="490">
        <f t="shared" si="1"/>
        <v>0</v>
      </c>
      <c r="J87" s="116"/>
    </row>
    <row r="88" spans="1:10" x14ac:dyDescent="0.2">
      <c r="A88"/>
      <c r="B88"/>
      <c r="C88"/>
      <c r="D88" s="490">
        <f t="shared" si="1"/>
        <v>0</v>
      </c>
      <c r="J88" s="116"/>
    </row>
    <row r="89" spans="1:10" x14ac:dyDescent="0.2">
      <c r="A89" t="s">
        <v>616</v>
      </c>
      <c r="B89" s="183">
        <v>3610813</v>
      </c>
      <c r="C89" s="183">
        <v>3610813</v>
      </c>
      <c r="D89" s="490">
        <f t="shared" si="1"/>
        <v>0</v>
      </c>
      <c r="J89" s="116"/>
    </row>
    <row r="90" spans="1:10" x14ac:dyDescent="0.2">
      <c r="A90"/>
      <c r="B90"/>
      <c r="C90"/>
      <c r="D90" s="490">
        <f t="shared" si="1"/>
        <v>0</v>
      </c>
      <c r="J90" s="116"/>
    </row>
    <row r="91" spans="1:10" x14ac:dyDescent="0.2">
      <c r="A91" t="s">
        <v>617</v>
      </c>
      <c r="B91" s="183">
        <v>3610813</v>
      </c>
      <c r="C91" s="183">
        <v>3610813</v>
      </c>
      <c r="D91" s="490">
        <f t="shared" si="1"/>
        <v>0</v>
      </c>
      <c r="J91" s="116"/>
    </row>
    <row r="92" spans="1:10" x14ac:dyDescent="0.2">
      <c r="A92"/>
      <c r="B92"/>
      <c r="C92"/>
      <c r="D92" s="490">
        <f t="shared" si="1"/>
        <v>0</v>
      </c>
      <c r="J92" s="116"/>
    </row>
    <row r="93" spans="1:10" x14ac:dyDescent="0.2">
      <c r="A93" t="s">
        <v>262</v>
      </c>
      <c r="B93" s="183">
        <v>229383043</v>
      </c>
      <c r="C93" s="183">
        <v>229653490</v>
      </c>
      <c r="D93" s="490">
        <f t="shared" si="1"/>
        <v>-270447</v>
      </c>
      <c r="J93" s="116"/>
    </row>
    <row r="94" spans="1:10" x14ac:dyDescent="0.2">
      <c r="A94"/>
      <c r="B94"/>
      <c r="C94"/>
      <c r="D94" s="490">
        <f t="shared" si="1"/>
        <v>0</v>
      </c>
      <c r="J94" s="116"/>
    </row>
    <row r="95" spans="1:10" x14ac:dyDescent="0.2">
      <c r="A95" t="s">
        <v>263</v>
      </c>
      <c r="B95" s="183">
        <v>-120661066</v>
      </c>
      <c r="C95" s="183">
        <v>-120814832</v>
      </c>
      <c r="D95" s="490">
        <f t="shared" si="1"/>
        <v>153766</v>
      </c>
      <c r="J95" s="116"/>
    </row>
    <row r="96" spans="1:10" x14ac:dyDescent="0.2">
      <c r="A96" t="s">
        <v>207</v>
      </c>
      <c r="B96" s="183">
        <v>1346233</v>
      </c>
      <c r="C96" s="183">
        <v>1346233</v>
      </c>
      <c r="D96" s="490">
        <f t="shared" si="1"/>
        <v>0</v>
      </c>
      <c r="J96" s="116"/>
    </row>
    <row r="97" spans="1:10" x14ac:dyDescent="0.2">
      <c r="A97" t="s">
        <v>618</v>
      </c>
      <c r="B97" s="183">
        <v>325788158</v>
      </c>
      <c r="C97" s="183">
        <v>325788158</v>
      </c>
      <c r="D97" s="490">
        <f t="shared" si="1"/>
        <v>0</v>
      </c>
      <c r="J97" s="116"/>
    </row>
    <row r="98" spans="1:10" x14ac:dyDescent="0.2">
      <c r="A98" t="s">
        <v>619</v>
      </c>
      <c r="B98" s="183">
        <v>22612572</v>
      </c>
      <c r="C98" s="183">
        <v>22612572</v>
      </c>
      <c r="D98" s="490">
        <f t="shared" si="1"/>
        <v>0</v>
      </c>
      <c r="J98" s="116"/>
    </row>
    <row r="99" spans="1:10" x14ac:dyDescent="0.2">
      <c r="A99" t="s">
        <v>82</v>
      </c>
      <c r="B99" s="183">
        <v>297146</v>
      </c>
      <c r="C99" s="183">
        <v>721359</v>
      </c>
      <c r="D99" s="490">
        <f t="shared" si="1"/>
        <v>-424213</v>
      </c>
      <c r="J99" s="116"/>
    </row>
    <row r="100" spans="1:10" x14ac:dyDescent="0.2">
      <c r="A100"/>
      <c r="B100"/>
      <c r="C100"/>
      <c r="D100" s="490">
        <f t="shared" si="1"/>
        <v>0</v>
      </c>
      <c r="J100" s="116"/>
    </row>
    <row r="101" spans="1:10" x14ac:dyDescent="0.2">
      <c r="A101" t="s">
        <v>264</v>
      </c>
      <c r="B101" s="183">
        <v>297146</v>
      </c>
      <c r="C101" s="183">
        <v>297146</v>
      </c>
      <c r="D101" s="490">
        <f t="shared" si="1"/>
        <v>0</v>
      </c>
      <c r="J101" s="116"/>
    </row>
    <row r="102" spans="1:10" x14ac:dyDescent="0.2">
      <c r="A102" t="s">
        <v>265</v>
      </c>
      <c r="B102">
        <v>0</v>
      </c>
      <c r="C102" s="183">
        <v>424213</v>
      </c>
      <c r="D102" s="490">
        <f t="shared" si="1"/>
        <v>-424213</v>
      </c>
      <c r="J102" s="116"/>
    </row>
    <row r="103" spans="1:10" x14ac:dyDescent="0.2">
      <c r="A103"/>
      <c r="B103"/>
      <c r="C103"/>
      <c r="D103" s="490">
        <f t="shared" si="1"/>
        <v>0</v>
      </c>
      <c r="J103" s="116"/>
    </row>
    <row r="104" spans="1:10" x14ac:dyDescent="0.2">
      <c r="A104" t="s">
        <v>266</v>
      </c>
      <c r="B104" s="183">
        <v>5122723023</v>
      </c>
      <c r="C104" s="183">
        <v>5116258432</v>
      </c>
      <c r="D104" s="490">
        <f t="shared" si="1"/>
        <v>6464591</v>
      </c>
      <c r="J104" s="116"/>
    </row>
    <row r="105" spans="1:10" x14ac:dyDescent="0.2">
      <c r="A105"/>
      <c r="B105"/>
      <c r="C105"/>
      <c r="D105" s="490">
        <f t="shared" si="1"/>
        <v>0</v>
      </c>
      <c r="J105" s="116"/>
    </row>
    <row r="106" spans="1:10" x14ac:dyDescent="0.2">
      <c r="A106" t="s">
        <v>267</v>
      </c>
      <c r="B106" s="183">
        <v>3531225463</v>
      </c>
      <c r="C106" s="183">
        <v>3524760872</v>
      </c>
      <c r="D106" s="490">
        <f t="shared" si="1"/>
        <v>6464591</v>
      </c>
      <c r="J106" s="116"/>
    </row>
    <row r="107" spans="1:10" x14ac:dyDescent="0.2">
      <c r="A107" t="s">
        <v>268</v>
      </c>
      <c r="B107" s="183">
        <v>1591497560</v>
      </c>
      <c r="C107" s="183">
        <v>1591497560</v>
      </c>
      <c r="D107" s="490">
        <f t="shared" si="1"/>
        <v>0</v>
      </c>
      <c r="J107" s="116"/>
    </row>
    <row r="108" spans="1:10" x14ac:dyDescent="0.2">
      <c r="A108"/>
      <c r="B108"/>
      <c r="C108"/>
      <c r="D108" s="490">
        <f t="shared" si="1"/>
        <v>0</v>
      </c>
      <c r="J108" s="116"/>
    </row>
    <row r="109" spans="1:10" x14ac:dyDescent="0.2">
      <c r="A109" t="s">
        <v>620</v>
      </c>
      <c r="B109" s="183">
        <v>-56746627</v>
      </c>
      <c r="C109" s="183">
        <v>-56746627</v>
      </c>
      <c r="D109" s="490">
        <f t="shared" si="1"/>
        <v>0</v>
      </c>
      <c r="J109" s="116"/>
    </row>
    <row r="110" spans="1:10" x14ac:dyDescent="0.2">
      <c r="A110" t="s">
        <v>271</v>
      </c>
      <c r="B110" s="183">
        <v>56746627</v>
      </c>
      <c r="C110" s="183">
        <v>56746627</v>
      </c>
      <c r="D110" s="490">
        <f t="shared" si="1"/>
        <v>0</v>
      </c>
      <c r="J110" s="116"/>
    </row>
    <row r="111" spans="1:10" x14ac:dyDescent="0.2">
      <c r="A111" s="395"/>
      <c r="B111"/>
      <c r="J111" s="116"/>
    </row>
    <row r="112" spans="1:10" x14ac:dyDescent="0.2">
      <c r="A112" s="395"/>
      <c r="B112"/>
      <c r="J112" s="116"/>
    </row>
    <row r="113" spans="1:10" x14ac:dyDescent="0.2">
      <c r="A113" s="395"/>
      <c r="B113"/>
      <c r="J113" s="116"/>
    </row>
    <row r="114" spans="1:10" x14ac:dyDescent="0.2">
      <c r="A114" s="395"/>
      <c r="B114"/>
      <c r="J114" s="116"/>
    </row>
    <row r="115" spans="1:10" x14ac:dyDescent="0.2">
      <c r="A115"/>
      <c r="B115" s="395"/>
      <c r="J115" s="116"/>
    </row>
    <row r="116" spans="1:10" x14ac:dyDescent="0.2">
      <c r="A116"/>
      <c r="B116" s="395"/>
      <c r="J116" s="395"/>
    </row>
    <row r="117" spans="1:10" x14ac:dyDescent="0.2">
      <c r="A117"/>
      <c r="B117" s="395"/>
      <c r="J117" s="395"/>
    </row>
    <row r="118" spans="1:10" x14ac:dyDescent="0.2">
      <c r="A118"/>
      <c r="B118" s="395"/>
      <c r="J118" s="395"/>
    </row>
    <row r="119" spans="1:10" x14ac:dyDescent="0.2">
      <c r="A119"/>
      <c r="B119" s="395"/>
      <c r="J119" s="395"/>
    </row>
    <row r="120" spans="1:10" x14ac:dyDescent="0.2">
      <c r="A120"/>
      <c r="B120" s="395"/>
      <c r="J120" s="395"/>
    </row>
    <row r="121" spans="1:10" x14ac:dyDescent="0.2">
      <c r="A121"/>
      <c r="B121" s="395"/>
      <c r="J121" s="395"/>
    </row>
    <row r="122" spans="1:10" x14ac:dyDescent="0.2">
      <c r="A122"/>
      <c r="B122" s="395"/>
      <c r="J122" s="395"/>
    </row>
    <row r="123" spans="1:10" x14ac:dyDescent="0.2">
      <c r="A123"/>
      <c r="B123" s="395"/>
    </row>
    <row r="124" spans="1:10" x14ac:dyDescent="0.2">
      <c r="A124"/>
      <c r="B124" s="395"/>
    </row>
    <row r="125" spans="1:10" x14ac:dyDescent="0.2">
      <c r="A125"/>
      <c r="B125" s="395"/>
    </row>
    <row r="126" spans="1:10" x14ac:dyDescent="0.2">
      <c r="A126"/>
      <c r="B126" s="395"/>
    </row>
    <row r="127" spans="1:10" x14ac:dyDescent="0.2">
      <c r="A127"/>
      <c r="B127" s="395"/>
    </row>
    <row r="128" spans="1:10" x14ac:dyDescent="0.2">
      <c r="A128"/>
      <c r="B128" s="395"/>
    </row>
    <row r="129" spans="1:2" x14ac:dyDescent="0.2">
      <c r="A129"/>
      <c r="B129" s="395"/>
    </row>
    <row r="130" spans="1:2" x14ac:dyDescent="0.2">
      <c r="A130"/>
      <c r="B130" s="395"/>
    </row>
    <row r="131" spans="1:2" x14ac:dyDescent="0.2">
      <c r="A131"/>
      <c r="B131" s="395"/>
    </row>
    <row r="132" spans="1:2" x14ac:dyDescent="0.2">
      <c r="A132"/>
      <c r="B132" s="395"/>
    </row>
    <row r="133" spans="1:2" x14ac:dyDescent="0.2">
      <c r="A133"/>
      <c r="B133" s="395"/>
    </row>
    <row r="134" spans="1:2" x14ac:dyDescent="0.2">
      <c r="A134"/>
      <c r="B134" s="395"/>
    </row>
    <row r="135" spans="1:2" x14ac:dyDescent="0.2">
      <c r="A135"/>
      <c r="B135" s="395"/>
    </row>
    <row r="136" spans="1:2" x14ac:dyDescent="0.2">
      <c r="A136"/>
      <c r="B136" s="395"/>
    </row>
    <row r="137" spans="1:2" x14ac:dyDescent="0.2">
      <c r="A137"/>
      <c r="B137" s="395"/>
    </row>
    <row r="138" spans="1:2" x14ac:dyDescent="0.2">
      <c r="A138"/>
      <c r="B138" s="395"/>
    </row>
    <row r="139" spans="1:2" x14ac:dyDescent="0.2">
      <c r="A139"/>
      <c r="B139" s="395"/>
    </row>
    <row r="140" spans="1:2" x14ac:dyDescent="0.2">
      <c r="A140"/>
      <c r="B140" s="395"/>
    </row>
    <row r="141" spans="1:2" x14ac:dyDescent="0.2">
      <c r="A141"/>
      <c r="B141" s="395"/>
    </row>
    <row r="142" spans="1:2" x14ac:dyDescent="0.2">
      <c r="A142"/>
      <c r="B142" s="395"/>
    </row>
    <row r="143" spans="1:2" x14ac:dyDescent="0.2">
      <c r="A143"/>
      <c r="B143" s="395"/>
    </row>
    <row r="144" spans="1:2" x14ac:dyDescent="0.2">
      <c r="A144"/>
      <c r="B144" s="395"/>
    </row>
    <row r="145" spans="1:2" x14ac:dyDescent="0.2">
      <c r="A145"/>
      <c r="B145" s="395"/>
    </row>
    <row r="146" spans="1:2" x14ac:dyDescent="0.2">
      <c r="A146"/>
      <c r="B146" s="395"/>
    </row>
    <row r="147" spans="1:2" x14ac:dyDescent="0.2">
      <c r="A147"/>
      <c r="B147" s="395"/>
    </row>
    <row r="148" spans="1:2" x14ac:dyDescent="0.2">
      <c r="A148"/>
      <c r="B148" s="395"/>
    </row>
    <row r="149" spans="1:2" x14ac:dyDescent="0.2">
      <c r="A149"/>
      <c r="B149" s="395"/>
    </row>
    <row r="150" spans="1:2" x14ac:dyDescent="0.2">
      <c r="A150"/>
      <c r="B150" s="395"/>
    </row>
    <row r="151" spans="1:2" x14ac:dyDescent="0.2">
      <c r="A151"/>
      <c r="B151" s="395"/>
    </row>
    <row r="152" spans="1:2" x14ac:dyDescent="0.2">
      <c r="A152"/>
      <c r="B152" s="395"/>
    </row>
    <row r="153" spans="1:2" x14ac:dyDescent="0.2">
      <c r="A153"/>
      <c r="B153" s="395"/>
    </row>
    <row r="154" spans="1:2" x14ac:dyDescent="0.2">
      <c r="A154"/>
      <c r="B154" s="395"/>
    </row>
    <row r="155" spans="1:2" x14ac:dyDescent="0.2">
      <c r="A155"/>
      <c r="B155" s="395"/>
    </row>
    <row r="156" spans="1:2" x14ac:dyDescent="0.2">
      <c r="A156"/>
      <c r="B156" s="395"/>
    </row>
    <row r="157" spans="1:2" x14ac:dyDescent="0.2">
      <c r="A157"/>
      <c r="B157" s="395"/>
    </row>
    <row r="158" spans="1:2" x14ac:dyDescent="0.2">
      <c r="A158"/>
      <c r="B158" s="395"/>
    </row>
    <row r="159" spans="1:2" x14ac:dyDescent="0.2">
      <c r="A159"/>
      <c r="B159" s="395"/>
    </row>
    <row r="160" spans="1:2" x14ac:dyDescent="0.2">
      <c r="A160"/>
      <c r="B160" s="395"/>
    </row>
    <row r="161" spans="1:2" x14ac:dyDescent="0.2">
      <c r="A161"/>
      <c r="B161" s="395"/>
    </row>
    <row r="162" spans="1:2" x14ac:dyDescent="0.2">
      <c r="A162"/>
      <c r="B162" s="395"/>
    </row>
    <row r="163" spans="1:2" x14ac:dyDescent="0.2">
      <c r="A163"/>
      <c r="B163" s="395"/>
    </row>
    <row r="164" spans="1:2" x14ac:dyDescent="0.2">
      <c r="A164"/>
      <c r="B164" s="395"/>
    </row>
    <row r="165" spans="1:2" x14ac:dyDescent="0.2">
      <c r="A165"/>
      <c r="B165" s="395"/>
    </row>
    <row r="166" spans="1:2" x14ac:dyDescent="0.2">
      <c r="A166"/>
      <c r="B166" s="395"/>
    </row>
    <row r="167" spans="1:2" x14ac:dyDescent="0.2">
      <c r="A167"/>
      <c r="B167" s="395"/>
    </row>
    <row r="168" spans="1:2" x14ac:dyDescent="0.2">
      <c r="A168"/>
      <c r="B168" s="395"/>
    </row>
    <row r="169" spans="1:2" x14ac:dyDescent="0.2">
      <c r="A169"/>
      <c r="B169" s="395"/>
    </row>
    <row r="170" spans="1:2" x14ac:dyDescent="0.2">
      <c r="A170"/>
      <c r="B170" s="395"/>
    </row>
    <row r="171" spans="1:2" x14ac:dyDescent="0.2">
      <c r="A171"/>
      <c r="B171" s="395"/>
    </row>
    <row r="172" spans="1:2" x14ac:dyDescent="0.2">
      <c r="A172"/>
      <c r="B172" s="395"/>
    </row>
    <row r="173" spans="1:2" x14ac:dyDescent="0.2">
      <c r="A173"/>
      <c r="B173" s="395"/>
    </row>
    <row r="174" spans="1:2" x14ac:dyDescent="0.2">
      <c r="A174"/>
      <c r="B174" s="395"/>
    </row>
    <row r="175" spans="1:2" x14ac:dyDescent="0.2">
      <c r="A175"/>
      <c r="B175" s="395"/>
    </row>
    <row r="176" spans="1:2" x14ac:dyDescent="0.2">
      <c r="A176"/>
      <c r="B176" s="395"/>
    </row>
    <row r="177" spans="1:2" x14ac:dyDescent="0.2">
      <c r="A177"/>
      <c r="B177" s="395"/>
    </row>
    <row r="178" spans="1:2" x14ac:dyDescent="0.2">
      <c r="A178"/>
      <c r="B178" s="395"/>
    </row>
    <row r="179" spans="1:2" x14ac:dyDescent="0.2">
      <c r="A179"/>
      <c r="B179" s="395"/>
    </row>
    <row r="180" spans="1:2" x14ac:dyDescent="0.2">
      <c r="A180"/>
      <c r="B180" s="395"/>
    </row>
    <row r="181" spans="1:2" x14ac:dyDescent="0.2">
      <c r="A181"/>
      <c r="B181" s="395"/>
    </row>
    <row r="182" spans="1:2" x14ac:dyDescent="0.2">
      <c r="A182"/>
      <c r="B182" s="395"/>
    </row>
    <row r="183" spans="1:2" x14ac:dyDescent="0.2">
      <c r="A183"/>
      <c r="B183" s="395"/>
    </row>
    <row r="184" spans="1:2" x14ac:dyDescent="0.2">
      <c r="A184"/>
      <c r="B184" s="395"/>
    </row>
    <row r="185" spans="1:2" x14ac:dyDescent="0.2">
      <c r="A185"/>
      <c r="B185" s="395"/>
    </row>
    <row r="186" spans="1:2" x14ac:dyDescent="0.2">
      <c r="A186"/>
      <c r="B186" s="395"/>
    </row>
    <row r="187" spans="1:2" x14ac:dyDescent="0.2">
      <c r="A187"/>
      <c r="B187" s="395"/>
    </row>
    <row r="188" spans="1:2" x14ac:dyDescent="0.2">
      <c r="A188"/>
      <c r="B188" s="395"/>
    </row>
    <row r="189" spans="1:2" x14ac:dyDescent="0.2">
      <c r="A189"/>
      <c r="B189" s="395"/>
    </row>
    <row r="190" spans="1:2" x14ac:dyDescent="0.2">
      <c r="A190"/>
      <c r="B190" s="395"/>
    </row>
    <row r="191" spans="1:2" x14ac:dyDescent="0.2">
      <c r="A191"/>
      <c r="B191" s="395"/>
    </row>
    <row r="192" spans="1:2" x14ac:dyDescent="0.2">
      <c r="A192"/>
      <c r="B192" s="395"/>
    </row>
    <row r="193" spans="1:2" x14ac:dyDescent="0.2">
      <c r="A193"/>
      <c r="B193" s="395"/>
    </row>
    <row r="194" spans="1:2" x14ac:dyDescent="0.2">
      <c r="A194"/>
      <c r="B194" s="395"/>
    </row>
    <row r="195" spans="1:2" x14ac:dyDescent="0.2">
      <c r="A195"/>
      <c r="B195" s="395"/>
    </row>
    <row r="196" spans="1:2" x14ac:dyDescent="0.2">
      <c r="A196"/>
      <c r="B196" s="395"/>
    </row>
    <row r="197" spans="1:2" x14ac:dyDescent="0.2">
      <c r="A197"/>
      <c r="B197" s="395"/>
    </row>
    <row r="198" spans="1:2" x14ac:dyDescent="0.2">
      <c r="A198"/>
      <c r="B198" s="395"/>
    </row>
    <row r="199" spans="1:2" x14ac:dyDescent="0.2">
      <c r="A199"/>
      <c r="B199" s="395"/>
    </row>
    <row r="200" spans="1:2" x14ac:dyDescent="0.2">
      <c r="A200"/>
      <c r="B200" s="395"/>
    </row>
    <row r="201" spans="1:2" x14ac:dyDescent="0.2">
      <c r="A201"/>
      <c r="B201" s="395"/>
    </row>
    <row r="202" spans="1:2" x14ac:dyDescent="0.2">
      <c r="A202"/>
      <c r="B202" s="395"/>
    </row>
    <row r="203" spans="1:2" x14ac:dyDescent="0.2">
      <c r="A203"/>
      <c r="B203" s="395"/>
    </row>
    <row r="204" spans="1:2" x14ac:dyDescent="0.2">
      <c r="A204"/>
      <c r="B204" s="395"/>
    </row>
    <row r="205" spans="1:2" x14ac:dyDescent="0.2">
      <c r="A205"/>
      <c r="B205" s="395"/>
    </row>
    <row r="206" spans="1:2" x14ac:dyDescent="0.2">
      <c r="A206"/>
      <c r="B206" s="395"/>
    </row>
    <row r="207" spans="1:2" x14ac:dyDescent="0.2">
      <c r="A207"/>
      <c r="B207" s="395"/>
    </row>
    <row r="208" spans="1:2" x14ac:dyDescent="0.2">
      <c r="A208"/>
      <c r="B208" s="395"/>
    </row>
    <row r="209" spans="1:2" x14ac:dyDescent="0.2">
      <c r="A209"/>
      <c r="B209" s="395"/>
    </row>
    <row r="210" spans="1:2" x14ac:dyDescent="0.2">
      <c r="A210"/>
      <c r="B210"/>
    </row>
    <row r="211" spans="1:2" x14ac:dyDescent="0.2">
      <c r="A211"/>
      <c r="B211"/>
    </row>
    <row r="212" spans="1:2" x14ac:dyDescent="0.2">
      <c r="A212"/>
      <c r="B212"/>
    </row>
    <row r="213" spans="1:2" x14ac:dyDescent="0.2">
      <c r="A213"/>
      <c r="B213"/>
    </row>
    <row r="214" spans="1:2" x14ac:dyDescent="0.2">
      <c r="A214"/>
      <c r="B214"/>
    </row>
    <row r="215" spans="1:2" x14ac:dyDescent="0.2">
      <c r="A215"/>
      <c r="B215"/>
    </row>
    <row r="216" spans="1:2" x14ac:dyDescent="0.2">
      <c r="A216"/>
      <c r="B216"/>
    </row>
    <row r="217" spans="1:2" x14ac:dyDescent="0.2">
      <c r="A217"/>
      <c r="B217"/>
    </row>
    <row r="218" spans="1:2" x14ac:dyDescent="0.2">
      <c r="A218"/>
      <c r="B218"/>
    </row>
    <row r="219" spans="1:2" x14ac:dyDescent="0.2">
      <c r="A219"/>
      <c r="B219"/>
    </row>
    <row r="220" spans="1:2" x14ac:dyDescent="0.2">
      <c r="A220"/>
      <c r="B220"/>
    </row>
    <row r="221" spans="1:2" x14ac:dyDescent="0.2">
      <c r="A221"/>
      <c r="B221"/>
    </row>
    <row r="222" spans="1:2" x14ac:dyDescent="0.2">
      <c r="A222"/>
      <c r="B222"/>
    </row>
    <row r="223" spans="1:2" x14ac:dyDescent="0.2">
      <c r="A223"/>
      <c r="B223"/>
    </row>
    <row r="224" spans="1:2" x14ac:dyDescent="0.2">
      <c r="A224"/>
      <c r="B224"/>
    </row>
    <row r="225" spans="1:2" x14ac:dyDescent="0.2">
      <c r="A225"/>
      <c r="B225"/>
    </row>
    <row r="226" spans="1:2" x14ac:dyDescent="0.2">
      <c r="A226"/>
      <c r="B226"/>
    </row>
    <row r="227" spans="1:2" x14ac:dyDescent="0.2">
      <c r="A227"/>
      <c r="B227"/>
    </row>
    <row r="228" spans="1:2" x14ac:dyDescent="0.2">
      <c r="A228"/>
      <c r="B228"/>
    </row>
    <row r="229" spans="1:2" x14ac:dyDescent="0.2">
      <c r="A229"/>
      <c r="B229"/>
    </row>
    <row r="230" spans="1:2" x14ac:dyDescent="0.2">
      <c r="A230"/>
      <c r="B230"/>
    </row>
    <row r="231" spans="1:2" x14ac:dyDescent="0.2">
      <c r="A231"/>
      <c r="B231"/>
    </row>
    <row r="232" spans="1:2" x14ac:dyDescent="0.2">
      <c r="A232"/>
      <c r="B232"/>
    </row>
    <row r="233" spans="1:2" x14ac:dyDescent="0.2">
      <c r="A233"/>
      <c r="B233"/>
    </row>
    <row r="234" spans="1:2" x14ac:dyDescent="0.2">
      <c r="A234"/>
      <c r="B234"/>
    </row>
    <row r="235" spans="1:2" x14ac:dyDescent="0.2">
      <c r="A235"/>
      <c r="B235"/>
    </row>
    <row r="236" spans="1:2" x14ac:dyDescent="0.2">
      <c r="A236"/>
      <c r="B236"/>
    </row>
    <row r="237" spans="1:2" x14ac:dyDescent="0.2">
      <c r="A237"/>
      <c r="B237"/>
    </row>
    <row r="238" spans="1:2" x14ac:dyDescent="0.2">
      <c r="A238"/>
      <c r="B238"/>
    </row>
    <row r="239" spans="1:2" x14ac:dyDescent="0.2">
      <c r="A239"/>
      <c r="B239"/>
    </row>
    <row r="240" spans="1:2" x14ac:dyDescent="0.2">
      <c r="A240"/>
      <c r="B240"/>
    </row>
    <row r="241" spans="1:2" x14ac:dyDescent="0.2">
      <c r="A241"/>
      <c r="B241"/>
    </row>
    <row r="242" spans="1:2" x14ac:dyDescent="0.2">
      <c r="A242"/>
      <c r="B242"/>
    </row>
    <row r="243" spans="1:2" x14ac:dyDescent="0.2">
      <c r="A243"/>
      <c r="B243"/>
    </row>
    <row r="244" spans="1:2" x14ac:dyDescent="0.2">
      <c r="A244"/>
      <c r="B244"/>
    </row>
    <row r="245" spans="1:2" x14ac:dyDescent="0.2">
      <c r="A245"/>
      <c r="B245"/>
    </row>
    <row r="246" spans="1:2" x14ac:dyDescent="0.2">
      <c r="A246"/>
      <c r="B246"/>
    </row>
    <row r="247" spans="1:2" x14ac:dyDescent="0.2">
      <c r="A247"/>
      <c r="B247"/>
    </row>
    <row r="248" spans="1:2" x14ac:dyDescent="0.2">
      <c r="A248"/>
      <c r="B248"/>
    </row>
    <row r="249" spans="1:2" x14ac:dyDescent="0.2">
      <c r="A249"/>
      <c r="B249"/>
    </row>
    <row r="250" spans="1:2" x14ac:dyDescent="0.2">
      <c r="A250"/>
      <c r="B250"/>
    </row>
    <row r="251" spans="1:2" x14ac:dyDescent="0.2">
      <c r="A251"/>
      <c r="B251"/>
    </row>
    <row r="252" spans="1:2" x14ac:dyDescent="0.2">
      <c r="A252"/>
      <c r="B252"/>
    </row>
    <row r="253" spans="1:2" x14ac:dyDescent="0.2">
      <c r="A253"/>
      <c r="B253"/>
    </row>
    <row r="254" spans="1:2" x14ac:dyDescent="0.2">
      <c r="A254"/>
      <c r="B254"/>
    </row>
    <row r="255" spans="1:2" x14ac:dyDescent="0.2">
      <c r="A255"/>
      <c r="B255"/>
    </row>
    <row r="256" spans="1:2" x14ac:dyDescent="0.2">
      <c r="A256"/>
      <c r="B256"/>
    </row>
    <row r="257" spans="1:2" x14ac:dyDescent="0.2">
      <c r="A257"/>
      <c r="B257"/>
    </row>
    <row r="258" spans="1:2" x14ac:dyDescent="0.2">
      <c r="A258"/>
      <c r="B258"/>
    </row>
    <row r="259" spans="1:2" x14ac:dyDescent="0.2">
      <c r="A259"/>
      <c r="B259"/>
    </row>
    <row r="260" spans="1:2" x14ac:dyDescent="0.2">
      <c r="A260"/>
      <c r="B260"/>
    </row>
    <row r="261" spans="1:2" x14ac:dyDescent="0.2">
      <c r="A261"/>
      <c r="B261"/>
    </row>
    <row r="262" spans="1:2" x14ac:dyDescent="0.2">
      <c r="A262"/>
      <c r="B262"/>
    </row>
    <row r="263" spans="1:2" x14ac:dyDescent="0.2">
      <c r="A263"/>
      <c r="B263"/>
    </row>
    <row r="264" spans="1:2" x14ac:dyDescent="0.2">
      <c r="A264"/>
      <c r="B264"/>
    </row>
    <row r="265" spans="1:2" x14ac:dyDescent="0.2">
      <c r="A265"/>
      <c r="B265"/>
    </row>
    <row r="266" spans="1:2" x14ac:dyDescent="0.2">
      <c r="A266"/>
      <c r="B266"/>
    </row>
    <row r="267" spans="1:2" x14ac:dyDescent="0.2">
      <c r="A267"/>
      <c r="B267"/>
    </row>
    <row r="268" spans="1:2" x14ac:dyDescent="0.2">
      <c r="A268"/>
      <c r="B268"/>
    </row>
    <row r="269" spans="1:2" x14ac:dyDescent="0.2">
      <c r="A269"/>
      <c r="B269"/>
    </row>
    <row r="270" spans="1:2" x14ac:dyDescent="0.2">
      <c r="A270"/>
      <c r="B270"/>
    </row>
    <row r="271" spans="1:2" x14ac:dyDescent="0.2">
      <c r="A271"/>
      <c r="B271"/>
    </row>
    <row r="272" spans="1:2" x14ac:dyDescent="0.2">
      <c r="A272"/>
      <c r="B272"/>
    </row>
    <row r="273" spans="1:2" x14ac:dyDescent="0.2">
      <c r="A273"/>
      <c r="B273"/>
    </row>
    <row r="274" spans="1:2" x14ac:dyDescent="0.2">
      <c r="A274"/>
    </row>
    <row r="275" spans="1:2" x14ac:dyDescent="0.2">
      <c r="A275"/>
    </row>
    <row r="276" spans="1:2" x14ac:dyDescent="0.2">
      <c r="A276"/>
    </row>
    <row r="277" spans="1:2" x14ac:dyDescent="0.2">
      <c r="A277"/>
    </row>
    <row r="278" spans="1:2" x14ac:dyDescent="0.2">
      <c r="A278"/>
    </row>
    <row r="279" spans="1:2" x14ac:dyDescent="0.2">
      <c r="A279"/>
    </row>
    <row r="280" spans="1:2" x14ac:dyDescent="0.2">
      <c r="A280"/>
    </row>
    <row r="281" spans="1:2" x14ac:dyDescent="0.2">
      <c r="A281"/>
    </row>
    <row r="282" spans="1:2" x14ac:dyDescent="0.2">
      <c r="A282"/>
    </row>
    <row r="283" spans="1:2" x14ac:dyDescent="0.2">
      <c r="A283"/>
    </row>
    <row r="284" spans="1:2" x14ac:dyDescent="0.2">
      <c r="A284"/>
    </row>
    <row r="285" spans="1:2" x14ac:dyDescent="0.2">
      <c r="A285"/>
    </row>
    <row r="286" spans="1:2" x14ac:dyDescent="0.2">
      <c r="A286"/>
    </row>
    <row r="287" spans="1:2" x14ac:dyDescent="0.2">
      <c r="A287"/>
    </row>
    <row r="288" spans="1:2" x14ac:dyDescent="0.2">
      <c r="A288"/>
    </row>
  </sheetData>
  <pageMargins left="0.25" right="0.25" top="0.75" bottom="0.75" header="0.3" footer="0.3"/>
  <pageSetup scale="70" orientation="portrait" blackAndWhite="1" r:id="rId1"/>
  <headerFooter alignWithMargins="0"/>
  <customProperties>
    <customPr name="_pios_id" r:id="rId2"/>
  </customProperties>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K22"/>
  <sheetViews>
    <sheetView workbookViewId="0">
      <selection activeCell="M9" sqref="M9:O15"/>
    </sheetView>
  </sheetViews>
  <sheetFormatPr defaultRowHeight="12.75" x14ac:dyDescent="0.2"/>
  <cols>
    <col min="1" max="1" width="48.28515625" style="456" bestFit="1" customWidth="1"/>
    <col min="2" max="2" width="2.28515625" style="456" hidden="1" customWidth="1"/>
    <col min="3" max="3" width="15.5703125" style="456" hidden="1" customWidth="1"/>
    <col min="4" max="4" width="2.7109375" style="456" customWidth="1"/>
    <col min="5" max="5" width="19.28515625" style="456" customWidth="1"/>
    <col min="6" max="6" width="2.7109375" style="456" customWidth="1"/>
    <col min="7" max="7" width="17.5703125" style="456" customWidth="1"/>
    <col min="8" max="8" width="3.7109375" style="456" customWidth="1"/>
    <col min="9" max="9" width="17" style="456" customWidth="1"/>
    <col min="10" max="10" width="2.7109375" style="456" customWidth="1"/>
    <col min="11" max="11" width="17.28515625" style="456" customWidth="1"/>
    <col min="12" max="14" width="9.140625" style="456"/>
    <col min="15" max="15" width="18.42578125" style="456" customWidth="1"/>
    <col min="16" max="16" width="1.140625" style="456" customWidth="1"/>
    <col min="17" max="17" width="17" style="456" customWidth="1"/>
    <col min="18" max="18" width="1.42578125" style="456" customWidth="1"/>
    <col min="19" max="19" width="18.42578125" style="456" customWidth="1"/>
    <col min="20" max="20" width="1.42578125" style="456" customWidth="1"/>
    <col min="21" max="21" width="17.7109375" style="456" customWidth="1"/>
    <col min="22" max="16384" width="9.140625" style="456"/>
  </cols>
  <sheetData>
    <row r="5" spans="1:11" ht="15.75" x14ac:dyDescent="0.25">
      <c r="A5" s="455"/>
      <c r="B5" s="455"/>
      <c r="C5" s="455"/>
      <c r="D5" s="455"/>
      <c r="E5" s="498">
        <f>'GAAP BS PE'!E1</f>
        <v>42369</v>
      </c>
      <c r="F5" s="498"/>
      <c r="G5" s="498"/>
      <c r="H5" s="455"/>
      <c r="I5" s="498">
        <f>'[3]PE BS Final'!G1</f>
        <v>42004</v>
      </c>
      <c r="J5" s="498"/>
      <c r="K5" s="498"/>
    </row>
    <row r="6" spans="1:11" ht="15.75" x14ac:dyDescent="0.25">
      <c r="A6" s="457"/>
      <c r="B6" s="457"/>
      <c r="C6" s="457"/>
      <c r="D6" s="458"/>
      <c r="E6" s="459" t="s">
        <v>86</v>
      </c>
      <c r="F6" s="460"/>
      <c r="G6" s="459" t="s">
        <v>622</v>
      </c>
      <c r="H6" s="461"/>
      <c r="I6" s="462" t="s">
        <v>86</v>
      </c>
      <c r="J6" s="463"/>
      <c r="K6" s="464" t="s">
        <v>622</v>
      </c>
    </row>
    <row r="7" spans="1:11" ht="15" x14ac:dyDescent="0.2">
      <c r="A7" s="465" t="s">
        <v>188</v>
      </c>
      <c r="B7" s="465"/>
      <c r="C7" s="458">
        <f>('[3]PE BS post 141R'!$H$50)/1000</f>
        <v>3380566</v>
      </c>
      <c r="D7" s="458"/>
      <c r="E7" s="458">
        <f>'GAAP BS'!$E$45</f>
        <v>3362992</v>
      </c>
      <c r="F7" s="466"/>
      <c r="G7" s="458">
        <f>'GAAP BS PE'!$E$42</f>
        <v>3531225</v>
      </c>
      <c r="H7" s="465"/>
      <c r="I7" s="458">
        <f>'[8]GAAP BS'!$E$47</f>
        <v>3278729</v>
      </c>
      <c r="J7" s="458"/>
      <c r="K7" s="458">
        <f>'[4]PE BS Final'!$E$53</f>
        <v>3543328</v>
      </c>
    </row>
    <row r="8" spans="1:11" ht="15" x14ac:dyDescent="0.2">
      <c r="A8" s="465" t="s">
        <v>656</v>
      </c>
      <c r="B8" s="465"/>
      <c r="C8" s="467">
        <f>('[3]PE BS post 141R'!$H$54)/1000</f>
        <v>250000</v>
      </c>
      <c r="D8" s="458"/>
      <c r="E8" s="467">
        <f>'GAAP BS'!$E$48</f>
        <v>250000</v>
      </c>
      <c r="F8" s="468"/>
      <c r="G8" s="467">
        <f>'GAAP BS PE'!$E$45</f>
        <v>250000</v>
      </c>
      <c r="H8" s="465"/>
      <c r="I8" s="467">
        <f>'[8]GAAP BS'!$E$50</f>
        <v>250000</v>
      </c>
      <c r="J8" s="467"/>
      <c r="K8" s="467">
        <f>'[4]PE BS Final'!$E$56</f>
        <v>250000</v>
      </c>
    </row>
    <row r="9" spans="1:11" ht="15" x14ac:dyDescent="0.2">
      <c r="A9" s="465" t="s">
        <v>73</v>
      </c>
      <c r="B9" s="465"/>
      <c r="C9" s="469">
        <f>('[3]PE BS post 141R'!$H$57)/1000</f>
        <v>3524379</v>
      </c>
      <c r="D9" s="458"/>
      <c r="E9" s="469">
        <f>'GAAP BS'!$E$51</f>
        <v>3524384</v>
      </c>
      <c r="F9" s="468"/>
      <c r="G9" s="469">
        <f>'GAAP BS PE'!$E$46</f>
        <v>5115883</v>
      </c>
      <c r="H9" s="465"/>
      <c r="I9" s="469">
        <f>'[8]GAAP BS'!$E$53</f>
        <v>3351259</v>
      </c>
      <c r="J9" s="470"/>
      <c r="K9" s="469">
        <f>'[4]PE BS Final'!$E$57</f>
        <v>4831608</v>
      </c>
    </row>
    <row r="10" spans="1:11" ht="15.75" x14ac:dyDescent="0.25">
      <c r="A10" s="471" t="s">
        <v>647</v>
      </c>
      <c r="B10" s="471"/>
      <c r="C10" s="467">
        <f>SUM(C7:C9)</f>
        <v>7154945</v>
      </c>
      <c r="D10" s="458"/>
      <c r="E10" s="467">
        <f>SUM(E7:E9)</f>
        <v>7137376</v>
      </c>
      <c r="F10" s="472"/>
      <c r="G10" s="467">
        <f>SUM(G7:G9)</f>
        <v>8897108</v>
      </c>
      <c r="H10" s="465"/>
      <c r="I10" s="467">
        <f>SUM(I7:I9)</f>
        <v>6879988</v>
      </c>
      <c r="J10" s="465"/>
      <c r="K10" s="467">
        <f>SUM(K7:K9)</f>
        <v>8624936</v>
      </c>
    </row>
    <row r="11" spans="1:11" ht="15" x14ac:dyDescent="0.2">
      <c r="A11" s="465" t="s">
        <v>657</v>
      </c>
      <c r="B11" s="465"/>
      <c r="C11" s="467">
        <f>('[3]PE BS post 141R'!$H$67+'[3]PE BS post 141R'!$H$68)/1000</f>
        <v>110000</v>
      </c>
      <c r="D11" s="458"/>
      <c r="E11" s="467">
        <f>'GAAP BS'!$E$57+'GAAP BS'!$E$58</f>
        <v>159004</v>
      </c>
      <c r="F11" s="468"/>
      <c r="G11" s="467">
        <f>'GAAP BS PE'!E52</f>
        <v>159004</v>
      </c>
      <c r="H11" s="465"/>
      <c r="I11" s="467">
        <f>'[8]GAAP BS'!$E$59+'[8]GAAP BS'!$E$60</f>
        <v>113933</v>
      </c>
      <c r="J11" s="467"/>
      <c r="K11" s="467">
        <f>'[4]PE BS Final'!$E$65</f>
        <v>85000</v>
      </c>
    </row>
    <row r="12" spans="1:11" ht="15" x14ac:dyDescent="0.2">
      <c r="A12" s="465" t="s">
        <v>74</v>
      </c>
      <c r="B12" s="465"/>
      <c r="C12" s="467">
        <f>('[3]PE BS post 141R'!$H$69)/1000</f>
        <v>0</v>
      </c>
      <c r="D12" s="458"/>
      <c r="E12" s="469">
        <f>'GAAP BS'!$E$59</f>
        <v>0</v>
      </c>
      <c r="F12" s="468"/>
      <c r="G12" s="467">
        <f>'GAAP BS PE'!E53</f>
        <v>0</v>
      </c>
      <c r="H12" s="465"/>
      <c r="I12" s="467">
        <f>'[8]GAAP BS'!$E$61</f>
        <v>162000</v>
      </c>
      <c r="J12" s="467"/>
      <c r="K12" s="467">
        <f>'[4]PE BS Final'!$E$67</f>
        <v>162000</v>
      </c>
    </row>
    <row r="13" spans="1:11" ht="16.5" thickBot="1" x14ac:dyDescent="0.3">
      <c r="A13" s="471" t="s">
        <v>658</v>
      </c>
      <c r="B13" s="471"/>
      <c r="C13" s="473">
        <f>SUM(C10:C12)</f>
        <v>7264945</v>
      </c>
      <c r="D13" s="458"/>
      <c r="E13" s="473">
        <f>SUM(E10:E12)</f>
        <v>7296380</v>
      </c>
      <c r="F13" s="465"/>
      <c r="G13" s="473">
        <f>SUM(G10:G12)</f>
        <v>9056112</v>
      </c>
      <c r="H13" s="465"/>
      <c r="I13" s="473">
        <f>SUM(I10:I12)</f>
        <v>7155921</v>
      </c>
      <c r="J13" s="465"/>
      <c r="K13" s="473">
        <f>SUM(K10:K12)</f>
        <v>8871936</v>
      </c>
    </row>
    <row r="14" spans="1:11" ht="15.75" thickTop="1" x14ac:dyDescent="0.2">
      <c r="A14" s="465"/>
      <c r="B14" s="465"/>
      <c r="C14" s="465"/>
      <c r="D14" s="458"/>
      <c r="E14" s="465"/>
      <c r="F14" s="472"/>
      <c r="G14" s="465"/>
      <c r="H14" s="465"/>
      <c r="I14" s="465"/>
      <c r="J14" s="465"/>
      <c r="K14" s="465"/>
    </row>
    <row r="15" spans="1:11" ht="15" x14ac:dyDescent="0.2">
      <c r="A15" s="465" t="s">
        <v>659</v>
      </c>
      <c r="B15" s="465"/>
      <c r="C15" s="474">
        <f>ROUND(C7/C13,3)</f>
        <v>0.46500000000000002</v>
      </c>
      <c r="D15" s="474"/>
      <c r="E15" s="474">
        <f>ROUND(E7/E13,3)</f>
        <v>0.46100000000000002</v>
      </c>
      <c r="F15" s="475"/>
      <c r="G15" s="474">
        <f>ROUND(G7/G13,3)</f>
        <v>0.39</v>
      </c>
      <c r="H15" s="465"/>
      <c r="I15" s="474">
        <f>ROUND(I7/I13,3)</f>
        <v>0.45800000000000002</v>
      </c>
      <c r="J15" s="474"/>
      <c r="K15" s="474">
        <f>ROUND(K7/K13,3)</f>
        <v>0.39900000000000002</v>
      </c>
    </row>
    <row r="16" spans="1:11" ht="15" x14ac:dyDescent="0.2">
      <c r="A16" s="465" t="s">
        <v>660</v>
      </c>
      <c r="B16" s="465"/>
      <c r="C16" s="474">
        <f>ROUND(SUM(C8,C9,C11,C12)/C13,3)</f>
        <v>0.53500000000000003</v>
      </c>
      <c r="D16" s="474"/>
      <c r="E16" s="474">
        <f>ROUND(SUM(E8,E9,E11,E12)/E13,3)</f>
        <v>0.53900000000000003</v>
      </c>
      <c r="F16" s="475"/>
      <c r="G16" s="474">
        <f>ROUND(SUM(G8,G9,G11,G12)/G13,3)</f>
        <v>0.61</v>
      </c>
      <c r="H16" s="465"/>
      <c r="I16" s="474">
        <f>ROUND(SUM(I8,I9,I11,I12)/I13,3)</f>
        <v>0.54200000000000004</v>
      </c>
      <c r="J16" s="474"/>
      <c r="K16" s="474">
        <f>ROUND(SUM(K8,K9,K11,K12)/K13,3)</f>
        <v>0.60099999999999998</v>
      </c>
    </row>
    <row r="17" spans="1:11" ht="16.5" thickBot="1" x14ac:dyDescent="0.3">
      <c r="A17" s="471" t="s">
        <v>658</v>
      </c>
      <c r="B17" s="471"/>
      <c r="C17" s="476">
        <f>SUM(C15:C16)</f>
        <v>1</v>
      </c>
      <c r="D17" s="474"/>
      <c r="E17" s="476">
        <f>SUM(E15:E16)</f>
        <v>1</v>
      </c>
      <c r="F17" s="475"/>
      <c r="G17" s="476">
        <f>SUM(G15:G16)</f>
        <v>1</v>
      </c>
      <c r="H17" s="465"/>
      <c r="I17" s="476">
        <v>1</v>
      </c>
      <c r="J17" s="474"/>
      <c r="K17" s="476">
        <v>1</v>
      </c>
    </row>
    <row r="18" spans="1:11" ht="16.5" thickTop="1" x14ac:dyDescent="0.25">
      <c r="A18" s="471"/>
      <c r="B18" s="471"/>
      <c r="C18" s="471"/>
      <c r="D18" s="474"/>
      <c r="E18" s="477"/>
      <c r="F18" s="474"/>
      <c r="G18" s="477"/>
      <c r="H18" s="465"/>
      <c r="I18" s="477"/>
      <c r="J18" s="474"/>
      <c r="K18" s="474"/>
    </row>
    <row r="19" spans="1:11" ht="15" x14ac:dyDescent="0.2">
      <c r="A19" s="477"/>
      <c r="B19" s="477"/>
      <c r="C19" s="477"/>
      <c r="D19" s="474"/>
      <c r="E19" s="477"/>
      <c r="F19" s="474"/>
      <c r="G19" s="477" t="s">
        <v>163</v>
      </c>
      <c r="H19" s="465"/>
      <c r="I19" s="477"/>
      <c r="J19" s="474"/>
      <c r="K19" s="474" t="s">
        <v>163</v>
      </c>
    </row>
    <row r="20" spans="1:11" ht="15.75" x14ac:dyDescent="0.25">
      <c r="A20" s="471"/>
      <c r="B20" s="471"/>
      <c r="C20" s="471"/>
      <c r="D20" s="474"/>
      <c r="E20" s="477"/>
      <c r="F20" s="474"/>
      <c r="G20" s="477"/>
      <c r="H20" s="465"/>
      <c r="I20" s="477"/>
      <c r="J20" s="474"/>
      <c r="K20" s="474"/>
    </row>
    <row r="21" spans="1:11" x14ac:dyDescent="0.2">
      <c r="A21" s="440"/>
      <c r="B21" s="440"/>
      <c r="C21" s="440"/>
    </row>
    <row r="22" spans="1:11" ht="15" x14ac:dyDescent="0.2">
      <c r="K22" s="474"/>
    </row>
  </sheetData>
  <mergeCells count="2">
    <mergeCell ref="E5:G5"/>
    <mergeCell ref="I5:K5"/>
  </mergeCells>
  <printOptions horizontalCentered="1"/>
  <pageMargins left="0.75" right="0.75" top="1" bottom="1" header="0.5" footer="0.5"/>
  <pageSetup scale="94" orientation="landscape" blackAndWhite="1" r:id="rId1"/>
  <headerFooter alignWithMargins="0">
    <oddHeader>&amp;C&amp;"Arial,Bold"&amp;14PUGET ENERGY, INC.
CAPITALIZATION SUMMARY&amp;"Arial,Regular"&amp;10
&amp;12(Dollars in Thousands&amp;10)</oddHeader>
    <oddFooter>&amp;C3</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C1CA56742E2EA489F7DC438B003EF93" ma:contentTypeVersion="104" ma:contentTypeDescription="" ma:contentTypeScope="" ma:versionID="bf0fc3834e9d38440192c5c64f580a3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2016-04-29T07:00:00+00:00</OpenedDate>
    <Date1 xmlns="dc463f71-b30c-4ab2-9473-d307f9d35888">2016-04-29T07:00:00+00:00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160471</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D8CA354A-4CF1-460D-817D-3E51FF31F4CD}"/>
</file>

<file path=customXml/itemProps2.xml><?xml version="1.0" encoding="utf-8"?>
<ds:datastoreItem xmlns:ds="http://schemas.openxmlformats.org/officeDocument/2006/customXml" ds:itemID="{2AA594E0-C580-412E-B379-AF54195C3649}"/>
</file>

<file path=customXml/itemProps3.xml><?xml version="1.0" encoding="utf-8"?>
<ds:datastoreItem xmlns:ds="http://schemas.openxmlformats.org/officeDocument/2006/customXml" ds:itemID="{911C98CF-A675-4B6B-8CE5-EFD1A38C30E9}"/>
</file>

<file path=customXml/itemProps4.xml><?xml version="1.0" encoding="utf-8"?>
<ds:datastoreItem xmlns:ds="http://schemas.openxmlformats.org/officeDocument/2006/customXml" ds:itemID="{EF804A3F-F891-442B-B35D-7CB390BC93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GAAP BS</vt:lpstr>
      <vt:lpstr>GAAP BS PE</vt:lpstr>
      <vt:lpstr>BS-PSE &amp; PE</vt:lpstr>
      <vt:lpstr>Adj</vt:lpstr>
      <vt:lpstr>PWI</vt:lpstr>
      <vt:lpstr>PWI II</vt:lpstr>
      <vt:lpstr>SAP-PSE</vt:lpstr>
      <vt:lpstr>SAP-PE</vt:lpstr>
      <vt:lpstr>PE Cap Sum</vt:lpstr>
      <vt:lpstr>Approval History</vt:lpstr>
      <vt:lpstr>Compatibility Report</vt:lpstr>
      <vt:lpstr>Consolidation Adj</vt:lpstr>
      <vt:lpstr>FERC Adj</vt:lpstr>
      <vt:lpstr>Adj!Print_Area</vt:lpstr>
      <vt:lpstr>'BS-PSE &amp; PE'!Print_Area</vt:lpstr>
      <vt:lpstr>'GAAP BS'!Print_Area</vt:lpstr>
      <vt:lpstr>'GAAP BS PE'!Print_Area</vt:lpstr>
      <vt:lpstr>PWI!Print_Area</vt:lpstr>
      <vt:lpstr>'SAP-PE'!Print_Area</vt:lpstr>
      <vt:lpstr>'SAP-PSE'!Print_Area</vt:lpstr>
      <vt:lpstr>Adj!Print_Titles</vt:lpstr>
      <vt:lpstr>'BS-PSE &amp; PE'!Print_Titles</vt:lpstr>
      <vt:lpstr>PWI!Print_Titles</vt:lpstr>
      <vt:lpstr>'SAP-PE'!Print_Titles</vt:lpstr>
      <vt:lpstr>'SAP-PSE'!Print_Titles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 Boneva</dc:creator>
  <cp:lastModifiedBy>Puget Sound Energy</cp:lastModifiedBy>
  <cp:lastPrinted>2016-02-05T23:39:12Z</cp:lastPrinted>
  <dcterms:created xsi:type="dcterms:W3CDTF">2009-02-09T19:34:14Z</dcterms:created>
  <dcterms:modified xsi:type="dcterms:W3CDTF">2016-04-28T20:27:09Z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0x0101006E56B4D1795A2E4DB2F0B01679ED314A00FC1CA56742E2EA489F7DC438B003EF93</vt:lpwstr>
  </property>
  <property fmtid="{D5CDD505-2E9C-101B-9397-08002B2CF9AE}" pid="3" name="_docset_NoMedatataSyncRequired">
    <vt:lpwstr>False</vt:lpwstr>
  </property>
</Properties>
</file>