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 CASES\1706 Puget Sound\GAW Work\BIP Analysis\"/>
    </mc:Choice>
  </mc:AlternateContent>
  <bookViews>
    <workbookView xWindow="0" yWindow="0" windowWidth="15360" windowHeight="74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Sheet1!$A$10:$V$32</definedName>
    <definedName name="_xlnm.Print_Area" localSheetId="0">Sheet1!$A$1:$V$41</definedName>
    <definedName name="_xlnm.Print_Titles" localSheetId="0">Sheet1!$2:$9</definedName>
  </definedNames>
  <calcPr calcId="152511"/>
</workbook>
</file>

<file path=xl/calcChain.xml><?xml version="1.0" encoding="utf-8"?>
<calcChain xmlns="http://schemas.openxmlformats.org/spreadsheetml/2006/main">
  <c r="T31" i="1" l="1"/>
  <c r="T30" i="1"/>
  <c r="T28" i="1"/>
  <c r="T27" i="1"/>
  <c r="T26" i="1"/>
  <c r="S32" i="1" l="1"/>
  <c r="S31" i="1"/>
  <c r="S30" i="1"/>
  <c r="S28" i="1"/>
  <c r="S27" i="1"/>
  <c r="S26" i="1"/>
  <c r="S24" i="1"/>
  <c r="S23" i="1"/>
  <c r="S22" i="1"/>
  <c r="S21" i="1"/>
  <c r="S11" i="1"/>
  <c r="S10" i="1"/>
  <c r="I13" i="1"/>
  <c r="M13" i="1" s="1"/>
  <c r="T13" i="1" s="1"/>
  <c r="V13" i="1" s="1"/>
  <c r="Q13" i="1" l="1"/>
  <c r="S13" i="1" s="1"/>
  <c r="K32" i="1"/>
  <c r="T32" i="1" s="1"/>
  <c r="V24" i="1" l="1"/>
  <c r="V21" i="1"/>
  <c r="V30" i="1"/>
  <c r="V26" i="1"/>
  <c r="V27" i="1"/>
  <c r="V31" i="1"/>
  <c r="V28" i="1"/>
  <c r="V22" i="1"/>
  <c r="V32" i="1"/>
  <c r="M11" i="1"/>
  <c r="M24" i="1"/>
  <c r="M15" i="1"/>
  <c r="Q15" i="1" s="1"/>
  <c r="S15" i="1" s="1"/>
  <c r="M23" i="1"/>
  <c r="M19" i="1"/>
  <c r="Q19" i="1" s="1"/>
  <c r="S19" i="1" s="1"/>
  <c r="M21" i="1"/>
  <c r="M30" i="1"/>
  <c r="M26" i="1"/>
  <c r="M27" i="1"/>
  <c r="M31" i="1"/>
  <c r="M22" i="1"/>
  <c r="M32" i="1"/>
  <c r="M10" i="1"/>
  <c r="K19" i="1" l="1"/>
  <c r="K23" i="1"/>
  <c r="K11" i="1"/>
  <c r="K10" i="1"/>
  <c r="I17" i="1"/>
  <c r="M17" i="1" s="1"/>
  <c r="I18" i="1"/>
  <c r="M18" i="1" s="1"/>
  <c r="I16" i="1"/>
  <c r="M16" i="1" s="1"/>
  <c r="I28" i="1"/>
  <c r="M28" i="1" s="1"/>
  <c r="I14" i="1"/>
  <c r="M14" i="1" s="1"/>
  <c r="T16" i="1" l="1"/>
  <c r="V16" i="1" s="1"/>
  <c r="Q16" i="1"/>
  <c r="S16" i="1" s="1"/>
  <c r="T18" i="1"/>
  <c r="V18" i="1" s="1"/>
  <c r="Q18" i="1"/>
  <c r="S18" i="1" s="1"/>
  <c r="T14" i="1"/>
  <c r="V14" i="1" s="1"/>
  <c r="Q14" i="1"/>
  <c r="S14" i="1" s="1"/>
  <c r="T17" i="1"/>
  <c r="V17" i="1" s="1"/>
  <c r="Q17" i="1"/>
  <c r="S17" i="1" s="1"/>
  <c r="T15" i="1"/>
  <c r="V15" i="1" s="1"/>
  <c r="T11" i="1"/>
  <c r="T19" i="1"/>
  <c r="T10" i="1"/>
  <c r="V23" i="1"/>
  <c r="T35" i="1" l="1"/>
  <c r="V10" i="1"/>
  <c r="V19" i="1"/>
  <c r="V11" i="1"/>
  <c r="V35" i="1" l="1"/>
  <c r="T36" i="1" s="1"/>
  <c r="V36" i="1" s="1"/>
</calcChain>
</file>

<file path=xl/sharedStrings.xml><?xml version="1.0" encoding="utf-8"?>
<sst xmlns="http://schemas.openxmlformats.org/spreadsheetml/2006/main" count="94" uniqueCount="61">
  <si>
    <t>Generating Unit</t>
  </si>
  <si>
    <t>Fuel</t>
  </si>
  <si>
    <t>Total</t>
  </si>
  <si>
    <t>Energy</t>
  </si>
  <si>
    <t>Net Investment</t>
  </si>
  <si>
    <t>(1)</t>
  </si>
  <si>
    <t>(2)</t>
  </si>
  <si>
    <t>(3)</t>
  </si>
  <si>
    <t>(5)</t>
  </si>
  <si>
    <t>(6)</t>
  </si>
  <si>
    <t>(7)</t>
  </si>
  <si>
    <t>(8)</t>
  </si>
  <si>
    <t>Coal</t>
  </si>
  <si>
    <t>Gas</t>
  </si>
  <si>
    <t>Gas/Oil</t>
  </si>
  <si>
    <t>Hydro</t>
  </si>
  <si>
    <t>Demand</t>
  </si>
  <si>
    <t>Average</t>
  </si>
  <si>
    <t>PERCENT OF TOTAL</t>
  </si>
  <si>
    <t>Capacity</t>
  </si>
  <si>
    <t>Investment 1/</t>
  </si>
  <si>
    <t>Factor</t>
  </si>
  <si>
    <t>Designation</t>
  </si>
  <si>
    <t xml:space="preserve">(4) </t>
  </si>
  <si>
    <t>Fuel Cost</t>
  </si>
  <si>
    <t>Net</t>
  </si>
  <si>
    <t xml:space="preserve"> MWH</t>
  </si>
  <si>
    <t>Colstrip 1&amp;2</t>
  </si>
  <si>
    <t xml:space="preserve">Crystal Mountain </t>
  </si>
  <si>
    <t>Encogen</t>
  </si>
  <si>
    <t>Ferndale</t>
  </si>
  <si>
    <t>Freddy 1</t>
  </si>
  <si>
    <t>Fredonia 1&amp;2</t>
  </si>
  <si>
    <t>Fredonia 3&amp;4</t>
  </si>
  <si>
    <t>Fredickson 1&amp;2</t>
  </si>
  <si>
    <t>Goldendale</t>
  </si>
  <si>
    <t>Lower Baker 3&amp;4</t>
  </si>
  <si>
    <t>Lower Snake River</t>
  </si>
  <si>
    <t xml:space="preserve">Mint Farm </t>
  </si>
  <si>
    <t>Sumas</t>
  </si>
  <si>
    <t>Whitehorn</t>
  </si>
  <si>
    <t>Wild Horse</t>
  </si>
  <si>
    <t>Hopkins Ridge</t>
  </si>
  <si>
    <t xml:space="preserve">Per KwH 2/ </t>
  </si>
  <si>
    <t>Produced 1/</t>
  </si>
  <si>
    <t>1/ Per PSE response to PC DR-306.</t>
  </si>
  <si>
    <t>2/ Per PSE response to PC DR-308.</t>
  </si>
  <si>
    <t>Oil</t>
  </si>
  <si>
    <t>Wind</t>
  </si>
  <si>
    <t>Upper Baker 1&amp;2</t>
  </si>
  <si>
    <t xml:space="preserve">Base </t>
  </si>
  <si>
    <t xml:space="preserve">Peak </t>
  </si>
  <si>
    <t>Snoqualmie Plts 1&amp;2</t>
  </si>
  <si>
    <t>Intermediate</t>
  </si>
  <si>
    <t>TOTAL</t>
  </si>
  <si>
    <t>%</t>
  </si>
  <si>
    <t xml:space="preserve">% </t>
  </si>
  <si>
    <t>(MW) 1/</t>
  </si>
  <si>
    <t>PUGET SOUND ENERGY</t>
  </si>
  <si>
    <t>Colstrip 3&amp;4</t>
  </si>
  <si>
    <t>Base-Intermediate-Peak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</si>
</sst>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00"/>
    <numFmt numFmtId="165" formatCode="&quot;$&quot;#,##0"/>
    <numFmt numFmtId="166" formatCode="#,##0.0"/>
    <numFmt numFmtId="167" formatCode="&quot;$&quot;#,##0.0000;[Red]&quot;$&quot;#,##0.0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0" fontId="1" fillId="0" borderId="0" xfId="1" applyNumberFormat="1" applyFont="1"/>
    <xf numFmtId="37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167" fontId="1" fillId="0" borderId="0" xfId="0" applyNumberFormat="1" applyFont="1"/>
    <xf numFmtId="0" fontId="5" fillId="0" borderId="0" xfId="0" applyFont="1"/>
    <xf numFmtId="164" fontId="5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10" fontId="5" fillId="0" borderId="0" xfId="1" applyNumberFormat="1" applyFont="1"/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Alignment="1">
      <alignment horizontal="center"/>
    </xf>
    <xf numFmtId="9" fontId="5" fillId="0" borderId="0" xfId="0" applyNumberFormat="1" applyFont="1"/>
    <xf numFmtId="10" fontId="1" fillId="0" borderId="0" xfId="0" applyNumberFormat="1" applyFont="1"/>
    <xf numFmtId="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>
      <pane ySplit="8" topLeftCell="A26" activePane="bottomLeft" state="frozen"/>
      <selection pane="bottomLeft" activeCell="A41" sqref="A41"/>
    </sheetView>
  </sheetViews>
  <sheetFormatPr defaultColWidth="9.140625" defaultRowHeight="12" x14ac:dyDescent="0.2"/>
  <cols>
    <col min="1" max="1" width="14.42578125" style="1" bestFit="1" customWidth="1"/>
    <col min="2" max="2" width="1" style="1" customWidth="1"/>
    <col min="3" max="3" width="8.42578125" style="1" customWidth="1"/>
    <col min="4" max="4" width="0.85546875" style="1" customWidth="1"/>
    <col min="5" max="5" width="7.7109375" style="1" customWidth="1"/>
    <col min="6" max="6" width="1.7109375" style="1" customWidth="1"/>
    <col min="7" max="7" width="9.42578125" style="14" bestFit="1" customWidth="1"/>
    <col min="8" max="8" width="1" style="1" customWidth="1"/>
    <col min="9" max="9" width="8.5703125" style="6" bestFit="1" customWidth="1"/>
    <col min="10" max="10" width="1" style="1" customWidth="1"/>
    <col min="11" max="11" width="12.28515625" style="6" bestFit="1" customWidth="1"/>
    <col min="12" max="12" width="1.140625" style="1" customWidth="1"/>
    <col min="13" max="13" width="10.85546875" style="1" bestFit="1" customWidth="1"/>
    <col min="14" max="14" width="2.140625" style="1" customWidth="1"/>
    <col min="15" max="15" width="9" style="1" customWidth="1"/>
    <col min="16" max="16" width="1" style="1" customWidth="1"/>
    <col min="17" max="17" width="8" style="28" customWidth="1"/>
    <col min="18" max="18" width="2.140625" style="28" customWidth="1"/>
    <col min="19" max="19" width="8" style="28" customWidth="1"/>
    <col min="20" max="20" width="11.7109375" style="6" bestFit="1" customWidth="1"/>
    <col min="21" max="21" width="1.28515625" style="1" customWidth="1"/>
    <col min="22" max="22" width="10.42578125" style="6" bestFit="1" customWidth="1"/>
    <col min="23" max="23" width="9.140625" style="1"/>
    <col min="24" max="26" width="10.85546875" style="1" bestFit="1" customWidth="1"/>
    <col min="27" max="16384" width="9.140625" style="1"/>
  </cols>
  <sheetData>
    <row r="1" spans="1:22" x14ac:dyDescent="0.2">
      <c r="V1" s="10"/>
    </row>
    <row r="2" spans="1:22" ht="15.75" x14ac:dyDescent="0.25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.75" x14ac:dyDescent="0.25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x14ac:dyDescent="0.2">
      <c r="A4" s="2"/>
      <c r="B4" s="2"/>
      <c r="C4" s="2"/>
      <c r="D4" s="2"/>
      <c r="E4" s="2"/>
      <c r="F4" s="2"/>
      <c r="G4" s="11"/>
      <c r="H4" s="2"/>
      <c r="I4" s="3"/>
      <c r="J4" s="2"/>
      <c r="K4" s="3"/>
      <c r="L4" s="2"/>
      <c r="M4" s="2"/>
      <c r="N4" s="2"/>
      <c r="O4" s="2"/>
      <c r="P4" s="2"/>
      <c r="Q4" s="29"/>
      <c r="R4" s="29"/>
      <c r="S4" s="29"/>
      <c r="T4" s="3"/>
      <c r="U4" s="2"/>
      <c r="V4" s="3"/>
    </row>
    <row r="5" spans="1:22" x14ac:dyDescent="0.2">
      <c r="A5" s="4" t="s">
        <v>5</v>
      </c>
      <c r="B5" s="4"/>
      <c r="C5" s="4" t="s">
        <v>6</v>
      </c>
      <c r="D5" s="4"/>
      <c r="E5" s="4" t="s">
        <v>7</v>
      </c>
      <c r="F5" s="4"/>
      <c r="G5" s="4" t="s">
        <v>23</v>
      </c>
      <c r="H5" s="4"/>
      <c r="I5" s="4" t="s">
        <v>8</v>
      </c>
      <c r="J5" s="4"/>
      <c r="K5" s="4" t="s">
        <v>9</v>
      </c>
      <c r="L5" s="4"/>
      <c r="M5" s="4" t="s">
        <v>10</v>
      </c>
      <c r="N5" s="4"/>
      <c r="O5" s="4" t="s">
        <v>11</v>
      </c>
      <c r="P5" s="4"/>
      <c r="Q5" s="16">
        <v>-9</v>
      </c>
      <c r="R5" s="30"/>
      <c r="S5" s="16">
        <v>-10</v>
      </c>
      <c r="T5" s="16">
        <v>-11</v>
      </c>
      <c r="U5" s="4"/>
      <c r="V5" s="16">
        <v>-12</v>
      </c>
    </row>
    <row r="6" spans="1:22" x14ac:dyDescent="0.2">
      <c r="E6" s="7"/>
      <c r="G6" s="12" t="s">
        <v>17</v>
      </c>
      <c r="I6" s="5" t="s">
        <v>25</v>
      </c>
      <c r="K6" s="5" t="s">
        <v>2</v>
      </c>
    </row>
    <row r="7" spans="1:22" x14ac:dyDescent="0.2">
      <c r="E7" s="7" t="s">
        <v>19</v>
      </c>
      <c r="G7" s="12" t="s">
        <v>24</v>
      </c>
      <c r="I7" s="5" t="s">
        <v>26</v>
      </c>
      <c r="K7" s="5" t="s">
        <v>25</v>
      </c>
      <c r="M7" s="7" t="s">
        <v>19</v>
      </c>
      <c r="N7" s="7"/>
      <c r="Q7" s="30" t="s">
        <v>55</v>
      </c>
      <c r="R7" s="30"/>
      <c r="S7" s="30" t="s">
        <v>56</v>
      </c>
      <c r="T7" s="35" t="s">
        <v>4</v>
      </c>
      <c r="U7" s="35"/>
      <c r="V7" s="35"/>
    </row>
    <row r="8" spans="1:22" x14ac:dyDescent="0.2">
      <c r="A8" s="8" t="s">
        <v>0</v>
      </c>
      <c r="B8" s="2"/>
      <c r="C8" s="8" t="s">
        <v>1</v>
      </c>
      <c r="D8" s="2"/>
      <c r="E8" s="20" t="s">
        <v>57</v>
      </c>
      <c r="F8" s="2"/>
      <c r="G8" s="13" t="s">
        <v>43</v>
      </c>
      <c r="H8" s="2"/>
      <c r="I8" s="9" t="s">
        <v>44</v>
      </c>
      <c r="J8" s="2"/>
      <c r="K8" s="9" t="s">
        <v>20</v>
      </c>
      <c r="L8" s="2"/>
      <c r="M8" s="7" t="s">
        <v>21</v>
      </c>
      <c r="N8" s="7"/>
      <c r="O8" s="19" t="s">
        <v>22</v>
      </c>
      <c r="P8" s="2"/>
      <c r="Q8" s="33" t="s">
        <v>3</v>
      </c>
      <c r="R8" s="33"/>
      <c r="S8" s="33" t="s">
        <v>16</v>
      </c>
      <c r="T8" s="9" t="s">
        <v>3</v>
      </c>
      <c r="U8" s="8"/>
      <c r="V8" s="9" t="s">
        <v>16</v>
      </c>
    </row>
    <row r="10" spans="1:22" x14ac:dyDescent="0.2">
      <c r="A10" s="1" t="s">
        <v>27</v>
      </c>
      <c r="C10" s="1" t="s">
        <v>12</v>
      </c>
      <c r="E10" s="1">
        <v>378</v>
      </c>
      <c r="G10" s="14">
        <v>1.95E-2</v>
      </c>
      <c r="I10" s="6">
        <v>1958039</v>
      </c>
      <c r="K10" s="17">
        <f>480287694.56/2</f>
        <v>240143847.28</v>
      </c>
      <c r="L10" s="17"/>
      <c r="M10" s="15">
        <f>+I10/(E10*8784)</f>
        <v>0.5897082598471487</v>
      </c>
      <c r="N10" s="15"/>
      <c r="O10" s="1" t="s">
        <v>50</v>
      </c>
      <c r="P10" s="6"/>
      <c r="Q10" s="32">
        <v>1</v>
      </c>
      <c r="S10" s="32">
        <f>1-Q10</f>
        <v>0</v>
      </c>
      <c r="T10" s="17">
        <f>K10</f>
        <v>240143847.28</v>
      </c>
      <c r="U10" s="17"/>
      <c r="V10" s="17">
        <f>K10-T10</f>
        <v>0</v>
      </c>
    </row>
    <row r="11" spans="1:22" x14ac:dyDescent="0.2">
      <c r="A11" s="1" t="s">
        <v>59</v>
      </c>
      <c r="C11" s="1" t="s">
        <v>12</v>
      </c>
      <c r="E11" s="1">
        <v>434</v>
      </c>
      <c r="G11" s="14">
        <v>1.5699999999999999E-2</v>
      </c>
      <c r="I11" s="6">
        <v>2571140</v>
      </c>
      <c r="K11" s="17">
        <f>480287694.56/2</f>
        <v>240143847.28</v>
      </c>
      <c r="L11" s="17"/>
      <c r="M11" s="15">
        <f>+I11/(E11*8784)</f>
        <v>0.67444054124381991</v>
      </c>
      <c r="N11" s="15"/>
      <c r="O11" s="1" t="s">
        <v>50</v>
      </c>
      <c r="P11" s="6"/>
      <c r="Q11" s="32">
        <v>1</v>
      </c>
      <c r="S11" s="32">
        <f>1-Q11</f>
        <v>0</v>
      </c>
      <c r="T11" s="17">
        <f>K11</f>
        <v>240143847.28</v>
      </c>
      <c r="U11" s="17"/>
      <c r="V11" s="17">
        <f>K11-T11</f>
        <v>0</v>
      </c>
    </row>
    <row r="12" spans="1:22" x14ac:dyDescent="0.2">
      <c r="K12" s="17"/>
      <c r="L12" s="17"/>
      <c r="M12" s="15"/>
      <c r="N12" s="15"/>
      <c r="P12" s="6"/>
      <c r="T12" s="17"/>
      <c r="U12" s="17"/>
      <c r="V12" s="17"/>
    </row>
    <row r="13" spans="1:22" s="23" customFormat="1" x14ac:dyDescent="0.2">
      <c r="A13" s="23" t="s">
        <v>35</v>
      </c>
      <c r="C13" s="23" t="s">
        <v>13</v>
      </c>
      <c r="E13" s="23">
        <v>315</v>
      </c>
      <c r="G13" s="24">
        <v>2.6700000000000002E-2</v>
      </c>
      <c r="I13" s="25">
        <f>646659+357388</f>
        <v>1004047</v>
      </c>
      <c r="K13" s="26">
        <v>129086392.36</v>
      </c>
      <c r="L13" s="26"/>
      <c r="M13" s="27">
        <f>+I13/(E13*8784)</f>
        <v>0.36287008124439818</v>
      </c>
      <c r="N13" s="27"/>
      <c r="O13" s="23" t="s">
        <v>53</v>
      </c>
      <c r="P13" s="25"/>
      <c r="Q13" s="32">
        <f>M13</f>
        <v>0.36287008124439818</v>
      </c>
      <c r="R13" s="31"/>
      <c r="S13" s="32">
        <f t="shared" ref="S13:S32" si="0">1-Q13</f>
        <v>0.63712991875560188</v>
      </c>
      <c r="T13" s="26">
        <f>+M13*K13</f>
        <v>46841589.683219463</v>
      </c>
      <c r="U13" s="26"/>
      <c r="V13" s="26">
        <f t="shared" ref="V13:V19" si="1">K13-T13</f>
        <v>82244802.676780537</v>
      </c>
    </row>
    <row r="14" spans="1:22" s="23" customFormat="1" x14ac:dyDescent="0.2">
      <c r="A14" s="23" t="s">
        <v>38</v>
      </c>
      <c r="C14" s="23" t="s">
        <v>13</v>
      </c>
      <c r="E14" s="23">
        <v>319</v>
      </c>
      <c r="G14" s="24">
        <v>2.7199999999999998E-2</v>
      </c>
      <c r="I14" s="25">
        <f>663851+394096</f>
        <v>1057947</v>
      </c>
      <c r="K14" s="26">
        <v>85636236.799999997</v>
      </c>
      <c r="L14" s="26"/>
      <c r="M14" s="27">
        <f>+I14/(E14*8784)</f>
        <v>0.37755558696061803</v>
      </c>
      <c r="N14" s="27"/>
      <c r="O14" s="23" t="s">
        <v>53</v>
      </c>
      <c r="P14" s="25"/>
      <c r="Q14" s="32">
        <f t="shared" ref="Q14:Q19" si="2">M14</f>
        <v>0.37755558696061803</v>
      </c>
      <c r="R14" s="31"/>
      <c r="S14" s="32">
        <f t="shared" si="0"/>
        <v>0.62244441303938203</v>
      </c>
      <c r="T14" s="26">
        <f>+M14*K14</f>
        <v>32332439.650122475</v>
      </c>
      <c r="U14" s="26"/>
      <c r="V14" s="26">
        <f t="shared" si="1"/>
        <v>53303797.149877518</v>
      </c>
    </row>
    <row r="15" spans="1:22" x14ac:dyDescent="0.2">
      <c r="A15" s="1" t="s">
        <v>31</v>
      </c>
      <c r="C15" s="1" t="s">
        <v>13</v>
      </c>
      <c r="E15" s="1">
        <v>137</v>
      </c>
      <c r="G15" s="14">
        <v>2.3099999999999999E-2</v>
      </c>
      <c r="I15" s="6">
        <v>417525</v>
      </c>
      <c r="K15" s="17">
        <v>51175054.539999999</v>
      </c>
      <c r="L15" s="17"/>
      <c r="M15" s="15">
        <f>+I15/(E15*8784)</f>
        <v>0.34695215587730843</v>
      </c>
      <c r="N15" s="15"/>
      <c r="O15" s="1" t="s">
        <v>53</v>
      </c>
      <c r="P15" s="6"/>
      <c r="Q15" s="32">
        <f t="shared" si="2"/>
        <v>0.34695215587730843</v>
      </c>
      <c r="S15" s="32">
        <f t="shared" si="0"/>
        <v>0.65304784412269157</v>
      </c>
      <c r="T15" s="17">
        <f>M15*K15</f>
        <v>17755295.499791842</v>
      </c>
      <c r="U15" s="17"/>
      <c r="V15" s="17">
        <f t="shared" si="1"/>
        <v>33419759.040208157</v>
      </c>
    </row>
    <row r="16" spans="1:22" x14ac:dyDescent="0.2">
      <c r="A16" s="1" t="s">
        <v>39</v>
      </c>
      <c r="C16" s="1" t="s">
        <v>13</v>
      </c>
      <c r="E16" s="1">
        <v>145</v>
      </c>
      <c r="G16" s="14">
        <v>3.0099999999999998E-2</v>
      </c>
      <c r="I16" s="6">
        <f>276561+118435</f>
        <v>394996</v>
      </c>
      <c r="K16" s="17">
        <v>16704780.25</v>
      </c>
      <c r="L16" s="17"/>
      <c r="M16" s="15">
        <f>+I16/(E16*8784)</f>
        <v>0.31012185164248479</v>
      </c>
      <c r="N16" s="15"/>
      <c r="O16" s="1" t="s">
        <v>53</v>
      </c>
      <c r="P16" s="6"/>
      <c r="Q16" s="32">
        <f t="shared" si="2"/>
        <v>0.31012185164248479</v>
      </c>
      <c r="S16" s="32">
        <f t="shared" si="0"/>
        <v>0.68987814835751515</v>
      </c>
      <c r="T16" s="17">
        <f>K16*M16</f>
        <v>5180517.3824108103</v>
      </c>
      <c r="U16" s="17"/>
      <c r="V16" s="17">
        <f t="shared" si="1"/>
        <v>11524262.867589191</v>
      </c>
    </row>
    <row r="17" spans="1:22" x14ac:dyDescent="0.2">
      <c r="A17" s="1" t="s">
        <v>30</v>
      </c>
      <c r="C17" s="1" t="s">
        <v>14</v>
      </c>
      <c r="E17" s="1">
        <v>280</v>
      </c>
      <c r="G17" s="14">
        <v>3.2199999999999999E-2</v>
      </c>
      <c r="I17" s="6">
        <f>493976+247161</f>
        <v>741137</v>
      </c>
      <c r="K17" s="17">
        <v>43529537.450000003</v>
      </c>
      <c r="L17" s="17"/>
      <c r="M17" s="15">
        <f>+I17/(E17*8784)</f>
        <v>0.30133400013010669</v>
      </c>
      <c r="N17" s="15"/>
      <c r="O17" s="1" t="s">
        <v>53</v>
      </c>
      <c r="P17" s="6"/>
      <c r="Q17" s="32">
        <f t="shared" si="2"/>
        <v>0.30133400013010669</v>
      </c>
      <c r="S17" s="32">
        <f t="shared" si="0"/>
        <v>0.69866599986989331</v>
      </c>
      <c r="T17" s="17">
        <f>M17*K17</f>
        <v>13116929.643621786</v>
      </c>
      <c r="U17" s="17"/>
      <c r="V17" s="17">
        <f t="shared" si="1"/>
        <v>30412607.806378216</v>
      </c>
    </row>
    <row r="18" spans="1:22" x14ac:dyDescent="0.2">
      <c r="A18" s="1" t="s">
        <v>29</v>
      </c>
      <c r="C18" s="1" t="s">
        <v>14</v>
      </c>
      <c r="E18" s="1">
        <v>170</v>
      </c>
      <c r="G18" s="14">
        <v>3.1199999999999999E-2</v>
      </c>
      <c r="I18" s="6">
        <f>141810+70580</f>
        <v>212390</v>
      </c>
      <c r="K18" s="17">
        <v>37425755.670000002</v>
      </c>
      <c r="L18" s="17"/>
      <c r="M18" s="15">
        <f>+I18/(E18*8784)</f>
        <v>0.1422305260902175</v>
      </c>
      <c r="N18" s="15"/>
      <c r="O18" s="1" t="s">
        <v>53</v>
      </c>
      <c r="P18" s="6"/>
      <c r="Q18" s="32">
        <f t="shared" si="2"/>
        <v>0.1422305260902175</v>
      </c>
      <c r="S18" s="32">
        <f t="shared" si="0"/>
        <v>0.85776947390978253</v>
      </c>
      <c r="T18" s="17">
        <f>M18*K18</f>
        <v>5323084.9182680408</v>
      </c>
      <c r="U18" s="17"/>
      <c r="V18" s="17">
        <f t="shared" si="1"/>
        <v>32102670.751731962</v>
      </c>
    </row>
    <row r="19" spans="1:22" x14ac:dyDescent="0.2">
      <c r="A19" s="1" t="s">
        <v>33</v>
      </c>
      <c r="C19" s="1" t="s">
        <v>14</v>
      </c>
      <c r="E19" s="1">
        <v>116</v>
      </c>
      <c r="G19" s="14">
        <v>4.0500000000000001E-2</v>
      </c>
      <c r="I19" s="6">
        <v>136853</v>
      </c>
      <c r="K19" s="17">
        <f>39553292.15/2</f>
        <v>19776646.074999999</v>
      </c>
      <c r="L19" s="17"/>
      <c r="M19" s="15">
        <f>+I19/(E19*8784)</f>
        <v>0.13430865680547704</v>
      </c>
      <c r="N19" s="15"/>
      <c r="O19" s="1" t="s">
        <v>53</v>
      </c>
      <c r="P19" s="6"/>
      <c r="Q19" s="32">
        <f t="shared" si="2"/>
        <v>0.13430865680547704</v>
      </c>
      <c r="S19" s="32">
        <f t="shared" si="0"/>
        <v>0.86569134319452301</v>
      </c>
      <c r="T19" s="17">
        <f>M19*K19</f>
        <v>2656174.7704505594</v>
      </c>
      <c r="U19" s="17"/>
      <c r="V19" s="17">
        <f t="shared" si="1"/>
        <v>17120471.304549441</v>
      </c>
    </row>
    <row r="20" spans="1:22" x14ac:dyDescent="0.2">
      <c r="K20" s="17"/>
      <c r="L20" s="17"/>
      <c r="M20" s="15"/>
      <c r="N20" s="15"/>
      <c r="P20" s="6"/>
      <c r="T20" s="17"/>
      <c r="U20" s="17"/>
      <c r="V20" s="17"/>
    </row>
    <row r="21" spans="1:22" x14ac:dyDescent="0.2">
      <c r="A21" s="1" t="s">
        <v>34</v>
      </c>
      <c r="C21" s="1" t="s">
        <v>14</v>
      </c>
      <c r="E21" s="1">
        <v>176</v>
      </c>
      <c r="G21" s="14">
        <v>0.1056</v>
      </c>
      <c r="I21" s="6">
        <v>19942</v>
      </c>
      <c r="K21" s="17">
        <v>7944385.5800000001</v>
      </c>
      <c r="L21" s="17"/>
      <c r="M21" s="15">
        <f>+I21/(E21*8784)</f>
        <v>1.2899227935088591E-2</v>
      </c>
      <c r="N21" s="15"/>
      <c r="O21" s="1" t="s">
        <v>51</v>
      </c>
      <c r="P21" s="6"/>
      <c r="Q21" s="32">
        <v>0</v>
      </c>
      <c r="S21" s="32">
        <f t="shared" si="0"/>
        <v>1</v>
      </c>
      <c r="T21" s="17">
        <v>0</v>
      </c>
      <c r="U21" s="17"/>
      <c r="V21" s="17">
        <f>K21-T21</f>
        <v>7944385.5800000001</v>
      </c>
    </row>
    <row r="22" spans="1:22" x14ac:dyDescent="0.2">
      <c r="A22" s="1" t="s">
        <v>40</v>
      </c>
      <c r="C22" s="1" t="s">
        <v>14</v>
      </c>
      <c r="E22" s="1">
        <v>168</v>
      </c>
      <c r="G22" s="14">
        <v>9.0499999999999997E-2</v>
      </c>
      <c r="I22" s="6">
        <v>33783</v>
      </c>
      <c r="K22" s="17">
        <v>3943923.72</v>
      </c>
      <c r="L22" s="17"/>
      <c r="M22" s="15">
        <f>+I22/(E22*8784)</f>
        <v>2.2892678246161854E-2</v>
      </c>
      <c r="N22" s="15"/>
      <c r="O22" s="1" t="s">
        <v>51</v>
      </c>
      <c r="P22" s="6"/>
      <c r="Q22" s="32">
        <v>0</v>
      </c>
      <c r="S22" s="32">
        <f t="shared" si="0"/>
        <v>1</v>
      </c>
      <c r="T22" s="17">
        <v>0</v>
      </c>
      <c r="U22" s="17"/>
      <c r="V22" s="17">
        <f>K22-T22</f>
        <v>3943923.72</v>
      </c>
    </row>
    <row r="23" spans="1:22" x14ac:dyDescent="0.2">
      <c r="A23" s="1" t="s">
        <v>32</v>
      </c>
      <c r="C23" s="1" t="s">
        <v>14</v>
      </c>
      <c r="E23" s="1">
        <v>258</v>
      </c>
      <c r="G23" s="14">
        <v>5.8099999999999999E-2</v>
      </c>
      <c r="I23" s="21">
        <v>108950.5</v>
      </c>
      <c r="K23" s="17">
        <f>39553292.15/2</f>
        <v>19776646.074999999</v>
      </c>
      <c r="L23" s="17"/>
      <c r="M23" s="15">
        <f>+I23/(E23*8784)</f>
        <v>4.8074767724262578E-2</v>
      </c>
      <c r="N23" s="15"/>
      <c r="O23" s="1" t="s">
        <v>51</v>
      </c>
      <c r="P23" s="6"/>
      <c r="Q23" s="32">
        <v>0</v>
      </c>
      <c r="S23" s="32">
        <f t="shared" si="0"/>
        <v>1</v>
      </c>
      <c r="T23" s="17">
        <v>0</v>
      </c>
      <c r="U23" s="17"/>
      <c r="V23" s="17">
        <f>K23-T23</f>
        <v>19776646.074999999</v>
      </c>
    </row>
    <row r="24" spans="1:22" x14ac:dyDescent="0.2">
      <c r="A24" s="1" t="s">
        <v>28</v>
      </c>
      <c r="C24" s="1" t="s">
        <v>47</v>
      </c>
      <c r="E24" s="1">
        <v>3</v>
      </c>
      <c r="G24" s="14">
        <v>0.2011</v>
      </c>
      <c r="I24" s="6">
        <v>196</v>
      </c>
      <c r="K24" s="17">
        <v>1691289.8</v>
      </c>
      <c r="L24" s="17"/>
      <c r="M24" s="15">
        <f>+I24/(E24*8784)</f>
        <v>7.4377656344869463E-3</v>
      </c>
      <c r="N24" s="15"/>
      <c r="O24" s="1" t="s">
        <v>51</v>
      </c>
      <c r="P24" s="6"/>
      <c r="Q24" s="32">
        <v>0</v>
      </c>
      <c r="S24" s="32">
        <f t="shared" si="0"/>
        <v>1</v>
      </c>
      <c r="T24" s="17">
        <v>0</v>
      </c>
      <c r="U24" s="17"/>
      <c r="V24" s="17">
        <f>K24-T24</f>
        <v>1691289.8</v>
      </c>
    </row>
    <row r="25" spans="1:22" x14ac:dyDescent="0.2">
      <c r="K25" s="17"/>
      <c r="L25" s="17"/>
      <c r="M25" s="15"/>
      <c r="N25" s="15"/>
      <c r="P25" s="6"/>
      <c r="T25" s="17"/>
      <c r="U25" s="17"/>
      <c r="V25" s="17"/>
    </row>
    <row r="26" spans="1:22" x14ac:dyDescent="0.2">
      <c r="A26" s="1" t="s">
        <v>36</v>
      </c>
      <c r="C26" s="1" t="s">
        <v>15</v>
      </c>
      <c r="E26" s="1">
        <v>115</v>
      </c>
      <c r="G26" s="22">
        <v>0</v>
      </c>
      <c r="I26" s="6">
        <v>358833</v>
      </c>
      <c r="K26" s="17">
        <v>178997959.22</v>
      </c>
      <c r="L26" s="17"/>
      <c r="M26" s="15">
        <f>+I26/(E26*8784)</f>
        <v>0.35522392492278448</v>
      </c>
      <c r="N26" s="15"/>
      <c r="O26" s="1" t="s">
        <v>15</v>
      </c>
      <c r="P26" s="6"/>
      <c r="Q26" s="32">
        <v>0.52</v>
      </c>
      <c r="S26" s="32">
        <f t="shared" si="0"/>
        <v>0.48</v>
      </c>
      <c r="T26" s="17">
        <f>K26*0.52</f>
        <v>93078938.794400007</v>
      </c>
      <c r="U26" s="17"/>
      <c r="V26" s="17">
        <f>K26-T26</f>
        <v>85919020.425599992</v>
      </c>
    </row>
    <row r="27" spans="1:22" x14ac:dyDescent="0.2">
      <c r="A27" s="1" t="s">
        <v>49</v>
      </c>
      <c r="C27" s="1" t="s">
        <v>15</v>
      </c>
      <c r="E27" s="1">
        <v>104</v>
      </c>
      <c r="G27" s="22">
        <v>0</v>
      </c>
      <c r="I27" s="6">
        <v>369105</v>
      </c>
      <c r="K27" s="17">
        <v>79962971.569999993</v>
      </c>
      <c r="L27" s="17"/>
      <c r="M27" s="15">
        <f>+I27/(E27*8784)</f>
        <v>0.40403990647330812</v>
      </c>
      <c r="N27" s="15"/>
      <c r="O27" s="1" t="s">
        <v>15</v>
      </c>
      <c r="P27" s="6"/>
      <c r="Q27" s="32">
        <v>0.52</v>
      </c>
      <c r="S27" s="32">
        <f t="shared" si="0"/>
        <v>0.48</v>
      </c>
      <c r="T27" s="17">
        <f>K27*0.52</f>
        <v>41580745.216399997</v>
      </c>
      <c r="U27" s="17"/>
      <c r="V27" s="17">
        <f>K27-T27</f>
        <v>38382226.353599995</v>
      </c>
    </row>
    <row r="28" spans="1:22" x14ac:dyDescent="0.2">
      <c r="A28" s="1" t="s">
        <v>52</v>
      </c>
      <c r="C28" s="1" t="s">
        <v>15</v>
      </c>
      <c r="E28" s="1">
        <v>54</v>
      </c>
      <c r="G28" s="14">
        <v>0</v>
      </c>
      <c r="I28" s="6">
        <f>53051+152538</f>
        <v>205589</v>
      </c>
      <c r="K28" s="17">
        <v>299800204.54000002</v>
      </c>
      <c r="L28" s="17"/>
      <c r="M28" s="15">
        <f>+I28/(E28*8784)</f>
        <v>0.43342482965661472</v>
      </c>
      <c r="N28" s="15"/>
      <c r="O28" s="1" t="s">
        <v>15</v>
      </c>
      <c r="P28" s="6"/>
      <c r="Q28" s="32">
        <v>0.52</v>
      </c>
      <c r="S28" s="32">
        <f t="shared" si="0"/>
        <v>0.48</v>
      </c>
      <c r="T28" s="17">
        <f>K28*0.52</f>
        <v>155896106.36080003</v>
      </c>
      <c r="U28" s="17"/>
      <c r="V28" s="17">
        <f>K28-T28</f>
        <v>143904098.17919999</v>
      </c>
    </row>
    <row r="29" spans="1:22" x14ac:dyDescent="0.2">
      <c r="K29" s="17"/>
      <c r="L29" s="17"/>
      <c r="M29" s="15"/>
      <c r="N29" s="15"/>
      <c r="P29" s="6"/>
      <c r="T29" s="17"/>
      <c r="U29" s="17"/>
      <c r="V29" s="17"/>
    </row>
    <row r="30" spans="1:22" x14ac:dyDescent="0.2">
      <c r="A30" s="1" t="s">
        <v>42</v>
      </c>
      <c r="C30" s="1" t="s">
        <v>48</v>
      </c>
      <c r="E30" s="1">
        <v>157</v>
      </c>
      <c r="G30" s="22">
        <v>0</v>
      </c>
      <c r="I30" s="6">
        <v>415069</v>
      </c>
      <c r="K30" s="17">
        <v>112486443.40000001</v>
      </c>
      <c r="L30" s="17"/>
      <c r="M30" s="15">
        <f>+I30/(E30*8784)</f>
        <v>0.3009735419349599</v>
      </c>
      <c r="N30" s="15"/>
      <c r="O30" s="1" t="s">
        <v>48</v>
      </c>
      <c r="P30" s="6"/>
      <c r="Q30" s="32">
        <v>0.94</v>
      </c>
      <c r="S30" s="32">
        <f t="shared" si="0"/>
        <v>6.0000000000000053E-2</v>
      </c>
      <c r="T30" s="17">
        <f>K30*0.94</f>
        <v>105737256.796</v>
      </c>
      <c r="U30" s="17"/>
      <c r="V30" s="17">
        <f>K30-T30</f>
        <v>6749186.6040000021</v>
      </c>
    </row>
    <row r="31" spans="1:22" x14ac:dyDescent="0.2">
      <c r="A31" s="1" t="s">
        <v>37</v>
      </c>
      <c r="C31" s="1" t="s">
        <v>48</v>
      </c>
      <c r="E31" s="1">
        <v>343</v>
      </c>
      <c r="G31" s="22">
        <v>0</v>
      </c>
      <c r="I31" s="6">
        <v>865024</v>
      </c>
      <c r="K31" s="17">
        <v>565159319.47000003</v>
      </c>
      <c r="L31" s="17"/>
      <c r="M31" s="15">
        <f>+I31/(E31*8784)</f>
        <v>0.28710563069880568</v>
      </c>
      <c r="N31" s="15"/>
      <c r="O31" s="1" t="s">
        <v>48</v>
      </c>
      <c r="P31" s="6"/>
      <c r="Q31" s="32">
        <v>0.94</v>
      </c>
      <c r="S31" s="32">
        <f t="shared" si="0"/>
        <v>6.0000000000000053E-2</v>
      </c>
      <c r="T31" s="17">
        <f>K31*0.94</f>
        <v>531249760.30180001</v>
      </c>
      <c r="U31" s="17"/>
      <c r="V31" s="17">
        <f>K31-T31</f>
        <v>33909559.168200016</v>
      </c>
    </row>
    <row r="32" spans="1:22" x14ac:dyDescent="0.2">
      <c r="A32" s="1" t="s">
        <v>41</v>
      </c>
      <c r="C32" s="1" t="s">
        <v>48</v>
      </c>
      <c r="E32" s="1">
        <v>273</v>
      </c>
      <c r="G32" s="14">
        <v>0</v>
      </c>
      <c r="I32" s="6">
        <v>672200</v>
      </c>
      <c r="K32" s="17">
        <f>2557187+238488279.56+56566384.01-2557187</f>
        <v>295054663.56999999</v>
      </c>
      <c r="L32" s="17"/>
      <c r="M32" s="15">
        <f>+I32/(E32*8784)</f>
        <v>0.28031319014925571</v>
      </c>
      <c r="N32" s="15"/>
      <c r="O32" s="1" t="s">
        <v>48</v>
      </c>
      <c r="P32" s="6"/>
      <c r="Q32" s="32">
        <v>0.94</v>
      </c>
      <c r="S32" s="32">
        <f t="shared" si="0"/>
        <v>6.0000000000000053E-2</v>
      </c>
      <c r="T32" s="17">
        <f>K32*0.94</f>
        <v>277351383.75579995</v>
      </c>
      <c r="U32" s="17"/>
      <c r="V32" s="17">
        <f>K32-T32</f>
        <v>17703279.814200044</v>
      </c>
    </row>
    <row r="33" spans="1:24" x14ac:dyDescent="0.2">
      <c r="M33" s="6"/>
      <c r="N33" s="6"/>
      <c r="P33" s="6"/>
      <c r="T33" s="18"/>
      <c r="U33" s="17"/>
      <c r="V33" s="18"/>
    </row>
    <row r="34" spans="1:24" x14ac:dyDescent="0.2">
      <c r="M34" s="6"/>
      <c r="N34" s="6"/>
      <c r="P34" s="6"/>
      <c r="T34" s="17"/>
      <c r="U34" s="17"/>
      <c r="V34" s="17"/>
    </row>
    <row r="35" spans="1:24" x14ac:dyDescent="0.2">
      <c r="M35" s="10" t="s">
        <v>54</v>
      </c>
      <c r="N35" s="10"/>
      <c r="P35" s="6"/>
      <c r="T35" s="17">
        <f>SUM(T10:T32)</f>
        <v>1808387917.3330853</v>
      </c>
      <c r="U35" s="17"/>
      <c r="V35" s="17">
        <f>SUM(V10:V32)</f>
        <v>620051987.31691504</v>
      </c>
      <c r="X35" s="6"/>
    </row>
    <row r="36" spans="1:24" x14ac:dyDescent="0.2">
      <c r="M36" s="10" t="s">
        <v>18</v>
      </c>
      <c r="N36" s="10"/>
      <c r="P36" s="6"/>
      <c r="T36" s="15">
        <f>T35/(T35+V35)</f>
        <v>0.74467064796224369</v>
      </c>
      <c r="U36" s="6"/>
      <c r="V36" s="15">
        <f>1-T36</f>
        <v>0.25532935203775631</v>
      </c>
    </row>
    <row r="37" spans="1:24" x14ac:dyDescent="0.2">
      <c r="A37" s="2"/>
      <c r="B37" s="2"/>
      <c r="C37" s="2"/>
      <c r="D37" s="2"/>
      <c r="E37" s="2"/>
      <c r="F37" s="2"/>
      <c r="G37" s="11"/>
      <c r="H37" s="2"/>
      <c r="I37" s="3"/>
      <c r="J37" s="2"/>
      <c r="K37" s="3"/>
      <c r="L37" s="2"/>
      <c r="M37" s="2"/>
      <c r="N37" s="2"/>
      <c r="O37" s="2"/>
      <c r="P37" s="2"/>
      <c r="Q37" s="29"/>
      <c r="R37" s="29"/>
      <c r="S37" s="29"/>
      <c r="T37" s="3"/>
      <c r="U37" s="2"/>
      <c r="V37" s="3"/>
    </row>
    <row r="39" spans="1:24" x14ac:dyDescent="0.2">
      <c r="A39" s="1" t="s">
        <v>45</v>
      </c>
    </row>
    <row r="40" spans="1:24" x14ac:dyDescent="0.2">
      <c r="A40" s="1" t="s">
        <v>46</v>
      </c>
    </row>
  </sheetData>
  <sortState ref="A9:U27">
    <sortCondition ref="O9:O27"/>
  </sortState>
  <mergeCells count="3">
    <mergeCell ref="A2:V2"/>
    <mergeCell ref="T7:V7"/>
    <mergeCell ref="A3:V3"/>
  </mergeCells>
  <printOptions horizontalCentered="1"/>
  <pageMargins left="0.2" right="0.2" top="0.5" bottom="0.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E0B6B62-FE63-4331-BA07-AD2FFB69AC30}"/>
</file>

<file path=customXml/itemProps2.xml><?xml version="1.0" encoding="utf-8"?>
<ds:datastoreItem xmlns:ds="http://schemas.openxmlformats.org/officeDocument/2006/customXml" ds:itemID="{8F4D2584-F716-4C4C-A40B-2467D9320748}"/>
</file>

<file path=customXml/itemProps3.xml><?xml version="1.0" encoding="utf-8"?>
<ds:datastoreItem xmlns:ds="http://schemas.openxmlformats.org/officeDocument/2006/customXml" ds:itemID="{8DD5BF88-98AC-4467-8F64-CC6B62D077E2}"/>
</file>

<file path=customXml/itemProps4.xml><?xml version="1.0" encoding="utf-8"?>
<ds:datastoreItem xmlns:ds="http://schemas.openxmlformats.org/officeDocument/2006/customXml" ds:itemID="{8FA23A7C-F746-4922-BBDC-3DD2B160C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Crew</dc:creator>
  <cp:lastModifiedBy>Jenny Dolen</cp:lastModifiedBy>
  <cp:lastPrinted>2017-06-05T17:17:27Z</cp:lastPrinted>
  <dcterms:created xsi:type="dcterms:W3CDTF">2017-02-08T15:40:33Z</dcterms:created>
  <dcterms:modified xsi:type="dcterms:W3CDTF">2017-06-22T14:14:23Z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