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2024\2024 WA Elec and Gas GRC\Direct Testimony\2) Christie\"/>
    </mc:Choice>
  </mc:AlternateContent>
  <xr:revisionPtr revIDLastSave="0" documentId="13_ncr:1_{88C9305B-E5F8-4983-8D1E-2CFD4869A019}" xr6:coauthVersionLast="47" xr6:coauthVersionMax="47" xr10:uidLastSave="{00000000-0000-0000-0000-000000000000}"/>
  <bookViews>
    <workbookView xWindow="28680" yWindow="-120" windowWidth="29040" windowHeight="15990" tabRatio="870" xr2:uid="{00000000-000D-0000-FFFF-FFFF00000000}"/>
    <workbookView xWindow="-120" yWindow="-120" windowWidth="29040" windowHeight="15990" activeTab="1" xr2:uid="{8DDD0E1D-3C08-4EAB-A269-35477A79F6BC}"/>
  </bookViews>
  <sheets>
    <sheet name="Exhibit No.  KJC-2 Page 1" sheetId="1" r:id="rId1"/>
    <sheet name="Exhibit No.   KJC-2 Page 2" sheetId="2" r:id="rId2"/>
    <sheet name="Exhibit No.  KJC-2 Page 3" sheetId="12" r:id="rId3"/>
    <sheet name="Exhibit No.  KJC-2 Page 4" sheetId="11" r:id="rId4"/>
    <sheet name="Exhibit No.  KJC-2 Page 5" sheetId="6" r:id="rId5"/>
    <sheet name="Exhibit No.  KJC-2 Page 6" sheetId="5" r:id="rId6"/>
    <sheet name="Exhibit No. KJC-2 Pg 7Footnotes" sheetId="7" r:id="rId7"/>
    <sheet name="Exhibit No.  KJC-2-2024 " sheetId="8" r:id="rId8"/>
    <sheet name="Exhibit No.  KJC-2 2024"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hidden="1">{"Print_Detail",#N/A,FALSE,"Redemption_Maturity Extract"}</definedName>
    <definedName name="AcctGrp">[1]Amort!$O$34</definedName>
    <definedName name="ActualsDate">[2]Sheet2!$B$1</definedName>
    <definedName name="CurrDte" localSheetId="2">[4]Debt!$C$1</definedName>
    <definedName name="CurrDte" localSheetId="3">[3]Debt!$C$1</definedName>
    <definedName name="CurrDte" localSheetId="7">[3]Debt!$C$1</definedName>
    <definedName name="CurrDte" localSheetId="6">[5]Debt!$C$1</definedName>
    <definedName name="CurrDte">[5]Debt!$C$1</definedName>
    <definedName name="d" localSheetId="3">[6]Debt!$C$1</definedName>
    <definedName name="d" localSheetId="7">[6]Debt!$C$1</definedName>
    <definedName name="d">[7]Sheet2!$B$8</definedName>
    <definedName name="dd" localSheetId="2" hidden="1">{"Print_Detail",#N/A,FALSE,"Redemption_Maturity Extract"}</definedName>
    <definedName name="dd" localSheetId="3" hidden="1">{"Print_Detail",#N/A,FALSE,"Redemption_Maturity Extract"}</definedName>
    <definedName name="dd" localSheetId="7" hidden="1">{"Print_Detail",#N/A,FALSE,"Redemption_Maturity Extract"}</definedName>
    <definedName name="dd" localSheetId="6" hidden="1">{"Print_Detail",#N/A,FALSE,"Redemption_Maturity Extract"}</definedName>
    <definedName name="dd" hidden="1">{"Print_Detail",#N/A,FALSE,"Redemption_Maturity Extract"}</definedName>
    <definedName name="ddd" localSheetId="2" hidden="1">{"Full",#N/A,FALSE,"Sec MTN B Summary"}</definedName>
    <definedName name="ddd" localSheetId="3" hidden="1">{"Full",#N/A,FALSE,"Sec MTN B Summary"}</definedName>
    <definedName name="ddd" localSheetId="7" hidden="1">{"Full",#N/A,FALSE,"Sec MTN B Summary"}</definedName>
    <definedName name="ddd" localSheetId="6" hidden="1">{"Full",#N/A,FALSE,"Sec MTN B Summary"}</definedName>
    <definedName name="ddd" hidden="1">{"Full",#N/A,FALSE,"Sec MTN B Summary"}</definedName>
    <definedName name="dddd" localSheetId="2" hidden="1">{"RedPrem_InitRed View",#N/A,FALSE,"Sec MTN B Summary"}</definedName>
    <definedName name="dddd" localSheetId="3" hidden="1">{"RedPrem_InitRed View",#N/A,FALSE,"Sec MTN B Summary"}</definedName>
    <definedName name="dddd" localSheetId="7" hidden="1">{"RedPrem_InitRed View",#N/A,FALSE,"Sec MTN B Summary"}</definedName>
    <definedName name="dddd" localSheetId="6" hidden="1">{"RedPrem_InitRed View",#N/A,FALSE,"Sec MTN B Summary"}</definedName>
    <definedName name="dddd" hidden="1">{"RedPrem_InitRed View",#N/A,FALSE,"Sec MTN B Summary"}</definedName>
    <definedName name="dddddd" localSheetId="2" hidden="1">{"Pivot1",#N/A,FALSE,"Redemption_Maturity Extract"}</definedName>
    <definedName name="dddddd" localSheetId="3" hidden="1">{"Pivot1",#N/A,FALSE,"Redemption_Maturity Extract"}</definedName>
    <definedName name="dddddd" localSheetId="7" hidden="1">{"Pivot1",#N/A,FALSE,"Redemption_Maturity Extract"}</definedName>
    <definedName name="dddddd" localSheetId="6" hidden="1">{"Pivot1",#N/A,FALSE,"Redemption_Maturity Extract"}</definedName>
    <definedName name="dddddd" hidden="1">{"Pivot1",#N/A,FALSE,"Redemption_Maturity Extract"}</definedName>
    <definedName name="dddddddd" localSheetId="2" hidden="1">{"Pivot2",#N/A,FALSE,"Redemption_Maturity Extract"}</definedName>
    <definedName name="dddddddd" localSheetId="3" hidden="1">{"Pivot2",#N/A,FALSE,"Redemption_Maturity Extract"}</definedName>
    <definedName name="dddddddd" localSheetId="7" hidden="1">{"Pivot2",#N/A,FALSE,"Redemption_Maturity Extract"}</definedName>
    <definedName name="dddddddd" localSheetId="6" hidden="1">{"Pivot2",#N/A,FALSE,"Redemption_Maturity Extract"}</definedName>
    <definedName name="dddddddd" hidden="1">{"Pivot2",#N/A,FALSE,"Redemption_Maturity Extract"}</definedName>
    <definedName name="dfadf">[8]Sheet2!$B$8</definedName>
    <definedName name="DollarType">[1]Amort!$R$1</definedName>
    <definedName name="EndAR">#N/A</definedName>
    <definedName name="EndCash">#N/A</definedName>
    <definedName name="EndCashTCI">#N/A</definedName>
    <definedName name="EndSTDebt">#N/A</definedName>
    <definedName name="EndTCI">#N/A</definedName>
    <definedName name="fasd">[8]Sheet2!$B$8</definedName>
    <definedName name="FERC_Lkup">'[4]Interest Accrued-Paid'!$AY$6:$AZ$31</definedName>
    <definedName name="Holidays">[9]Holidays!$A$2:$A$550</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 localSheetId="2">[10]Sheet2!$B$5</definedName>
    <definedName name="PriceDate_E">[2]Sheet2!$B$5</definedName>
    <definedName name="PriceDate_G" localSheetId="2">[10]Sheet2!$B$6</definedName>
    <definedName name="PriceDate_G">[2]Sheet2!$B$6</definedName>
    <definedName name="_xlnm.Print_Area" localSheetId="1">'Exhibit No.   KJC-2 Page 2'!$B$2:$K$36</definedName>
    <definedName name="_xlnm.Print_Area" localSheetId="2">'Exhibit No.  KJC-2 Page 3'!$A$1:$AB$58</definedName>
    <definedName name="_xlnm.Print_Area" localSheetId="3">'Exhibit No.  KJC-2 Page 4'!$A$1:$AB$60</definedName>
    <definedName name="_xlnm.Print_Area" localSheetId="6">'Exhibit No. KJC-2 Pg 7Footnotes'!$A$1:$M$53</definedName>
    <definedName name="Print_ScenDate" localSheetId="2">[10]Sheet2!$B$2</definedName>
    <definedName name="Print_ScenDate">[2]Sheet2!$B$2</definedName>
    <definedName name="Scenario_Name" localSheetId="2">[10]Sheet2!$B$8</definedName>
    <definedName name="Scenario_Name">[2]Sheet2!$B$8</definedName>
    <definedName name="solver_adj" localSheetId="1" hidden="1">'Exhibit No.   KJC-2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KJC-2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 localSheetId="2">[10]Sheet2!$B$10</definedName>
    <definedName name="Start_Page">[2]Sheet2!$B$10</definedName>
    <definedName name="US_Holidays">[11]Calendars!$A$2:$A$455</definedName>
    <definedName name="WkSht_Year">[9]Assumptions!$B$1</definedName>
    <definedName name="wrn.All._.Sheets." localSheetId="2" hidden="1">{"IncSt",#N/A,FALSE,"IS";"BalSht",#N/A,FALSE,"BS";"IntCash",#N/A,FALSE,"Int. Cash";"Stats",#N/A,FALSE,"Stats"}</definedName>
    <definedName name="wrn.All._.Sheets." localSheetId="3" hidden="1">{"IncSt",#N/A,FALSE,"IS";"BalSht",#N/A,FALSE,"BS";"IntCash",#N/A,FALSE,"Int. Cash";"Stats",#N/A,FALSE,"Stats"}</definedName>
    <definedName name="wrn.All._.Sheets." localSheetId="7" hidden="1">{"IncSt",#N/A,FALSE,"IS";"BalSht",#N/A,FALSE,"BS";"IntCash",#N/A,FALSE,"Int. Cash";"Stats",#N/A,FALSE,"Stats"}</definedName>
    <definedName name="wrn.All._.Sheets." localSheetId="6"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3" hidden="1">{"Print_Detail",#N/A,FALSE,"Redemption_Maturity Extract"}</definedName>
    <definedName name="wrn.Detail." localSheetId="7" hidden="1">{"Print_Detail",#N/A,FALSE,"Redemption_Maturity Extract"}</definedName>
    <definedName name="wrn.Detail." localSheetId="6"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3" hidden="1">{"Full",#N/A,FALSE,"Sec MTN B Summary"}</definedName>
    <definedName name="wrn.Diane._.s._.Version." localSheetId="7" hidden="1">{"Full",#N/A,FALSE,"Sec MTN B Summary"}</definedName>
    <definedName name="wrn.Diane._.s._.Version." localSheetId="6"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3" hidden="1">{"RedPrem_InitRed View",#N/A,FALSE,"Sec MTN B Summary"}</definedName>
    <definedName name="wrn.Distribution._.Version." localSheetId="7" hidden="1">{"RedPrem_InitRed View",#N/A,FALSE,"Sec MTN B Summary"}</definedName>
    <definedName name="wrn.Distribution._.Version." localSheetId="6"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3" hidden="1">{"Pivot1",#N/A,FALSE,"Redemption_Maturity Extract"}</definedName>
    <definedName name="wrn.Pivot1." localSheetId="7" hidden="1">{"Pivot1",#N/A,FALSE,"Redemption_Maturity Extract"}</definedName>
    <definedName name="wrn.Pivot1." localSheetId="6"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3" hidden="1">{"Pivot2",#N/A,FALSE,"Redemption_Maturity Extract"}</definedName>
    <definedName name="wrn.Pivot2." localSheetId="7" hidden="1">{"Pivot2",#N/A,FALSE,"Redemption_Maturity Extract"}</definedName>
    <definedName name="wrn.Pivot2." localSheetId="6" hidden="1">{"Pivot2",#N/A,FALSE,"Redemption_Maturity Extract"}</definedName>
    <definedName name="wrn.Pivot2." hidden="1">{"Pivot2",#N/A,FALSE,"Redemption_Maturity Extract"}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2" l="1"/>
  <c r="W53" i="7"/>
  <c r="D11" i="2"/>
  <c r="S53" i="7"/>
  <c r="U53" i="7"/>
  <c r="S55" i="7"/>
  <c r="S54" i="7"/>
  <c r="U54" i="7"/>
  <c r="W54" i="7"/>
  <c r="T35" i="7"/>
  <c r="D44" i="7" s="1"/>
  <c r="I14" i="7" l="1"/>
  <c r="AC26" i="11" l="1"/>
  <c r="AC27" i="11"/>
  <c r="AC28" i="11"/>
  <c r="AC29" i="11"/>
  <c r="AC30" i="11"/>
  <c r="AC32" i="11"/>
  <c r="AC33" i="11"/>
  <c r="AC34" i="11"/>
  <c r="AC35" i="11"/>
  <c r="AC36" i="11"/>
  <c r="AC37" i="11"/>
  <c r="AC38" i="11"/>
  <c r="AC39" i="11"/>
  <c r="AC40" i="11"/>
  <c r="AC41" i="11"/>
  <c r="AC42" i="11"/>
  <c r="AC43" i="11"/>
  <c r="AC44" i="11"/>
  <c r="AC45" i="11"/>
  <c r="AC46" i="11"/>
  <c r="AC47" i="11"/>
  <c r="AC48" i="11"/>
  <c r="AC49" i="11"/>
  <c r="AC50" i="11"/>
  <c r="AC51" i="11"/>
  <c r="O15" i="6"/>
  <c r="N15" i="6"/>
  <c r="M15" i="6"/>
  <c r="L15" i="6"/>
  <c r="K15" i="6"/>
  <c r="J15" i="6"/>
  <c r="I15" i="6"/>
  <c r="H15" i="6"/>
  <c r="G15" i="6"/>
  <c r="F15" i="6"/>
  <c r="E15" i="6"/>
  <c r="D15" i="6"/>
  <c r="C15" i="6"/>
  <c r="O14" i="6"/>
  <c r="N14" i="6"/>
  <c r="M14" i="6"/>
  <c r="L14" i="6"/>
  <c r="K14" i="6"/>
  <c r="J14" i="6"/>
  <c r="I14" i="6"/>
  <c r="H14" i="6"/>
  <c r="G14" i="6"/>
  <c r="F14" i="6"/>
  <c r="E14" i="6"/>
  <c r="D14" i="6"/>
  <c r="C14" i="6"/>
  <c r="O15" i="10"/>
  <c r="N15" i="10"/>
  <c r="M15" i="10"/>
  <c r="L15" i="10"/>
  <c r="K15" i="10"/>
  <c r="J15" i="10"/>
  <c r="I15" i="10"/>
  <c r="H15" i="10"/>
  <c r="G15" i="10"/>
  <c r="F15" i="10"/>
  <c r="E15" i="10"/>
  <c r="D15" i="10"/>
  <c r="C15" i="10"/>
  <c r="O14" i="10"/>
  <c r="N14" i="10"/>
  <c r="M14" i="10"/>
  <c r="L14" i="10"/>
  <c r="K14" i="10"/>
  <c r="J14" i="10"/>
  <c r="I14" i="10"/>
  <c r="H14" i="10"/>
  <c r="G14" i="10"/>
  <c r="F14" i="10"/>
  <c r="E14" i="10"/>
  <c r="D14" i="10"/>
  <c r="C14" i="10"/>
  <c r="G8" i="7" l="1"/>
  <c r="U27" i="11"/>
  <c r="W27" i="11" s="1"/>
  <c r="AC26" i="12" l="1"/>
  <c r="AC27" i="12"/>
  <c r="AC28" i="12"/>
  <c r="AC29" i="12"/>
  <c r="AC30" i="12"/>
  <c r="AC31" i="12"/>
  <c r="AC32" i="12"/>
  <c r="AC33" i="12"/>
  <c r="AC34" i="12"/>
  <c r="AC35" i="12"/>
  <c r="AC36" i="12"/>
  <c r="AC37" i="12"/>
  <c r="AC38" i="12"/>
  <c r="AC39" i="12"/>
  <c r="AC40" i="12"/>
  <c r="AC41" i="12"/>
  <c r="AC42" i="12"/>
  <c r="AC43" i="12"/>
  <c r="AC44" i="12"/>
  <c r="AC45" i="12"/>
  <c r="AC46" i="12"/>
  <c r="AC47" i="12"/>
  <c r="AC48" i="12"/>
  <c r="AC49" i="12"/>
  <c r="AC50" i="12"/>
  <c r="U27" i="12"/>
  <c r="W27" i="12" s="1"/>
  <c r="A3" i="5" l="1"/>
  <c r="L15" i="5" s="1"/>
  <c r="A6" i="5"/>
  <c r="A7" i="5"/>
  <c r="P7" i="5"/>
  <c r="A8" i="5"/>
  <c r="A9" i="5"/>
  <c r="A10" i="5" s="1"/>
  <c r="A11" i="5" s="1"/>
  <c r="A12" i="5" s="1"/>
  <c r="A13" i="5" s="1"/>
  <c r="A14" i="5" s="1"/>
  <c r="A15" i="5" s="1"/>
  <c r="A16" i="5" s="1"/>
  <c r="A17" i="5" s="1"/>
  <c r="A18" i="5" s="1"/>
  <c r="A19" i="5" s="1"/>
  <c r="A20" i="5" s="1"/>
  <c r="J17" i="5"/>
  <c r="L17" i="5"/>
  <c r="P15" i="6"/>
  <c r="P14" i="6"/>
  <c r="C13" i="6"/>
  <c r="C16" i="6" s="1"/>
  <c r="P7" i="6"/>
  <c r="P19" i="6" s="1"/>
  <c r="A6" i="6"/>
  <c r="A7" i="6" s="1"/>
  <c r="A8" i="6" s="1"/>
  <c r="A9" i="6" s="1"/>
  <c r="A10" i="6" s="1"/>
  <c r="A11" i="6" s="1"/>
  <c r="A12" i="6" s="1"/>
  <c r="A13" i="6" s="1"/>
  <c r="A14" i="6" s="1"/>
  <c r="A15" i="6" s="1"/>
  <c r="A16" i="6" s="1"/>
  <c r="A17" i="6" s="1"/>
  <c r="A18" i="6" s="1"/>
  <c r="A19" i="6" s="1"/>
  <c r="C5" i="6"/>
  <c r="D5" i="6" s="1"/>
  <c r="P15" i="10"/>
  <c r="P14" i="10"/>
  <c r="C13" i="10"/>
  <c r="C16" i="10" s="1"/>
  <c r="P7" i="10"/>
  <c r="P19" i="10" s="1"/>
  <c r="A6" i="10"/>
  <c r="A7" i="10" s="1"/>
  <c r="A8" i="10" s="1"/>
  <c r="A9" i="10" s="1"/>
  <c r="A10" i="10" s="1"/>
  <c r="A11" i="10" s="1"/>
  <c r="A12" i="10" s="1"/>
  <c r="A13" i="10" s="1"/>
  <c r="A14" i="10" s="1"/>
  <c r="A15" i="10" s="1"/>
  <c r="A16" i="10" s="1"/>
  <c r="A17" i="10" s="1"/>
  <c r="A18" i="10" s="1"/>
  <c r="A19" i="10" s="1"/>
  <c r="C5" i="10"/>
  <c r="D5" i="10" s="1"/>
  <c r="A28" i="8"/>
  <c r="A29" i="8" s="1"/>
  <c r="A30" i="8" s="1"/>
  <c r="A31" i="8" s="1"/>
  <c r="A32" i="8" s="1"/>
  <c r="A33" i="8" s="1"/>
  <c r="A34" i="8" s="1"/>
  <c r="A35" i="8" s="1"/>
  <c r="C5" i="5" l="1"/>
  <c r="C9" i="5" s="1"/>
  <c r="C11" i="5" s="1"/>
  <c r="D9" i="6"/>
  <c r="E5" i="6"/>
  <c r="E5" i="10"/>
  <c r="D9" i="10"/>
  <c r="D5" i="5" l="1"/>
  <c r="E5" i="5" s="1"/>
  <c r="D9" i="5"/>
  <c r="D11" i="5" s="1"/>
  <c r="E9" i="6"/>
  <c r="E13" i="6" s="1"/>
  <c r="E16" i="6" s="1"/>
  <c r="F5" i="6"/>
  <c r="D13" i="6"/>
  <c r="D13" i="10"/>
  <c r="E9" i="10"/>
  <c r="E13" i="10" s="1"/>
  <c r="E16" i="10" s="1"/>
  <c r="F5" i="10"/>
  <c r="E9" i="5" l="1"/>
  <c r="E11" i="5" s="1"/>
  <c r="F5" i="5"/>
  <c r="D16" i="6"/>
  <c r="F9" i="6"/>
  <c r="G5" i="6"/>
  <c r="D16" i="10"/>
  <c r="F9" i="10"/>
  <c r="F13" i="10" s="1"/>
  <c r="F16" i="10" s="1"/>
  <c r="G5" i="10"/>
  <c r="G5" i="5" l="1"/>
  <c r="F9" i="5"/>
  <c r="F11" i="5" s="1"/>
  <c r="G9" i="6"/>
  <c r="G13" i="6" s="1"/>
  <c r="G16" i="6" s="1"/>
  <c r="H5" i="6"/>
  <c r="F13" i="6"/>
  <c r="G9" i="10"/>
  <c r="H5" i="10"/>
  <c r="H5" i="5" l="1"/>
  <c r="G9" i="5"/>
  <c r="G11" i="5" s="1"/>
  <c r="F16" i="6"/>
  <c r="H9" i="6"/>
  <c r="H13" i="6" s="1"/>
  <c r="H16" i="6" s="1"/>
  <c r="I5" i="6"/>
  <c r="H9" i="10"/>
  <c r="H13" i="10" s="1"/>
  <c r="H16" i="10" s="1"/>
  <c r="I5" i="10"/>
  <c r="G13" i="10"/>
  <c r="H9" i="5" l="1"/>
  <c r="H11" i="5" s="1"/>
  <c r="I5" i="5"/>
  <c r="I9" i="6"/>
  <c r="I13" i="6" s="1"/>
  <c r="I16" i="6" s="1"/>
  <c r="J5" i="6"/>
  <c r="G16" i="10"/>
  <c r="I9" i="10"/>
  <c r="J5" i="10"/>
  <c r="J5" i="5" l="1"/>
  <c r="I9" i="5"/>
  <c r="I11" i="5" s="1"/>
  <c r="J9" i="6"/>
  <c r="K5" i="6"/>
  <c r="J9" i="10"/>
  <c r="J13" i="10" s="1"/>
  <c r="J16" i="10" s="1"/>
  <c r="K5" i="10"/>
  <c r="I13" i="10"/>
  <c r="K5" i="5" l="1"/>
  <c r="J9" i="5"/>
  <c r="J11" i="5" s="1"/>
  <c r="K9" i="6"/>
  <c r="K13" i="6" s="1"/>
  <c r="K16" i="6" s="1"/>
  <c r="L5" i="6"/>
  <c r="J13" i="6"/>
  <c r="I16" i="10"/>
  <c r="K9" i="10"/>
  <c r="K13" i="10" s="1"/>
  <c r="K16" i="10" s="1"/>
  <c r="L5" i="10"/>
  <c r="K9" i="5" l="1"/>
  <c r="K11" i="5" s="1"/>
  <c r="L5" i="5"/>
  <c r="J16" i="6"/>
  <c r="L9" i="6"/>
  <c r="L13" i="6" s="1"/>
  <c r="L16" i="6" s="1"/>
  <c r="M5" i="6"/>
  <c r="L9" i="10"/>
  <c r="L13" i="10" s="1"/>
  <c r="L16" i="10" s="1"/>
  <c r="M5" i="10"/>
  <c r="M5" i="5" l="1"/>
  <c r="L9" i="5"/>
  <c r="L11" i="5" s="1"/>
  <c r="M9" i="6"/>
  <c r="M13" i="6" s="1"/>
  <c r="M16" i="6" s="1"/>
  <c r="N5" i="6"/>
  <c r="M9" i="10"/>
  <c r="M13" i="10" s="1"/>
  <c r="M16" i="10" s="1"/>
  <c r="N5" i="10"/>
  <c r="M9" i="5" l="1"/>
  <c r="M11" i="5" s="1"/>
  <c r="N5" i="5"/>
  <c r="O5" i="6"/>
  <c r="O9" i="6" s="1"/>
  <c r="N9" i="6"/>
  <c r="N13" i="6" s="1"/>
  <c r="N16" i="6" s="1"/>
  <c r="N9" i="10"/>
  <c r="N13" i="10" s="1"/>
  <c r="N16" i="10" s="1"/>
  <c r="O5" i="10"/>
  <c r="O9" i="10" s="1"/>
  <c r="O5" i="5" l="1"/>
  <c r="O9" i="5" s="1"/>
  <c r="O11" i="5" s="1"/>
  <c r="N9" i="5"/>
  <c r="N11" i="5" s="1"/>
  <c r="O13" i="6"/>
  <c r="P9" i="6"/>
  <c r="O13" i="10"/>
  <c r="P9" i="10"/>
  <c r="P11" i="5" l="1"/>
  <c r="D17" i="5" s="1"/>
  <c r="O16" i="6"/>
  <c r="P13" i="6"/>
  <c r="P16" i="6" s="1"/>
  <c r="P18" i="6" s="1"/>
  <c r="P20" i="6" s="1"/>
  <c r="W37" i="12" s="1"/>
  <c r="O16" i="10"/>
  <c r="P13" i="10"/>
  <c r="P16" i="10" s="1"/>
  <c r="P18" i="10" s="1"/>
  <c r="P20" i="10" s="1"/>
  <c r="K17" i="5" l="1"/>
  <c r="M17" i="5" s="1"/>
  <c r="E9" i="12"/>
  <c r="U25" i="11"/>
  <c r="W25" i="11" s="1"/>
  <c r="U26" i="11"/>
  <c r="W26" i="11" s="1"/>
  <c r="U28" i="11"/>
  <c r="W28" i="11" s="1"/>
  <c r="U29" i="11"/>
  <c r="W29" i="11" s="1"/>
  <c r="AC25" i="11" l="1"/>
  <c r="Q59" i="11"/>
  <c r="Q57" i="12"/>
  <c r="H7" i="2" s="1"/>
  <c r="D43" i="12" l="1"/>
  <c r="D42" i="12"/>
  <c r="D41" i="12"/>
  <c r="Y37" i="12"/>
  <c r="AA37" i="12" s="1"/>
  <c r="U35" i="12"/>
  <c r="W35" i="12" s="1"/>
  <c r="AA35" i="12" s="1"/>
  <c r="U34" i="12"/>
  <c r="W34" i="12" s="1"/>
  <c r="AA34" i="12" s="1"/>
  <c r="U33" i="12"/>
  <c r="W33" i="12" s="1"/>
  <c r="AA33" i="12" s="1"/>
  <c r="U32" i="12"/>
  <c r="W32" i="12" s="1"/>
  <c r="AA32" i="12" s="1"/>
  <c r="U31" i="12"/>
  <c r="W31" i="12" s="1"/>
  <c r="AA31" i="12" s="1"/>
  <c r="U28" i="12"/>
  <c r="W28" i="12" s="1"/>
  <c r="U26" i="12"/>
  <c r="W26" i="12" s="1"/>
  <c r="AC25" i="12"/>
  <c r="U25" i="12"/>
  <c r="W25" i="12" s="1"/>
  <c r="AC24" i="12"/>
  <c r="U24" i="12"/>
  <c r="W24" i="12" s="1"/>
  <c r="AC23" i="12"/>
  <c r="U23" i="12"/>
  <c r="W23" i="12" s="1"/>
  <c r="AC22" i="12"/>
  <c r="U22" i="12"/>
  <c r="W22" i="12" s="1"/>
  <c r="AC21" i="12"/>
  <c r="U21" i="12"/>
  <c r="W21" i="12" s="1"/>
  <c r="AC20" i="12"/>
  <c r="U20" i="12"/>
  <c r="W20" i="12" s="1"/>
  <c r="AC19" i="12"/>
  <c r="U19" i="12"/>
  <c r="W19" i="12" s="1"/>
  <c r="AC18" i="12"/>
  <c r="U18" i="12"/>
  <c r="W18" i="12" s="1"/>
  <c r="AC17" i="12"/>
  <c r="U17" i="12"/>
  <c r="W17" i="12" s="1"/>
  <c r="AC16" i="12"/>
  <c r="U16" i="12"/>
  <c r="W16" i="12" s="1"/>
  <c r="AC15" i="12"/>
  <c r="U15" i="12"/>
  <c r="W15" i="12" s="1"/>
  <c r="AC14" i="12"/>
  <c r="U14" i="12"/>
  <c r="W14" i="12" s="1"/>
  <c r="AC13" i="12"/>
  <c r="U13" i="12"/>
  <c r="W13" i="12" s="1"/>
  <c r="AC12" i="12"/>
  <c r="U12" i="12"/>
  <c r="W12" i="12" s="1"/>
  <c r="AC11" i="12"/>
  <c r="U11" i="12"/>
  <c r="W11" i="12" s="1"/>
  <c r="AC10" i="12"/>
  <c r="U10" i="12"/>
  <c r="W10" i="12" s="1"/>
  <c r="AC9" i="12"/>
  <c r="U9" i="12"/>
  <c r="W9" i="12" s="1"/>
  <c r="Y7" i="12"/>
  <c r="Y21" i="12" l="1"/>
  <c r="Y28" i="12"/>
  <c r="AA28" i="12"/>
  <c r="Y16" i="12"/>
  <c r="Y24" i="12"/>
  <c r="Y14" i="12"/>
  <c r="AA14" i="12" s="1"/>
  <c r="Y27" i="12"/>
  <c r="AA27" i="12" s="1"/>
  <c r="Y12" i="12"/>
  <c r="Y9" i="12"/>
  <c r="Y13" i="12"/>
  <c r="AA13" i="12" s="1"/>
  <c r="Y20" i="12"/>
  <c r="AA20" i="12" s="1"/>
  <c r="Y11" i="12"/>
  <c r="Y18" i="12"/>
  <c r="Y26" i="12"/>
  <c r="AA26" i="12" s="1"/>
  <c r="F40" i="12"/>
  <c r="AA24" i="12"/>
  <c r="AA12" i="12"/>
  <c r="Y19" i="12"/>
  <c r="AA19" i="12" s="1"/>
  <c r="AA16" i="12"/>
  <c r="AA21" i="12"/>
  <c r="AA11" i="12"/>
  <c r="AA9" i="12"/>
  <c r="Y15" i="12"/>
  <c r="AA15" i="12" s="1"/>
  <c r="AA18" i="12"/>
  <c r="Y23" i="12"/>
  <c r="AA23" i="12" s="1"/>
  <c r="Y10" i="12"/>
  <c r="AA10" i="12" s="1"/>
  <c r="Y17" i="12"/>
  <c r="AA17" i="12" s="1"/>
  <c r="Y25" i="12"/>
  <c r="AA25" i="12" s="1"/>
  <c r="Y22" i="12"/>
  <c r="AA22" i="12" s="1"/>
  <c r="AA29" i="12" l="1"/>
  <c r="AA36" i="12" s="1"/>
  <c r="AA38" i="12" s="1"/>
  <c r="Y29" i="12"/>
  <c r="Y36" i="12" s="1"/>
  <c r="Y38" i="12" s="1"/>
  <c r="D7" i="2" s="1"/>
  <c r="W40" i="12" l="1"/>
  <c r="D43" i="11"/>
  <c r="D42" i="11"/>
  <c r="D41" i="11"/>
  <c r="Y37" i="11"/>
  <c r="AA37" i="11" s="1"/>
  <c r="U35" i="11"/>
  <c r="W35" i="11" s="1"/>
  <c r="AA35" i="11" s="1"/>
  <c r="U34" i="11"/>
  <c r="U33" i="11"/>
  <c r="W33" i="11" s="1"/>
  <c r="AA33" i="11" s="1"/>
  <c r="U32" i="11"/>
  <c r="W32" i="11" s="1"/>
  <c r="AA32" i="11" s="1"/>
  <c r="U24" i="11"/>
  <c r="W24" i="11" s="1"/>
  <c r="U23" i="11"/>
  <c r="W23" i="11" s="1"/>
  <c r="U22" i="11"/>
  <c r="W22" i="11" s="1"/>
  <c r="U21" i="11"/>
  <c r="W21" i="11" s="1"/>
  <c r="U20" i="11"/>
  <c r="W20" i="11" s="1"/>
  <c r="U19" i="11"/>
  <c r="W19" i="11" s="1"/>
  <c r="U18" i="11"/>
  <c r="W18" i="11" s="1"/>
  <c r="U17" i="11"/>
  <c r="W17" i="11" s="1"/>
  <c r="U16" i="11"/>
  <c r="W16" i="11" s="1"/>
  <c r="U15" i="11"/>
  <c r="W15" i="11" s="1"/>
  <c r="U14" i="11"/>
  <c r="W14" i="11" s="1"/>
  <c r="U13" i="11"/>
  <c r="W13" i="11" s="1"/>
  <c r="U12" i="11"/>
  <c r="W12" i="11" s="1"/>
  <c r="U11" i="11"/>
  <c r="W11" i="11" s="1"/>
  <c r="U10" i="11"/>
  <c r="W10" i="11" s="1"/>
  <c r="AC9" i="11"/>
  <c r="U9" i="11"/>
  <c r="W9" i="11" s="1"/>
  <c r="Y7" i="11"/>
  <c r="W34" i="11" l="1"/>
  <c r="Y27" i="11"/>
  <c r="AA27" i="11"/>
  <c r="Y19" i="11"/>
  <c r="AA19" i="11" s="1"/>
  <c r="Y26" i="11"/>
  <c r="AA26" i="11" s="1"/>
  <c r="Y25" i="11"/>
  <c r="AA25" i="11" s="1"/>
  <c r="Y28" i="11"/>
  <c r="AA28" i="11" s="1"/>
  <c r="Y29" i="11"/>
  <c r="AA29" i="11" s="1"/>
  <c r="AC10" i="11"/>
  <c r="Y22" i="11"/>
  <c r="AA22" i="11" s="1"/>
  <c r="AC12" i="11"/>
  <c r="Y12" i="11"/>
  <c r="AA12" i="11" s="1"/>
  <c r="Y15" i="11"/>
  <c r="AA15" i="11" s="1"/>
  <c r="Y10" i="11"/>
  <c r="AA10" i="11" s="1"/>
  <c r="Y16" i="11"/>
  <c r="AA16" i="11" s="1"/>
  <c r="AC11" i="11"/>
  <c r="Y18" i="11"/>
  <c r="AA18" i="11" s="1"/>
  <c r="Y14" i="11"/>
  <c r="Y24" i="11"/>
  <c r="AA24" i="11" s="1"/>
  <c r="Y20" i="11"/>
  <c r="AA20" i="11" s="1"/>
  <c r="Y9" i="11"/>
  <c r="Y11" i="11"/>
  <c r="AA11" i="11" s="1"/>
  <c r="Y13" i="11"/>
  <c r="AA13" i="11" s="1"/>
  <c r="Y17" i="11"/>
  <c r="AA17" i="11" s="1"/>
  <c r="Y21" i="11"/>
  <c r="AA21" i="11" s="1"/>
  <c r="Y23" i="11"/>
  <c r="AA23" i="11" s="1"/>
  <c r="F40" i="11"/>
  <c r="AA14" i="11"/>
  <c r="W55" i="7"/>
  <c r="U55" i="7"/>
  <c r="AA34" i="11" l="1"/>
  <c r="AA9" i="11"/>
  <c r="AA30" i="11" s="1"/>
  <c r="AA36" i="11" s="1"/>
  <c r="Y30" i="11"/>
  <c r="Y36" i="11" s="1"/>
  <c r="Y38" i="11" s="1"/>
  <c r="AC13" i="11"/>
  <c r="U59" i="7"/>
  <c r="S59" i="7"/>
  <c r="AC14" i="11" l="1"/>
  <c r="W59" i="7"/>
  <c r="D43" i="7" s="1"/>
  <c r="G15" i="7"/>
  <c r="AC15" i="11" l="1"/>
  <c r="AC16" i="11" l="1"/>
  <c r="AC17" i="11" l="1"/>
  <c r="AC18" i="11" l="1"/>
  <c r="AC19" i="11" l="1"/>
  <c r="AC20" i="11" l="1"/>
  <c r="AC21" i="11" l="1"/>
  <c r="AC22" i="11" l="1"/>
  <c r="AC23" i="11" l="1"/>
  <c r="AC24" i="11" l="1"/>
  <c r="W36" i="8" l="1"/>
  <c r="D42" i="8" l="1"/>
  <c r="D41" i="8"/>
  <c r="D40" i="8"/>
  <c r="Y36" i="8"/>
  <c r="AA36" i="8" s="1"/>
  <c r="U34" i="8"/>
  <c r="W34" i="8" s="1"/>
  <c r="AA34" i="8" s="1"/>
  <c r="U33" i="8"/>
  <c r="W33" i="8" s="1"/>
  <c r="AA33" i="8" s="1"/>
  <c r="U32" i="8"/>
  <c r="W32" i="8" s="1"/>
  <c r="AA32" i="8" s="1"/>
  <c r="U31" i="8"/>
  <c r="W31" i="8" s="1"/>
  <c r="AA31" i="8" s="1"/>
  <c r="U30" i="8"/>
  <c r="W30" i="8" s="1"/>
  <c r="AA30" i="8" s="1"/>
  <c r="U27" i="8"/>
  <c r="W27" i="8" s="1"/>
  <c r="U26" i="8"/>
  <c r="W26" i="8" s="1"/>
  <c r="U25" i="8"/>
  <c r="W25" i="8" s="1"/>
  <c r="U24" i="8"/>
  <c r="W24" i="8" s="1"/>
  <c r="U23" i="8"/>
  <c r="W23" i="8" s="1"/>
  <c r="U22" i="8"/>
  <c r="W22" i="8" s="1"/>
  <c r="U21" i="8"/>
  <c r="W21" i="8" s="1"/>
  <c r="U20" i="8"/>
  <c r="W20" i="8" s="1"/>
  <c r="U19" i="8"/>
  <c r="W19" i="8" s="1"/>
  <c r="U18" i="8"/>
  <c r="W18" i="8" s="1"/>
  <c r="U17" i="8"/>
  <c r="W17" i="8" s="1"/>
  <c r="U16" i="8"/>
  <c r="W16" i="8" s="1"/>
  <c r="U15" i="8"/>
  <c r="W15" i="8" s="1"/>
  <c r="U14" i="8"/>
  <c r="W14" i="8" s="1"/>
  <c r="U13" i="8"/>
  <c r="W13" i="8" s="1"/>
  <c r="U12" i="8"/>
  <c r="W12" i="8" s="1"/>
  <c r="U11" i="8"/>
  <c r="W11" i="8" s="1"/>
  <c r="AC10" i="8"/>
  <c r="U10" i="8"/>
  <c r="W10" i="8" s="1"/>
  <c r="AC9" i="8"/>
  <c r="U9" i="8"/>
  <c r="W9" i="8" s="1"/>
  <c r="Y7" i="8"/>
  <c r="Y25" i="8" s="1"/>
  <c r="Y10" i="8" l="1"/>
  <c r="Y20" i="8"/>
  <c r="AA25" i="8"/>
  <c r="Y11" i="8"/>
  <c r="AA11" i="8" s="1"/>
  <c r="Y16" i="8"/>
  <c r="AA16" i="8" s="1"/>
  <c r="Y21" i="8"/>
  <c r="AA21" i="8" s="1"/>
  <c r="Y17" i="8"/>
  <c r="Y12" i="8"/>
  <c r="AA12" i="8" s="1"/>
  <c r="Y9" i="8"/>
  <c r="AA9" i="8" s="1"/>
  <c r="Y13" i="8"/>
  <c r="Y24" i="8"/>
  <c r="AA24" i="8" s="1"/>
  <c r="AC11" i="8"/>
  <c r="AA20" i="8"/>
  <c r="Y15" i="8"/>
  <c r="AA15" i="8" s="1"/>
  <c r="Y19" i="8"/>
  <c r="AA19" i="8" s="1"/>
  <c r="Y23" i="8"/>
  <c r="AA23" i="8" s="1"/>
  <c r="Y27" i="8"/>
  <c r="AA27" i="8" s="1"/>
  <c r="Y14" i="8"/>
  <c r="Y18" i="8"/>
  <c r="AA18" i="8" s="1"/>
  <c r="Y22" i="8"/>
  <c r="AA22" i="8" s="1"/>
  <c r="Y26" i="8"/>
  <c r="AA26" i="8" s="1"/>
  <c r="F39" i="8"/>
  <c r="AA10" i="8"/>
  <c r="AA13" i="8"/>
  <c r="AA17" i="8"/>
  <c r="Y28" i="8" l="1"/>
  <c r="Y35" i="8" s="1"/>
  <c r="Y37" i="8" s="1"/>
  <c r="AA14" i="8"/>
  <c r="AA28" i="8" s="1"/>
  <c r="AA35" i="8" s="1"/>
  <c r="AA37" i="8" s="1"/>
  <c r="AC12" i="8"/>
  <c r="W39" i="8" l="1"/>
  <c r="AC13" i="8"/>
  <c r="AC14" i="8" l="1"/>
  <c r="AC15" i="8" l="1"/>
  <c r="AC16" i="8" l="1"/>
  <c r="AC17" i="8" l="1"/>
  <c r="AC18" i="8" l="1"/>
  <c r="AC19" i="8" l="1"/>
  <c r="AC20" i="8" l="1"/>
  <c r="AC21" i="8" l="1"/>
  <c r="AC22" i="8" l="1"/>
  <c r="AC23" i="8" l="1"/>
  <c r="AC24" i="8" l="1"/>
  <c r="AC25" i="8" l="1"/>
  <c r="AC26" i="8" l="1"/>
  <c r="AC27" i="8" l="1"/>
  <c r="AC28" i="8" l="1"/>
  <c r="AC29" i="8" l="1"/>
  <c r="AC30" i="8" l="1"/>
  <c r="AC31" i="8" l="1"/>
  <c r="AC32" i="8" l="1"/>
  <c r="AC33" i="8" l="1"/>
  <c r="AC34" i="8" l="1"/>
  <c r="AC35" i="8" l="1"/>
  <c r="A36" i="8"/>
  <c r="A37" i="8" l="1"/>
  <c r="AC36" i="8"/>
  <c r="AC37" i="8" l="1"/>
  <c r="A38" i="8"/>
  <c r="A39" i="8" l="1"/>
  <c r="AC38" i="8"/>
  <c r="A40" i="8" l="1"/>
  <c r="AC39" i="8"/>
  <c r="A41" i="8" l="1"/>
  <c r="AC40" i="8"/>
  <c r="A42" i="8" l="1"/>
  <c r="AC42" i="8" s="1"/>
  <c r="AC41" i="8"/>
  <c r="A43" i="8" l="1"/>
  <c r="A44" i="8" l="1"/>
  <c r="AC43" i="8"/>
  <c r="A45" i="8" l="1"/>
  <c r="A46" i="8" s="1"/>
  <c r="AC44" i="8"/>
  <c r="D24" i="2" l="1"/>
  <c r="F22" i="2" l="1"/>
  <c r="F20" i="2"/>
  <c r="K8" i="7" l="1"/>
  <c r="I8" i="7" s="1"/>
  <c r="D45" i="7" l="1"/>
  <c r="I21" i="7" s="1"/>
  <c r="D36" i="7" l="1"/>
  <c r="E21" i="7" s="1"/>
  <c r="G21" i="7" l="1"/>
  <c r="K21" i="7" s="1"/>
  <c r="G14" i="7"/>
  <c r="D17" i="7"/>
  <c r="G16" i="7"/>
  <c r="K16" i="7" s="1"/>
  <c r="K15" i="7"/>
  <c r="D10" i="7"/>
  <c r="G17" i="7" l="1"/>
  <c r="E17" i="7"/>
  <c r="I17" i="7" l="1"/>
  <c r="K14" i="7"/>
  <c r="K17" i="7" s="1"/>
  <c r="F24" i="2" l="1"/>
  <c r="J22" i="2"/>
  <c r="K10" i="7" l="1"/>
  <c r="J20" i="2"/>
  <c r="J24" i="2" s="1"/>
  <c r="F11" i="2" l="1"/>
  <c r="AA38" i="11" l="1"/>
  <c r="W40" i="11" s="1"/>
  <c r="J7" i="2" l="1"/>
  <c r="J11" i="2" s="1"/>
  <c r="G10" i="7" l="1"/>
  <c r="E10" i="7"/>
  <c r="I10" i="7"/>
</calcChain>
</file>

<file path=xl/sharedStrings.xml><?xml version="1.0" encoding="utf-8"?>
<sst xmlns="http://schemas.openxmlformats.org/spreadsheetml/2006/main" count="495" uniqueCount="216">
  <si>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</si>
  <si>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</si>
  <si>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</si>
  <si>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</si>
  <si>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</si>
  <si>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</si>
  <si>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</si>
  <si>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</si>
  <si>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</si>
  <si>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</si>
  <si>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</si>
  <si>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</si>
  <si>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</si>
  <si>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</si>
  <si>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</si>
  <si>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</si>
  <si>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</si>
  <si>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</si>
  <si>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</si>
  <si>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</si>
  <si>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</si>
  <si>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</si>
  <si>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</si>
  <si>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</si>
  <si>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</si>
  <si>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</si>
  <si>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</si>
  <si>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</si>
  <si>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</si>
  <si>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</si>
  <si>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</si>
  <si>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</si>
  <si>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</si>
  <si>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</si>
  <si>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</si>
  <si>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</si>
  <si>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</si>
  <si>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</si>
  <si>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</si>
  <si>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</si>
  <si>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</si>
  <si>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</si>
  <si>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</si>
  <si>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</si>
  <si>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</si>
  <si>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</si>
  <si>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</si>
  <si>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</si>
  <si>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</si>
  <si>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</si>
  <si>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</si>
  <si>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</si>
  <si>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</si>
  <si>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</si>
  <si>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</si>
  <si>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</si>
  <si>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</si>
  <si>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</si>
  <si>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</si>
  <si>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</si>
  <si>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</si>
  <si>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</si>
  <si>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</si>
  <si>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</si>
  <si>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</si>
  <si>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</si>
  <si>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</si>
  <si>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</si>
  <si>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</si>
  <si>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</si>
  <si>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</si>
  <si>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</si>
  <si>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</si>
  <si>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</si>
  <si>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</si>
  <si>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</si>
  <si>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</si>
  <si>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</si>
  <si>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</si>
  <si>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- 6.25% </t>
  </si>
  <si>
    <t xml:space="preserve">FMBS - 5.70% </t>
  </si>
  <si>
    <t xml:space="preserve">5.55% SERIES </t>
  </si>
  <si>
    <t xml:space="preserve">4.45% SERIES </t>
  </si>
  <si>
    <t>Repurchase</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</si>
  <si>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</si>
  <si>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</si>
  <si>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</si>
  <si>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</si>
  <si>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</si>
  <si>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</si>
  <si>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</si>
  <si>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</si>
  <si>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</si>
  <si>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</si>
  <si>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</si>
  <si>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</si>
  <si>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</si>
  <si>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</si>
  <si>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</si>
  <si>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</si>
  <si>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</si>
  <si>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</si>
  <si>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</si>
  <si>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</si>
  <si>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</si>
  <si>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</si>
  <si>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</si>
  <si>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</si>
  <si>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</si>
  <si>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</si>
  <si>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</si>
  <si>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</si>
  <si>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</si>
  <si>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</si>
  <si>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</si>
  <si>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</si>
  <si>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</si>
  <si>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</si>
  <si>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</si>
  <si>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</si>
  <si>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</si>
  <si>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</si>
  <si>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</si>
  <si>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</si>
  <si>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</si>
  <si>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</si>
  <si>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</si>
  <si>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</si>
  <si>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</si>
  <si>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</si>
  <si>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</si>
  <si>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</si>
  <si>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</si>
  <si>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</si>
  <si>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</si>
  <si>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</si>
  <si>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</si>
  <si>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</si>
  <si>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Total Debt</t>
  </si>
  <si>
    <t>Short Term-Debt</t>
  </si>
  <si>
    <t xml:space="preserve">4.23% SERIES </t>
  </si>
  <si>
    <t xml:space="preserve">FMBS - SERIES C </t>
  </si>
  <si>
    <t>ADVANCE ASSOCIAT</t>
  </si>
  <si>
    <t>Short-term Borrowings - Month End Balances</t>
  </si>
  <si>
    <t>Forecasted Equity Activity (dollars in thousands):</t>
  </si>
  <si>
    <t>Total</t>
  </si>
  <si>
    <t>Equity Adjustments (dollars in thousands):</t>
  </si>
  <si>
    <t>Activity</t>
  </si>
  <si>
    <t>Equity Activity</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</si>
  <si>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</si>
  <si>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</si>
  <si>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</si>
  <si>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</si>
  <si>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</si>
  <si>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</si>
  <si>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</si>
  <si>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Change in equity in AERC</t>
  </si>
  <si>
    <t>Actual Cost of Capital</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</si>
  <si>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</si>
  <si>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</si>
  <si>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</si>
  <si>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</si>
  <si>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Investment in AERC</t>
  </si>
  <si>
    <t xml:space="preserve"> </t>
  </si>
  <si>
    <t>Forecasted Rates Trust Preferred</t>
  </si>
  <si>
    <t>Trust Preferred*</t>
  </si>
  <si>
    <t xml:space="preserve">3.91% SERIES </t>
  </si>
  <si>
    <t xml:space="preserve">4.35% SERIES </t>
  </si>
  <si>
    <t>Avg Monthly Forecasted Borrowing Rate*</t>
  </si>
  <si>
    <t>Cost of Long-Term Debt Detail - Washington</t>
  </si>
  <si>
    <t xml:space="preserve">4.11% SERIES </t>
  </si>
  <si>
    <t xml:space="preserve">4.37% SERIES </t>
  </si>
  <si>
    <t xml:space="preserve">3.54% SERIES </t>
  </si>
  <si>
    <t>3.43%  SERIES</t>
  </si>
  <si>
    <t xml:space="preserve">3.07% SERIES </t>
  </si>
  <si>
    <t xml:space="preserve">2.90% SERIES </t>
  </si>
  <si>
    <t>Forecasted Issuance</t>
  </si>
  <si>
    <t>Average Monthly Average Rate over a twelve month period</t>
  </si>
  <si>
    <t>Coupon Rate at the time of repurchase</t>
  </si>
  <si>
    <t>Calculated using the Internal Rate of Return method</t>
  </si>
  <si>
    <t>January</t>
  </si>
  <si>
    <t>February</t>
  </si>
  <si>
    <t>March</t>
  </si>
  <si>
    <t>April</t>
  </si>
  <si>
    <t>May</t>
  </si>
  <si>
    <t>June</t>
  </si>
  <si>
    <t>July</t>
  </si>
  <si>
    <t>August</t>
  </si>
  <si>
    <t>September</t>
  </si>
  <si>
    <t>October</t>
  </si>
  <si>
    <t>November</t>
  </si>
  <si>
    <t>December</t>
  </si>
  <si>
    <t>Average</t>
  </si>
  <si>
    <t xml:space="preserve">Equity Activity detail </t>
  </si>
  <si>
    <t>Common Stock Expense</t>
  </si>
  <si>
    <t>AOCL</t>
  </si>
  <si>
    <t>*</t>
  </si>
  <si>
    <t>Negative</t>
  </si>
  <si>
    <t>AMA of 2025</t>
  </si>
  <si>
    <t>AMA of 2026</t>
  </si>
  <si>
    <t xml:space="preserve">4.00% SERIES </t>
  </si>
  <si>
    <t xml:space="preserve">5.66% SERIES </t>
  </si>
  <si>
    <t>*Cost of debt at end of period provided for informational purposes only. See AMA for 2026</t>
  </si>
  <si>
    <t>SEP7</t>
  </si>
  <si>
    <t>Foreasted Issuance</t>
  </si>
  <si>
    <t>10-Q 06/30/2023</t>
  </si>
  <si>
    <r>
      <t>Adjusted Regulatory Balance</t>
    </r>
    <r>
      <rPr>
        <b/>
        <sz val="9"/>
        <rFont val="Arial"/>
        <family val="2"/>
      </rPr>
      <t xml:space="preserve"> 06/30/2023</t>
    </r>
  </si>
  <si>
    <t>Adjusted Regulatory Balance 12/31/2025</t>
  </si>
  <si>
    <t>Credit Facility Fees**</t>
  </si>
  <si>
    <t>Credit Facility Amort of up-front costs**</t>
  </si>
  <si>
    <t xml:space="preserve">**Up front costs and credit facility fees are pro rata based on the $500M limit.  </t>
  </si>
  <si>
    <t>*Cost of debt at end of period provided for informational purposes only. See AMA for 2025</t>
  </si>
  <si>
    <t xml:space="preserve">Represents the issuance of long-term debt.  There are forecasted issuance of $83.7 million in 2024 and $60 million in 2025.  For additional details related to these issuances see page 3b of this Exhibit. </t>
  </si>
  <si>
    <t xml:space="preserve"> $7 million of debt matured on 8/11/2023.</t>
  </si>
  <si>
    <t>@ 12/2025</t>
  </si>
  <si>
    <t>Monthly Jurisdictional equity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</si>
</sst>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 numFmtId="189" formatCode="0.0%"/>
  </numFmts>
  <fonts count="77">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8">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6" applyNumberFormat="0" applyAlignment="0" applyProtection="0"/>
    <xf numFmtId="0" fontId="29" fillId="0" borderId="0"/>
    <xf numFmtId="0" fontId="30" fillId="21" borderId="7"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4" fillId="0" borderId="0" applyFont="0" applyFill="0" applyBorder="0" applyAlignment="0" applyProtection="0"/>
    <xf numFmtId="177" fontId="14"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3" fillId="23" borderId="0" applyNumberFormat="0" applyBorder="0" applyAlignment="0" applyProtection="0"/>
    <xf numFmtId="0" fontId="37" fillId="0" borderId="0">
      <alignment horizontal="left"/>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10" fontId="13" fillId="24" borderId="11" applyNumberFormat="0" applyBorder="0" applyAlignment="0" applyProtection="0"/>
    <xf numFmtId="0" fontId="41" fillId="7" borderId="6" applyNumberFormat="0" applyAlignment="0" applyProtection="0"/>
    <xf numFmtId="178" fontId="14"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2" applyNumberFormat="0" applyFill="0" applyAlignment="0" applyProtection="0"/>
    <xf numFmtId="0" fontId="43" fillId="25" borderId="0"/>
    <xf numFmtId="0" fontId="44" fillId="0" borderId="2"/>
    <xf numFmtId="179" fontId="14" fillId="26" borderId="0" applyFont="0" applyFill="0" applyBorder="0" applyAlignment="0" applyProtection="0"/>
    <xf numFmtId="0" fontId="45" fillId="27" borderId="0" applyNumberFormat="0" applyBorder="0" applyAlignment="0" applyProtection="0"/>
    <xf numFmtId="18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7" fillId="0" borderId="0"/>
    <xf numFmtId="0" fontId="8" fillId="0" borderId="0"/>
    <xf numFmtId="0" fontId="48" fillId="0" borderId="0"/>
    <xf numFmtId="0" fontId="48"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49" fillId="0" borderId="0"/>
    <xf numFmtId="0" fontId="49" fillId="0" borderId="0"/>
    <xf numFmtId="0" fontId="4" fillId="0" borderId="0"/>
    <xf numFmtId="37" fontId="14" fillId="0" borderId="0"/>
    <xf numFmtId="0" fontId="49" fillId="0" borderId="0"/>
    <xf numFmtId="0" fontId="49"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5" fillId="28" borderId="13" applyNumberFormat="0" applyFont="0" applyAlignment="0" applyProtection="0"/>
    <xf numFmtId="0" fontId="50" fillId="20" borderId="14"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3"/>
    <xf numFmtId="0" fontId="53" fillId="0" borderId="0" applyBorder="0">
      <alignment horizontal="centerContinuous"/>
    </xf>
    <xf numFmtId="0" fontId="54"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4" fillId="0" borderId="0" applyFont="0" applyFill="0" applyBorder="0" applyAlignment="0" applyProtection="0"/>
    <xf numFmtId="0" fontId="56" fillId="0" borderId="0" applyNumberFormat="0" applyFill="0" applyBorder="0" applyAlignment="0" applyProtection="0"/>
    <xf numFmtId="0" fontId="31" fillId="0" borderId="15"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1" fillId="29" borderId="0">
      <alignment horizontal="right"/>
    </xf>
    <xf numFmtId="0" fontId="2" fillId="0" borderId="0"/>
    <xf numFmtId="43" fontId="2"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4"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6"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4" fillId="0" borderId="0" applyFont="0" applyFill="0" applyBorder="0" applyAlignment="0" applyProtection="0"/>
    <xf numFmtId="0" fontId="2" fillId="0" borderId="0"/>
    <xf numFmtId="0" fontId="2" fillId="0" borderId="0"/>
    <xf numFmtId="0" fontId="2" fillId="0" borderId="0"/>
    <xf numFmtId="0" fontId="2" fillId="0" borderId="0"/>
    <xf numFmtId="0" fontId="48" fillId="0" borderId="0"/>
    <xf numFmtId="37" fontId="14" fillId="0" borderId="0"/>
    <xf numFmtId="0" fontId="49" fillId="0" borderId="0"/>
    <xf numFmtId="0" fontId="49"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7" fillId="22" borderId="0" applyBorder="0">
      <alignment horizontal="right"/>
    </xf>
    <xf numFmtId="0" fontId="68" fillId="22" borderId="0">
      <alignment horizontal="center"/>
    </xf>
    <xf numFmtId="0" fontId="69" fillId="22" borderId="0" applyBorder="0"/>
    <xf numFmtId="0" fontId="69" fillId="22" borderId="0" applyBorder="0">
      <alignment horizontal="centerContinuous"/>
    </xf>
    <xf numFmtId="0" fontId="70"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1" fillId="29" borderId="0">
      <alignment horizontal="right"/>
    </xf>
    <xf numFmtId="43" fontId="8" fillId="0" borderId="0" applyFont="0" applyFill="0" applyBorder="0" applyAlignment="0" applyProtection="0"/>
    <xf numFmtId="37" fontId="14" fillId="0" borderId="0"/>
    <xf numFmtId="37" fontId="14" fillId="0" borderId="0"/>
    <xf numFmtId="40" fontId="51" fillId="29" borderId="0">
      <alignment horizontal="right"/>
    </xf>
    <xf numFmtId="40" fontId="51" fillId="29" borderId="0">
      <alignment horizontal="right"/>
    </xf>
    <xf numFmtId="43" fontId="8" fillId="0" borderId="0" applyFont="0" applyFill="0" applyBorder="0" applyAlignment="0" applyProtection="0"/>
    <xf numFmtId="40" fontId="51"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2" fillId="22" borderId="0" applyBorder="0">
      <alignment horizontal="centerContinuous"/>
    </xf>
    <xf numFmtId="0" fontId="73" fillId="32" borderId="0" applyBorder="0">
      <alignment horizontal="centerContinuous"/>
    </xf>
    <xf numFmtId="43" fontId="10" fillId="0" borderId="0" applyFont="0" applyFill="0" applyBorder="0" applyAlignment="0" applyProtection="0"/>
    <xf numFmtId="0" fontId="71" fillId="31" borderId="0">
      <alignment horizontal="center"/>
    </xf>
    <xf numFmtId="0" fontId="10" fillId="0" borderId="0"/>
    <xf numFmtId="0" fontId="1" fillId="0" borderId="0"/>
    <xf numFmtId="0" fontId="10" fillId="0" borderId="0"/>
    <xf numFmtId="0" fontId="71" fillId="31" borderId="0">
      <alignment horizontal="center"/>
    </xf>
    <xf numFmtId="0" fontId="52" fillId="29" borderId="0">
      <alignment horizontal="right"/>
    </xf>
    <xf numFmtId="0" fontId="30" fillId="32" borderId="0"/>
    <xf numFmtId="0" fontId="72" fillId="22" borderId="0" applyBorder="0">
      <alignment horizontal="centerContinuous"/>
    </xf>
    <xf numFmtId="0" fontId="53" fillId="0" borderId="0" applyBorder="0">
      <alignment horizontal="centerContinuous"/>
    </xf>
    <xf numFmtId="0" fontId="73" fillId="32" borderId="0" applyBorder="0">
      <alignment horizontal="centerContinuous"/>
    </xf>
    <xf numFmtId="0" fontId="54" fillId="0" borderId="0" applyBorder="0">
      <alignment horizontal="centerContinuous"/>
    </xf>
    <xf numFmtId="0" fontId="1" fillId="0" borderId="0"/>
    <xf numFmtId="40" fontId="51"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81">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0" fontId="13" fillId="0" borderId="0" xfId="4" applyFont="1" applyFill="1" applyBorder="1"/>
    <xf numFmtId="0" fontId="13" fillId="0" borderId="0" xfId="12" applyFont="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19" fillId="0" borderId="0" xfId="14" applyNumberFormat="1" applyFont="1" applyFill="1" applyBorder="1" applyProtection="1"/>
    <xf numFmtId="0" fontId="13" fillId="0" borderId="0" xfId="0" applyFont="1" applyFill="1" applyBorder="1"/>
    <xf numFmtId="0" fontId="8"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173" fontId="0" fillId="0" borderId="0" xfId="0" applyNumberFormat="1" applyFill="1"/>
    <xf numFmtId="175" fontId="13" fillId="0" borderId="0" xfId="9" applyNumberFormat="1" applyFont="1" applyFill="1"/>
    <xf numFmtId="43" fontId="13" fillId="0" borderId="0" xfId="9" applyFont="1" applyFill="1"/>
    <xf numFmtId="43" fontId="23" fillId="0" borderId="0" xfId="9" applyFont="1" applyFill="1" applyBorder="1" applyAlignment="1" applyProtection="1">
      <alignment horizontal="left"/>
    </xf>
    <xf numFmtId="10" fontId="0" fillId="0" borderId="0" xfId="0" applyNumberFormat="1" applyFill="1"/>
    <xf numFmtId="43" fontId="13" fillId="0" borderId="0" xfId="1" applyFont="1" applyFill="1"/>
    <xf numFmtId="0" fontId="8" fillId="0" borderId="0" xfId="0"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19"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10" fontId="13" fillId="0" borderId="0" xfId="0" applyNumberFormat="1" applyFont="1" applyFill="1" applyBorder="1" applyAlignment="1">
      <alignment horizontal="center"/>
    </xf>
    <xf numFmtId="10" fontId="61"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3" fillId="0" borderId="0" xfId="2" applyNumberFormat="1" applyFont="1" applyFill="1"/>
    <xf numFmtId="168" fontId="0" fillId="0" borderId="0" xfId="2" applyNumberFormat="1" applyFont="1"/>
    <xf numFmtId="168" fontId="20"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166" fontId="13" fillId="0" borderId="0" xfId="4" applyNumberFormat="1" applyFont="1" applyFill="1"/>
    <xf numFmtId="0" fontId="13" fillId="0" borderId="0" xfId="4" applyFont="1" applyFill="1"/>
    <xf numFmtId="3" fontId="13" fillId="0" borderId="0" xfId="4" applyNumberFormat="1" applyFont="1" applyFill="1"/>
    <xf numFmtId="10" fontId="13" fillId="0" borderId="0" xfId="4" applyNumberFormat="1" applyFont="1" applyFill="1"/>
    <xf numFmtId="169" fontId="0" fillId="0" borderId="0" xfId="0" applyNumberFormat="1" applyFill="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2"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2"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5"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3" fontId="65" fillId="0" borderId="16" xfId="6" applyNumberFormat="1" applyFont="1" applyFill="1" applyBorder="1" applyAlignment="1">
      <alignment horizontal="center"/>
    </xf>
    <xf numFmtId="0" fontId="65" fillId="0" borderId="16" xfId="6" applyFont="1" applyFill="1" applyBorder="1" applyAlignment="1">
      <alignment horizontal="center"/>
    </xf>
    <xf numFmtId="0" fontId="65" fillId="0" borderId="16" xfId="6" applyFont="1" applyFill="1" applyBorder="1"/>
    <xf numFmtId="0" fontId="10" fillId="0" borderId="16" xfId="6" applyFont="1" applyFill="1" applyBorder="1" applyAlignment="1">
      <alignment horizontal="left"/>
    </xf>
    <xf numFmtId="37" fontId="62"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5" fillId="0" borderId="17" xfId="6" applyNumberFormat="1" applyFont="1" applyFill="1" applyBorder="1" applyAlignment="1">
      <alignment horizontal="center"/>
    </xf>
    <xf numFmtId="10" fontId="65" fillId="0" borderId="17" xfId="6" applyNumberFormat="1" applyFont="1" applyFill="1" applyBorder="1" applyAlignment="1">
      <alignment horizontal="center"/>
    </xf>
    <xf numFmtId="2" fontId="65" fillId="0" borderId="17" xfId="6" applyNumberFormat="1" applyFont="1" applyFill="1" applyBorder="1" applyAlignment="1">
      <alignment horizontal="center"/>
    </xf>
    <xf numFmtId="0" fontId="10" fillId="0" borderId="27" xfId="0" applyFont="1" applyFill="1" applyBorder="1"/>
    <xf numFmtId="3" fontId="65" fillId="0" borderId="18" xfId="6" applyNumberFormat="1" applyFont="1" applyFill="1" applyBorder="1" applyAlignment="1">
      <alignment horizontal="center"/>
    </xf>
    <xf numFmtId="10" fontId="65" fillId="0" borderId="18" xfId="6" applyNumberFormat="1" applyFont="1" applyFill="1" applyBorder="1" applyAlignment="1">
      <alignment horizontal="center"/>
    </xf>
    <xf numFmtId="2" fontId="65"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5"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0" fontId="13" fillId="0" borderId="0" xfId="4" applyFont="1" applyFill="1" applyAlignment="1">
      <alignment horizontal="center"/>
    </xf>
    <xf numFmtId="166" fontId="12" fillId="0" borderId="0" xfId="207" applyNumberFormat="1" applyFont="1" applyFill="1"/>
    <xf numFmtId="184" fontId="13" fillId="0" borderId="0" xfId="250" applyNumberFormat="1" applyFont="1" applyFill="1"/>
    <xf numFmtId="166" fontId="12" fillId="0" borderId="1" xfId="207" applyNumberFormat="1" applyFont="1" applyFill="1" applyBorder="1"/>
    <xf numFmtId="0" fontId="12" fillId="0" borderId="0" xfId="11" applyFont="1"/>
    <xf numFmtId="166" fontId="13" fillId="0" borderId="0" xfId="207" applyNumberFormat="1" applyFont="1" applyFill="1"/>
    <xf numFmtId="166" fontId="13" fillId="0" borderId="0" xfId="207" applyNumberFormat="1" applyFont="1" applyFill="1" applyBorder="1"/>
    <xf numFmtId="41" fontId="13" fillId="0" borderId="0" xfId="207" applyNumberFormat="1" applyFont="1" applyFill="1" applyBorder="1"/>
    <xf numFmtId="166" fontId="16" fillId="0" borderId="0" xfId="207" applyNumberFormat="1" applyFont="1" applyFill="1"/>
    <xf numFmtId="43" fontId="12" fillId="0" borderId="0" xfId="9" applyFont="1" applyFill="1"/>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10" fontId="10" fillId="0" borderId="16" xfId="0" applyNumberFormat="1" applyFont="1" applyFill="1" applyBorder="1" applyAlignment="1">
      <alignment horizontal="center"/>
    </xf>
    <xf numFmtId="169" fontId="10" fillId="0" borderId="17" xfId="2" applyNumberFormat="1" applyFont="1" applyFill="1" applyBorder="1"/>
    <xf numFmtId="0" fontId="0" fillId="0" borderId="0" xfId="0" applyFill="1" applyAlignment="1">
      <alignment horizontal="center" vertical="center"/>
    </xf>
    <xf numFmtId="0" fontId="0" fillId="0" borderId="0" xfId="0" applyFill="1" applyAlignment="1">
      <alignment horizontal="center"/>
    </xf>
    <xf numFmtId="0" fontId="60" fillId="0" borderId="0" xfId="0" applyFont="1" applyFill="1" applyAlignment="1">
      <alignment horizontal="left" vertical="center"/>
    </xf>
    <xf numFmtId="0" fontId="75" fillId="0" borderId="0" xfId="0" applyFont="1" applyFill="1"/>
    <xf numFmtId="0" fontId="60" fillId="0" borderId="0" xfId="0" applyFont="1" applyFill="1" applyAlignment="1">
      <alignment horizontal="center" wrapText="1"/>
    </xf>
    <xf numFmtId="0" fontId="60" fillId="0" borderId="0" xfId="0" applyFont="1" applyFill="1"/>
    <xf numFmtId="0" fontId="60" fillId="0" borderId="0" xfId="0" applyFont="1" applyFill="1" applyAlignment="1">
      <alignment horizontal="center"/>
    </xf>
    <xf numFmtId="0" fontId="60"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0"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0" fillId="0" borderId="0" xfId="0" applyFont="1" applyFill="1" applyAlignment="1">
      <alignment horizontal="left" indent="2"/>
    </xf>
    <xf numFmtId="168" fontId="60" fillId="0" borderId="33" xfId="2" applyNumberFormat="1" applyFont="1" applyFill="1" applyBorder="1"/>
    <xf numFmtId="173" fontId="14" fillId="0" borderId="0" xfId="247" applyNumberFormat="1" applyFont="1" applyFill="1"/>
    <xf numFmtId="17" fontId="0" fillId="0" borderId="0" xfId="0" applyNumberFormat="1" applyFill="1"/>
    <xf numFmtId="0" fontId="60" fillId="0" borderId="0" xfId="0" applyFont="1" applyFill="1" applyAlignment="1">
      <alignment horizontal="center" vertical="center" wrapText="1"/>
    </xf>
    <xf numFmtId="37" fontId="76" fillId="0" borderId="0" xfId="0" applyNumberFormat="1" applyFont="1" applyFill="1" applyBorder="1"/>
    <xf numFmtId="173" fontId="0" fillId="0" borderId="0" xfId="1" applyNumberFormat="1"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0" borderId="1" xfId="2" applyNumberFormat="1" applyFont="1" applyFill="1" applyBorder="1"/>
    <xf numFmtId="9" fontId="13" fillId="0" borderId="0" xfId="3" applyFont="1" applyFill="1"/>
    <xf numFmtId="9" fontId="12" fillId="0" borderId="0" xfId="3" applyFont="1" applyFill="1"/>
    <xf numFmtId="10" fontId="0" fillId="0" borderId="0" xfId="3" applyNumberFormat="1" applyFont="1" applyBorder="1"/>
    <xf numFmtId="10" fontId="13" fillId="0" borderId="0" xfId="207" applyNumberFormat="1" applyFont="1" applyFill="1"/>
    <xf numFmtId="173" fontId="19" fillId="0" borderId="0" xfId="250" applyNumberFormat="1" applyFont="1" applyFill="1" applyBorder="1" applyProtection="1"/>
    <xf numFmtId="10" fontId="12" fillId="0" borderId="1" xfId="207" applyNumberFormat="1" applyFont="1" applyFill="1" applyBorder="1"/>
    <xf numFmtId="167" fontId="10" fillId="0" borderId="18" xfId="0" applyNumberFormat="1" applyFont="1" applyFill="1" applyBorder="1"/>
    <xf numFmtId="0" fontId="13" fillId="0" borderId="0" xfId="4" applyFont="1"/>
    <xf numFmtId="3" fontId="13" fillId="0" borderId="0" xfId="4" applyNumberFormat="1" applyFont="1"/>
    <xf numFmtId="170" fontId="13" fillId="0" borderId="0" xfId="4" applyNumberFormat="1" applyFont="1"/>
    <xf numFmtId="3" fontId="13" fillId="0" borderId="0" xfId="4" applyNumberFormat="1" applyFont="1" applyAlignment="1">
      <alignment horizontal="center"/>
    </xf>
    <xf numFmtId="0" fontId="6" fillId="0" borderId="0" xfId="4"/>
    <xf numFmtId="171" fontId="13" fillId="0" borderId="0" xfId="4" applyNumberFormat="1" applyFont="1"/>
    <xf numFmtId="0" fontId="13" fillId="0" borderId="0" xfId="4" applyFont="1" applyAlignment="1">
      <alignment horizontal="center"/>
    </xf>
    <xf numFmtId="170" fontId="13" fillId="0" borderId="0" xfId="4" applyNumberFormat="1" applyFont="1" applyAlignment="1">
      <alignment horizontal="center"/>
    </xf>
    <xf numFmtId="171" fontId="13" fillId="0" borderId="0" xfId="4" applyNumberFormat="1" applyFont="1" applyAlignment="1">
      <alignment horizontal="center"/>
    </xf>
    <xf numFmtId="0" fontId="13" fillId="0" borderId="1" xfId="4" applyFont="1" applyBorder="1" applyAlignment="1">
      <alignment horizontal="center"/>
    </xf>
    <xf numFmtId="3" fontId="13" fillId="0" borderId="1" xfId="4" applyNumberFormat="1" applyFont="1" applyBorder="1" applyAlignment="1">
      <alignment horizontal="center"/>
    </xf>
    <xf numFmtId="170" fontId="13" fillId="0" borderId="1" xfId="4" applyNumberFormat="1" applyFont="1" applyBorder="1" applyAlignment="1">
      <alignment horizontal="center"/>
    </xf>
    <xf numFmtId="171" fontId="13" fillId="0" borderId="1" xfId="4" applyNumberFormat="1" applyFont="1" applyBorder="1" applyAlignment="1">
      <alignment horizontal="center"/>
    </xf>
    <xf numFmtId="14" fontId="13" fillId="0" borderId="1" xfId="4" applyNumberFormat="1" applyFont="1" applyBorder="1" applyAlignment="1">
      <alignment horizontal="center"/>
    </xf>
    <xf numFmtId="172" fontId="13" fillId="0" borderId="0" xfId="4" applyNumberFormat="1" applyFont="1" applyAlignment="1">
      <alignment horizontal="center"/>
    </xf>
    <xf numFmtId="166" fontId="13" fillId="0" borderId="0" xfId="393" applyNumberFormat="1" applyFont="1" applyFill="1" applyAlignment="1">
      <alignment horizontal="center"/>
    </xf>
    <xf numFmtId="0" fontId="17" fillId="0" borderId="0" xfId="4" applyFont="1" applyAlignment="1">
      <alignment horizontal="left" vertical="top"/>
    </xf>
    <xf numFmtId="14" fontId="13" fillId="0" borderId="0" xfId="4" applyNumberFormat="1" applyFont="1" applyAlignment="1">
      <alignment horizontal="right"/>
    </xf>
    <xf numFmtId="0" fontId="13" fillId="0" borderId="0" xfId="4" applyFont="1" applyAlignment="1">
      <alignment horizontal="right"/>
    </xf>
    <xf numFmtId="41" fontId="13" fillId="0" borderId="0" xfId="4" applyNumberFormat="1" applyFont="1"/>
    <xf numFmtId="0" fontId="18" fillId="0" borderId="0" xfId="4" applyFont="1"/>
    <xf numFmtId="0" fontId="17" fillId="0" borderId="0" xfId="4" applyFont="1"/>
    <xf numFmtId="0" fontId="12" fillId="0" borderId="0" xfId="4" applyFont="1" applyAlignment="1">
      <alignment horizontal="right"/>
    </xf>
    <xf numFmtId="0" fontId="12" fillId="0" borderId="0" xfId="4" applyFont="1"/>
    <xf numFmtId="41" fontId="12" fillId="0" borderId="0" xfId="4" applyNumberFormat="1" applyFont="1"/>
    <xf numFmtId="3" fontId="12" fillId="0" borderId="0" xfId="4" applyNumberFormat="1" applyFont="1"/>
    <xf numFmtId="41" fontId="13" fillId="0" borderId="35" xfId="207" applyNumberFormat="1" applyFont="1" applyFill="1" applyBorder="1"/>
    <xf numFmtId="10" fontId="13" fillId="0" borderId="0" xfId="4" applyNumberFormat="1" applyFont="1"/>
    <xf numFmtId="14" fontId="13" fillId="0" borderId="0" xfId="4" applyNumberFormat="1" applyFont="1"/>
    <xf numFmtId="173" fontId="13" fillId="0" borderId="0" xfId="272" applyNumberFormat="1" applyFont="1" applyFill="1"/>
    <xf numFmtId="3" fontId="13" fillId="0" borderId="0" xfId="11" applyNumberFormat="1" applyFont="1"/>
    <xf numFmtId="10" fontId="13" fillId="0" borderId="0" xfId="12" applyNumberFormat="1" applyFont="1"/>
    <xf numFmtId="14" fontId="13" fillId="0" borderId="0" xfId="12" applyNumberFormat="1" applyFont="1" applyAlignment="1">
      <alignment horizontal="right"/>
    </xf>
    <xf numFmtId="173" fontId="13" fillId="0" borderId="0" xfId="272" applyNumberFormat="1" applyFont="1" applyFill="1" applyBorder="1"/>
    <xf numFmtId="3" fontId="13" fillId="0" borderId="1" xfId="12" applyNumberFormat="1" applyFont="1" applyBorder="1"/>
    <xf numFmtId="3" fontId="13" fillId="0" borderId="1" xfId="4" applyNumberFormat="1" applyFont="1" applyBorder="1"/>
    <xf numFmtId="185" fontId="13" fillId="0" borderId="0" xfId="4" applyNumberFormat="1" applyFont="1" applyAlignment="1">
      <alignment horizontal="right"/>
    </xf>
    <xf numFmtId="3" fontId="13" fillId="0" borderId="5" xfId="4" applyNumberFormat="1" applyFont="1" applyBorder="1"/>
    <xf numFmtId="3" fontId="13" fillId="0" borderId="0" xfId="4" applyNumberFormat="1" applyFont="1" applyAlignment="1">
      <alignment horizontal="right"/>
    </xf>
    <xf numFmtId="0" fontId="13" fillId="0" borderId="1" xfId="4" applyFont="1" applyBorder="1"/>
    <xf numFmtId="43" fontId="14" fillId="0" borderId="0" xfId="1" applyFont="1" applyFill="1" applyBorder="1" applyAlignment="1">
      <alignment horizontal="left"/>
    </xf>
    <xf numFmtId="189" fontId="10" fillId="0" borderId="17" xfId="0" applyNumberFormat="1" applyFont="1" applyFill="1" applyBorder="1" applyAlignment="1">
      <alignment horizontal="center"/>
    </xf>
    <xf numFmtId="189" fontId="10" fillId="0" borderId="16" xfId="0" applyNumberFormat="1" applyFont="1" applyFill="1" applyBorder="1" applyAlignment="1">
      <alignment horizontal="center"/>
    </xf>
    <xf numFmtId="189" fontId="10" fillId="0" borderId="18" xfId="0" applyNumberFormat="1" applyFont="1" applyBorder="1" applyAlignment="1">
      <alignment horizontal="center"/>
    </xf>
    <xf numFmtId="0" fontId="8" fillId="34" borderId="36" xfId="4" applyFont="1" applyFill="1" applyBorder="1"/>
    <xf numFmtId="184" fontId="8" fillId="34" borderId="0" xfId="250" applyNumberFormat="1" applyFont="1" applyFill="1" applyBorder="1"/>
    <xf numFmtId="10" fontId="8" fillId="34" borderId="3" xfId="3" applyNumberFormat="1" applyFont="1" applyFill="1" applyBorder="1"/>
    <xf numFmtId="0" fontId="8" fillId="34" borderId="0" xfId="4" applyFont="1" applyFill="1" applyBorder="1"/>
    <xf numFmtId="0" fontId="8" fillId="34" borderId="37" xfId="4" applyFont="1" applyFill="1" applyBorder="1"/>
    <xf numFmtId="184" fontId="8" fillId="34" borderId="1" xfId="250" applyNumberFormat="1" applyFont="1" applyFill="1" applyBorder="1"/>
    <xf numFmtId="0" fontId="8" fillId="34" borderId="38" xfId="4" applyFont="1" applyFill="1" applyBorder="1"/>
    <xf numFmtId="166" fontId="14" fillId="0" borderId="0" xfId="3" applyNumberFormat="1" applyFont="1"/>
    <xf numFmtId="173" fontId="0" fillId="0" borderId="0" xfId="272" applyNumberFormat="1" applyFont="1" applyFill="1"/>
    <xf numFmtId="0" fontId="0" fillId="0" borderId="0" xfId="0" quotePrefix="1" applyAlignment="1">
      <alignment horizontal="right"/>
    </xf>
    <xf numFmtId="17" fontId="0" fillId="0" borderId="0" xfId="0" applyNumberFormat="1"/>
    <xf numFmtId="37" fontId="76" fillId="0" borderId="0" xfId="0" applyNumberFormat="1" applyFont="1"/>
    <xf numFmtId="37" fontId="0" fillId="0" borderId="0" xfId="0" applyNumberFormat="1"/>
    <xf numFmtId="0" fontId="0" fillId="0" borderId="0" xfId="0" applyAlignment="1">
      <alignment horizontal="right"/>
    </xf>
    <xf numFmtId="173" fontId="0" fillId="0" borderId="0" xfId="272" applyNumberFormat="1" applyFont="1" applyFill="1" applyBorder="1" applyAlignment="1">
      <alignment horizontal="right"/>
    </xf>
    <xf numFmtId="173" fontId="0" fillId="0" borderId="0" xfId="272" quotePrefix="1" applyNumberFormat="1" applyFont="1" applyFill="1" applyBorder="1" applyAlignment="1">
      <alignment horizontal="right"/>
    </xf>
    <xf numFmtId="173" fontId="0" fillId="0" borderId="0" xfId="272" applyNumberFormat="1" applyFont="1" applyFill="1" applyAlignment="1">
      <alignment horizontal="right"/>
    </xf>
    <xf numFmtId="168" fontId="0" fillId="0" borderId="0" xfId="0" applyNumberFormat="1" applyAlignment="1">
      <alignment horizontal="right"/>
    </xf>
    <xf numFmtId="173" fontId="0" fillId="0" borderId="0" xfId="457" applyNumberFormat="1" applyFont="1" applyFill="1" applyBorder="1" applyAlignment="1">
      <alignment horizontal="right"/>
    </xf>
    <xf numFmtId="1" fontId="0" fillId="0" borderId="0" xfId="0" applyNumberFormat="1" applyAlignment="1">
      <alignment horizontal="right"/>
    </xf>
    <xf numFmtId="0" fontId="74" fillId="0" borderId="0" xfId="0" applyFont="1"/>
    <xf numFmtId="168" fontId="0" fillId="0" borderId="34" xfId="0" applyNumberFormat="1" applyBorder="1" applyAlignment="1">
      <alignment horizontal="right"/>
    </xf>
    <xf numFmtId="173" fontId="14" fillId="0" borderId="0" xfId="1" applyNumberFormat="1" applyFont="1" applyFill="1" applyBorder="1" applyAlignment="1">
      <alignment horizontal="left"/>
    </xf>
    <xf numFmtId="0" fontId="60" fillId="34" borderId="39" xfId="4" applyFont="1" applyFill="1" applyBorder="1"/>
    <xf numFmtId="0" fontId="60" fillId="34" borderId="40" xfId="4" applyFont="1" applyFill="1" applyBorder="1"/>
    <xf numFmtId="10" fontId="60" fillId="34" borderId="41" xfId="3" applyNumberFormat="1" applyFont="1" applyFill="1" applyBorder="1"/>
    <xf numFmtId="0" fontId="13" fillId="0" borderId="0" xfId="4" applyFont="1" applyFill="1" applyAlignment="1">
      <alignment horizontal="center"/>
    </xf>
    <xf numFmtId="10" fontId="0" fillId="0" borderId="0" xfId="3" applyNumberFormat="1" applyFont="1" applyFill="1"/>
    <xf numFmtId="184" fontId="13" fillId="0" borderId="0" xfId="272" applyNumberFormat="1" applyFont="1" applyFill="1"/>
    <xf numFmtId="10" fontId="13" fillId="0" borderId="0" xfId="393" applyNumberFormat="1" applyFont="1" applyFill="1"/>
    <xf numFmtId="184" fontId="13" fillId="0" borderId="0" xfId="4" applyNumberFormat="1" applyFont="1"/>
    <xf numFmtId="166" fontId="13" fillId="0" borderId="0" xfId="4" applyNumberFormat="1" applyFont="1"/>
    <xf numFmtId="0" fontId="13" fillId="0" borderId="0" xfId="4" applyFont="1" applyBorder="1"/>
    <xf numFmtId="0" fontId="13" fillId="0" borderId="0" xfId="4" applyFont="1" applyFill="1" applyAlignment="1">
      <alignment horizontal="center"/>
    </xf>
    <xf numFmtId="0" fontId="13" fillId="0" borderId="0" xfId="0" applyFont="1" applyFill="1" applyAlignment="1">
      <alignment horizontal="center"/>
    </xf>
    <xf numFmtId="189" fontId="10" fillId="0" borderId="18" xfId="0" applyNumberFormat="1" applyFont="1" applyFill="1" applyBorder="1" applyAlignment="1">
      <alignment horizontal="center"/>
    </xf>
    <xf numFmtId="168" fontId="10" fillId="0" borderId="17" xfId="2" applyNumberFormat="1" applyFont="1" applyFill="1" applyBorder="1"/>
    <xf numFmtId="168" fontId="10" fillId="0" borderId="18" xfId="2" applyNumberFormat="1" applyFont="1" applyFill="1" applyBorder="1"/>
    <xf numFmtId="49" fontId="10" fillId="0" borderId="0" xfId="0" applyNumberFormat="1" applyFont="1"/>
    <xf numFmtId="0" fontId="13" fillId="0" borderId="0" xfId="11" applyFont="1"/>
    <xf numFmtId="165" fontId="12" fillId="0" borderId="0" xfId="11" applyNumberFormat="1" applyFont="1" applyAlignment="1">
      <alignment horizontal="left"/>
    </xf>
    <xf numFmtId="0" fontId="8" fillId="0" borderId="0" xfId="11"/>
    <xf numFmtId="37" fontId="13" fillId="0" borderId="0" xfId="13" applyFont="1" applyAlignment="1">
      <alignment horizontal="center"/>
    </xf>
    <xf numFmtId="17" fontId="13" fillId="0" borderId="0" xfId="11" applyNumberFormat="1" applyFont="1" applyAlignment="1">
      <alignment horizontal="center"/>
    </xf>
    <xf numFmtId="0" fontId="13" fillId="0" borderId="0" xfId="11" applyFont="1" applyAlignment="1">
      <alignment horizontal="center" wrapText="1"/>
    </xf>
    <xf numFmtId="168" fontId="13" fillId="0" borderId="0" xfId="5" applyNumberFormat="1" applyFont="1" applyFill="1"/>
    <xf numFmtId="168" fontId="20" fillId="0" borderId="0" xfId="5" applyNumberFormat="1" applyFont="1" applyFill="1" applyBorder="1" applyProtection="1"/>
    <xf numFmtId="5" fontId="8" fillId="0" borderId="0" xfId="11" applyNumberFormat="1"/>
    <xf numFmtId="0" fontId="19" fillId="0" borderId="0" xfId="14" applyFont="1"/>
    <xf numFmtId="0" fontId="21" fillId="0" borderId="0" xfId="11" applyFont="1" applyAlignment="1">
      <alignment horizontal="right"/>
    </xf>
    <xf numFmtId="10" fontId="13" fillId="0" borderId="0" xfId="207" applyNumberFormat="1" applyFont="1" applyFill="1" applyBorder="1"/>
    <xf numFmtId="5" fontId="19" fillId="0" borderId="0" xfId="14" applyNumberFormat="1" applyFont="1"/>
    <xf numFmtId="168" fontId="13" fillId="0" borderId="0" xfId="5" applyNumberFormat="1" applyFont="1" applyFill="1" applyBorder="1"/>
    <xf numFmtId="168" fontId="12" fillId="0" borderId="0" xfId="5" applyNumberFormat="1" applyFont="1" applyFill="1" applyBorder="1"/>
    <xf numFmtId="173" fontId="12" fillId="0" borderId="0" xfId="272" applyNumberFormat="1" applyFont="1" applyFill="1"/>
    <xf numFmtId="37" fontId="19" fillId="0" borderId="0" xfId="14" applyNumberFormat="1" applyFont="1"/>
    <xf numFmtId="37" fontId="12" fillId="0" borderId="1" xfId="11" applyNumberFormat="1" applyFont="1" applyBorder="1"/>
    <xf numFmtId="168" fontId="13" fillId="0" borderId="5" xfId="5" applyNumberFormat="1" applyFont="1" applyFill="1" applyBorder="1"/>
    <xf numFmtId="168" fontId="12" fillId="0" borderId="5" xfId="5" applyNumberFormat="1" applyFont="1" applyFill="1" applyBorder="1"/>
    <xf numFmtId="174" fontId="13" fillId="0" borderId="0" xfId="11" applyNumberFormat="1" applyFont="1" applyAlignment="1">
      <alignment horizontal="left"/>
    </xf>
    <xf numFmtId="10" fontId="13" fillId="0" borderId="0" xfId="11" applyNumberFormat="1" applyFont="1"/>
    <xf numFmtId="0" fontId="12" fillId="0" borderId="0" xfId="11" applyFont="1" applyAlignment="1">
      <alignment horizontal="right"/>
    </xf>
    <xf numFmtId="168" fontId="12" fillId="0" borderId="0" xfId="5" applyNumberFormat="1" applyFont="1" applyFill="1"/>
    <xf numFmtId="173" fontId="8" fillId="0" borderId="0" xfId="11" applyNumberFormat="1"/>
    <xf numFmtId="168" fontId="12" fillId="0" borderId="0" xfId="11" applyNumberFormat="1" applyFont="1"/>
    <xf numFmtId="10" fontId="12" fillId="0" borderId="0" xfId="11" applyNumberFormat="1" applyFont="1"/>
    <xf numFmtId="10" fontId="8" fillId="0" borderId="0" xfId="11" applyNumberFormat="1"/>
    <xf numFmtId="37" fontId="14" fillId="0" borderId="0" xfId="13" applyFont="1" applyAlignment="1">
      <alignment horizontal="center"/>
    </xf>
    <xf numFmtId="188" fontId="0" fillId="0" borderId="0" xfId="207" applyNumberFormat="1" applyFont="1" applyFill="1"/>
    <xf numFmtId="166" fontId="14" fillId="0" borderId="0" xfId="207" applyNumberFormat="1" applyFont="1"/>
    <xf numFmtId="10" fontId="0" fillId="0" borderId="0" xfId="207" applyNumberFormat="1" applyFont="1" applyFill="1"/>
    <xf numFmtId="0" fontId="10" fillId="0" borderId="0" xfId="11" applyFont="1"/>
    <xf numFmtId="49" fontId="0" fillId="0" borderId="0" xfId="0" applyNumberFormat="1" applyFill="1"/>
    <xf numFmtId="189" fontId="10" fillId="0" borderId="31" xfId="0" applyNumberFormat="1" applyFont="1" applyFill="1" applyBorder="1" applyAlignment="1">
      <alignment horizontal="center"/>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2" fillId="35" borderId="0" xfId="4" applyFont="1" applyFill="1" applyAlignment="1">
      <alignment horizontal="center"/>
    </xf>
    <xf numFmtId="0" fontId="13" fillId="35" borderId="0" xfId="4" applyFont="1" applyFill="1" applyAlignment="1">
      <alignment horizontal="center"/>
    </xf>
    <xf numFmtId="164" fontId="13" fillId="35" borderId="0" xfId="4" applyNumberFormat="1" applyFont="1" applyFill="1" applyAlignment="1">
      <alignment horizontal="center"/>
    </xf>
    <xf numFmtId="0" fontId="0" fillId="34" borderId="42" xfId="4" applyFont="1" applyFill="1" applyBorder="1" applyAlignment="1">
      <alignment horizontal="center"/>
    </xf>
    <xf numFmtId="0" fontId="8" fillId="34" borderId="34" xfId="4" applyFont="1" applyFill="1" applyBorder="1" applyAlignment="1">
      <alignment horizontal="center"/>
    </xf>
    <xf numFmtId="0" fontId="8" fillId="34" borderId="43" xfId="4" applyFont="1" applyFill="1" applyBorder="1" applyAlignment="1">
      <alignment horizontal="center"/>
    </xf>
    <xf numFmtId="0" fontId="12" fillId="0" borderId="0" xfId="4" applyFont="1" applyAlignment="1">
      <alignment horizontal="center"/>
    </xf>
    <xf numFmtId="0" fontId="13" fillId="0" borderId="0" xfId="4" applyFont="1" applyAlignment="1">
      <alignment horizontal="center"/>
    </xf>
    <xf numFmtId="164" fontId="13" fillId="0" borderId="0" xfId="4" applyNumberFormat="1" applyFont="1" applyAlignment="1">
      <alignment horizontal="center"/>
    </xf>
    <xf numFmtId="5" fontId="24" fillId="0" borderId="0" xfId="14" applyNumberFormat="1" applyFont="1" applyAlignment="1">
      <alignment horizontal="left"/>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0" fontId="60"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0" fillId="0" borderId="0" xfId="0" applyFont="1" applyFill="1" applyAlignment="1">
      <alignment horizontal="left"/>
    </xf>
  </cellXfs>
  <cellStyles count="458">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2decimal" xfId="23" xr:uid="{00000000-0005-0000-0000-000006000000}"/>
    <cellStyle name="40% - Accent1 2" xfId="24" xr:uid="{00000000-0005-0000-0000-000007000000}"/>
    <cellStyle name="40% - Accent2 2" xfId="25" xr:uid="{00000000-0005-0000-0000-000008000000}"/>
    <cellStyle name="40% - Accent3 2" xfId="26" xr:uid="{00000000-0005-0000-0000-000009000000}"/>
    <cellStyle name="40% - Accent4 2" xfId="27" xr:uid="{00000000-0005-0000-0000-00000A000000}"/>
    <cellStyle name="40% - Accent5 2" xfId="28" xr:uid="{00000000-0005-0000-0000-00000B000000}"/>
    <cellStyle name="40% - Accent6 2" xfId="29" xr:uid="{00000000-0005-0000-0000-00000C000000}"/>
    <cellStyle name="60% - Accent1 2" xfId="30" xr:uid="{00000000-0005-0000-0000-00000D000000}"/>
    <cellStyle name="60% - Accent2 2" xfId="31" xr:uid="{00000000-0005-0000-0000-00000E000000}"/>
    <cellStyle name="60% - Accent3 2" xfId="32" xr:uid="{00000000-0005-0000-0000-00000F000000}"/>
    <cellStyle name="60% - Accent4 2" xfId="33" xr:uid="{00000000-0005-0000-0000-000010000000}"/>
    <cellStyle name="60% - Accent5 2" xfId="34" xr:uid="{00000000-0005-0000-0000-000011000000}"/>
    <cellStyle name="60% - Accent6 2" xfId="35" xr:uid="{00000000-0005-0000-0000-000012000000}"/>
    <cellStyle name="Accent1 2" xfId="36" xr:uid="{00000000-0005-0000-0000-000013000000}"/>
    <cellStyle name="Accent2 2" xfId="37" xr:uid="{00000000-0005-0000-0000-000014000000}"/>
    <cellStyle name="Accent3 2" xfId="38" xr:uid="{00000000-0005-0000-0000-000015000000}"/>
    <cellStyle name="Accent4 2" xfId="39" xr:uid="{00000000-0005-0000-0000-000016000000}"/>
    <cellStyle name="Accent5 2" xfId="40" xr:uid="{00000000-0005-0000-0000-000017000000}"/>
    <cellStyle name="Accent6 2" xfId="41" xr:uid="{00000000-0005-0000-0000-000018000000}"/>
    <cellStyle name="Bad 2" xfId="42" xr:uid="{00000000-0005-0000-0000-000019000000}"/>
    <cellStyle name="Calculation 2" xfId="43" xr:uid="{00000000-0005-0000-0000-00001A000000}"/>
    <cellStyle name="category" xfId="44" xr:uid="{00000000-0005-0000-0000-00001B000000}"/>
    <cellStyle name="Check Cell 2" xfId="45" xr:uid="{00000000-0005-0000-0000-00001C000000}"/>
    <cellStyle name="ColumnAttributeAbovePrompt" xfId="46" xr:uid="{00000000-0005-0000-0000-00001D000000}"/>
    <cellStyle name="ColumnAttributePrompt" xfId="47" xr:uid="{00000000-0005-0000-0000-00001E000000}"/>
    <cellStyle name="ColumnAttributeValue" xfId="48" xr:uid="{00000000-0005-0000-0000-00001F000000}"/>
    <cellStyle name="ColumnHeadingPrompt" xfId="49" xr:uid="{00000000-0005-0000-0000-000020000000}"/>
    <cellStyle name="ColumnHeadingValue" xfId="50" xr:uid="{00000000-0005-0000-0000-000021000000}"/>
    <cellStyle name="Comma" xfId="1" builtinId="3"/>
    <cellStyle name="Comma [0] 2" xfId="51" xr:uid="{00000000-0005-0000-0000-000023000000}"/>
    <cellStyle name="Comma [0] 2 2" xfId="270" xr:uid="{00000000-0005-0000-0000-000024000000}"/>
    <cellStyle name="Comma [0] 3" xfId="271" xr:uid="{00000000-0005-0000-0000-000025000000}"/>
    <cellStyle name="Comma 10" xfId="52" xr:uid="{00000000-0005-0000-0000-000026000000}"/>
    <cellStyle name="Comma 10 2" xfId="272" xr:uid="{00000000-0005-0000-0000-000027000000}"/>
    <cellStyle name="Comma 10 2 2" xfId="457" xr:uid="{442A89A6-D7F9-43E8-A602-617983268057}"/>
    <cellStyle name="Comma 11" xfId="245" xr:uid="{00000000-0005-0000-0000-000028000000}"/>
    <cellStyle name="Comma 11 2" xfId="273" xr:uid="{00000000-0005-0000-0000-000029000000}"/>
    <cellStyle name="Comma 12" xfId="247" xr:uid="{00000000-0005-0000-0000-00002A000000}"/>
    <cellStyle name="Comma 12 2" xfId="274" xr:uid="{00000000-0005-0000-0000-00002B000000}"/>
    <cellStyle name="Comma 13" xfId="252" xr:uid="{00000000-0005-0000-0000-00002C000000}"/>
    <cellStyle name="Comma 13 2" xfId="275" xr:uid="{00000000-0005-0000-0000-00002D000000}"/>
    <cellStyle name="Comma 14" xfId="261" xr:uid="{00000000-0005-0000-0000-00002E000000}"/>
    <cellStyle name="Comma 14 2" xfId="276" xr:uid="{00000000-0005-0000-0000-00002F000000}"/>
    <cellStyle name="Comma 15" xfId="254" xr:uid="{00000000-0005-0000-0000-000030000000}"/>
    <cellStyle name="Comma 15 2" xfId="277" xr:uid="{00000000-0005-0000-0000-000031000000}"/>
    <cellStyle name="Comma 16" xfId="265" xr:uid="{00000000-0005-0000-0000-000032000000}"/>
    <cellStyle name="Comma 16 2" xfId="278" xr:uid="{00000000-0005-0000-0000-000033000000}"/>
    <cellStyle name="Comma 17" xfId="259" xr:uid="{00000000-0005-0000-0000-000034000000}"/>
    <cellStyle name="Comma 17 2" xfId="279" xr:uid="{00000000-0005-0000-0000-000035000000}"/>
    <cellStyle name="Comma 18" xfId="263" xr:uid="{00000000-0005-0000-0000-000036000000}"/>
    <cellStyle name="Comma 18 2" xfId="280" xr:uid="{00000000-0005-0000-0000-000037000000}"/>
    <cellStyle name="Comma 19" xfId="257" xr:uid="{00000000-0005-0000-0000-000038000000}"/>
    <cellStyle name="Comma 19 2" xfId="281" xr:uid="{00000000-0005-0000-0000-000039000000}"/>
    <cellStyle name="Comma 2" xfId="53" xr:uid="{00000000-0005-0000-0000-00003A000000}"/>
    <cellStyle name="Comma 2 2" xfId="9" xr:uid="{00000000-0005-0000-0000-00003B000000}"/>
    <cellStyle name="Comma 2 2 2" xfId="54" xr:uid="{00000000-0005-0000-0000-00003C000000}"/>
    <cellStyle name="Comma 2 2 2 2" xfId="282" xr:uid="{00000000-0005-0000-0000-00003D000000}"/>
    <cellStyle name="Comma 2 2 2 3" xfId="436" xr:uid="{00000000-0005-0000-0000-00003E000000}"/>
    <cellStyle name="Comma 2 2 3" xfId="250" xr:uid="{00000000-0005-0000-0000-00003F000000}"/>
    <cellStyle name="Comma 2 2 3 2" xfId="283" xr:uid="{00000000-0005-0000-0000-000040000000}"/>
    <cellStyle name="Comma 2 2 4" xfId="284" xr:uid="{00000000-0005-0000-0000-000041000000}"/>
    <cellStyle name="Comma 2 3" xfId="55" xr:uid="{00000000-0005-0000-0000-000042000000}"/>
    <cellStyle name="Comma 2 4" xfId="56" xr:uid="{00000000-0005-0000-0000-000043000000}"/>
    <cellStyle name="Comma 20" xfId="267" xr:uid="{00000000-0005-0000-0000-000044000000}"/>
    <cellStyle name="Comma 20 2" xfId="285" xr:uid="{00000000-0005-0000-0000-000045000000}"/>
    <cellStyle name="Comma 21" xfId="266" xr:uid="{00000000-0005-0000-0000-000046000000}"/>
    <cellStyle name="Comma 21 2" xfId="286" xr:uid="{00000000-0005-0000-0000-000047000000}"/>
    <cellStyle name="Comma 22" xfId="287" xr:uid="{00000000-0005-0000-0000-000048000000}"/>
    <cellStyle name="Comma 23" xfId="288" xr:uid="{00000000-0005-0000-0000-000049000000}"/>
    <cellStyle name="Comma 24" xfId="289" xr:uid="{00000000-0005-0000-0000-00004A000000}"/>
    <cellStyle name="Comma 25" xfId="290" xr:uid="{00000000-0005-0000-0000-00004B000000}"/>
    <cellStyle name="Comma 26" xfId="291" xr:uid="{00000000-0005-0000-0000-00004C000000}"/>
    <cellStyle name="Comma 27" xfId="292" xr:uid="{00000000-0005-0000-0000-00004D000000}"/>
    <cellStyle name="Comma 28" xfId="293" xr:uid="{00000000-0005-0000-0000-00004E000000}"/>
    <cellStyle name="Comma 29" xfId="294" xr:uid="{00000000-0005-0000-0000-00004F000000}"/>
    <cellStyle name="Comma 3" xfId="15" xr:uid="{00000000-0005-0000-0000-000050000000}"/>
    <cellStyle name="Comma 3 2" xfId="57" xr:uid="{00000000-0005-0000-0000-000051000000}"/>
    <cellStyle name="Comma 3 2 2" xfId="58" xr:uid="{00000000-0005-0000-0000-000052000000}"/>
    <cellStyle name="Comma 3 2 3" xfId="59" xr:uid="{00000000-0005-0000-0000-000053000000}"/>
    <cellStyle name="Comma 3 2 3 2" xfId="295" xr:uid="{00000000-0005-0000-0000-000054000000}"/>
    <cellStyle name="Comma 3 3" xfId="60" xr:uid="{00000000-0005-0000-0000-000055000000}"/>
    <cellStyle name="Comma 3 3 2" xfId="61" xr:uid="{00000000-0005-0000-0000-000056000000}"/>
    <cellStyle name="Comma 3 3 2 2" xfId="296" xr:uid="{00000000-0005-0000-0000-000057000000}"/>
    <cellStyle name="Comma 3 4" xfId="62" xr:uid="{00000000-0005-0000-0000-000058000000}"/>
    <cellStyle name="Comma 3 4 2" xfId="297" xr:uid="{00000000-0005-0000-0000-000059000000}"/>
    <cellStyle name="Comma 3 5" xfId="63" xr:uid="{00000000-0005-0000-0000-00005A000000}"/>
    <cellStyle name="Comma 3 5 2" xfId="298" xr:uid="{00000000-0005-0000-0000-00005B000000}"/>
    <cellStyle name="Comma 3 6" xfId="299" xr:uid="{00000000-0005-0000-0000-00005C000000}"/>
    <cellStyle name="Comma 3 6 2" xfId="300" xr:uid="{00000000-0005-0000-0000-00005D000000}"/>
    <cellStyle name="Comma 30" xfId="301" xr:uid="{00000000-0005-0000-0000-00005E000000}"/>
    <cellStyle name="Comma 31" xfId="302" xr:uid="{00000000-0005-0000-0000-00005F000000}"/>
    <cellStyle name="Comma 32" xfId="303" xr:uid="{00000000-0005-0000-0000-000060000000}"/>
    <cellStyle name="Comma 33" xfId="304" xr:uid="{00000000-0005-0000-0000-000061000000}"/>
    <cellStyle name="Comma 34" xfId="305" xr:uid="{00000000-0005-0000-0000-000062000000}"/>
    <cellStyle name="Comma 35" xfId="306" xr:uid="{00000000-0005-0000-0000-000063000000}"/>
    <cellStyle name="Comma 36" xfId="307" xr:uid="{00000000-0005-0000-0000-000064000000}"/>
    <cellStyle name="Comma 36 2" xfId="308" xr:uid="{00000000-0005-0000-0000-000065000000}"/>
    <cellStyle name="Comma 37" xfId="422" xr:uid="{00000000-0005-0000-0000-000066000000}"/>
    <cellStyle name="Comma 38" xfId="429" xr:uid="{00000000-0005-0000-0000-000067000000}"/>
    <cellStyle name="Comma 39" xfId="427" xr:uid="{00000000-0005-0000-0000-000068000000}"/>
    <cellStyle name="Comma 4" xfId="64" xr:uid="{00000000-0005-0000-0000-000069000000}"/>
    <cellStyle name="Comma 4 2" xfId="65" xr:uid="{00000000-0005-0000-0000-00006A000000}"/>
    <cellStyle name="Comma 4 2 2" xfId="66" xr:uid="{00000000-0005-0000-0000-00006B000000}"/>
    <cellStyle name="Comma 4 2 2 2" xfId="309" xr:uid="{00000000-0005-0000-0000-00006C000000}"/>
    <cellStyle name="Comma 4 2 3" xfId="67" xr:uid="{00000000-0005-0000-0000-00006D000000}"/>
    <cellStyle name="Comma 4 2 3 2" xfId="310" xr:uid="{00000000-0005-0000-0000-00006E000000}"/>
    <cellStyle name="Comma 4 2 4" xfId="311" xr:uid="{00000000-0005-0000-0000-00006F000000}"/>
    <cellStyle name="Comma 4 3" xfId="68" xr:uid="{00000000-0005-0000-0000-000070000000}"/>
    <cellStyle name="Comma 4 3 2" xfId="312" xr:uid="{00000000-0005-0000-0000-000071000000}"/>
    <cellStyle name="Comma 4 4" xfId="69" xr:uid="{00000000-0005-0000-0000-000072000000}"/>
    <cellStyle name="Comma 4 4 2" xfId="313" xr:uid="{00000000-0005-0000-0000-000073000000}"/>
    <cellStyle name="Comma 4 5" xfId="70" xr:uid="{00000000-0005-0000-0000-000074000000}"/>
    <cellStyle name="Comma 4 5 2" xfId="314" xr:uid="{00000000-0005-0000-0000-000075000000}"/>
    <cellStyle name="Comma 4 6" xfId="71" xr:uid="{00000000-0005-0000-0000-000076000000}"/>
    <cellStyle name="Comma 4 6 2" xfId="315" xr:uid="{00000000-0005-0000-0000-000077000000}"/>
    <cellStyle name="Comma 40" xfId="431" xr:uid="{00000000-0005-0000-0000-000078000000}"/>
    <cellStyle name="Comma 41" xfId="450" xr:uid="{00000000-0005-0000-0000-000079000000}"/>
    <cellStyle name="Comma 42" xfId="456" xr:uid="{00000000-0005-0000-0000-00007A000000}"/>
    <cellStyle name="Comma 5" xfId="72" xr:uid="{00000000-0005-0000-0000-00007B000000}"/>
    <cellStyle name="Comma 5 2" xfId="73" xr:uid="{00000000-0005-0000-0000-00007C000000}"/>
    <cellStyle name="Comma 5 2 2" xfId="74" xr:uid="{00000000-0005-0000-0000-00007D000000}"/>
    <cellStyle name="Comma 5 2 2 2" xfId="316" xr:uid="{00000000-0005-0000-0000-00007E000000}"/>
    <cellStyle name="Comma 5 2 3" xfId="75" xr:uid="{00000000-0005-0000-0000-00007F000000}"/>
    <cellStyle name="Comma 5 2 3 2" xfId="317" xr:uid="{00000000-0005-0000-0000-000080000000}"/>
    <cellStyle name="Comma 5 2 4" xfId="318" xr:uid="{00000000-0005-0000-0000-000081000000}"/>
    <cellStyle name="Comma 5 3" xfId="76" xr:uid="{00000000-0005-0000-0000-000082000000}"/>
    <cellStyle name="Comma 5 3 2" xfId="319" xr:uid="{00000000-0005-0000-0000-000083000000}"/>
    <cellStyle name="Comma 5 4" xfId="77" xr:uid="{00000000-0005-0000-0000-000084000000}"/>
    <cellStyle name="Comma 5 4 2" xfId="320" xr:uid="{00000000-0005-0000-0000-000085000000}"/>
    <cellStyle name="Comma 5 5" xfId="78" xr:uid="{00000000-0005-0000-0000-000086000000}"/>
    <cellStyle name="Comma 5 5 2" xfId="321" xr:uid="{00000000-0005-0000-0000-000087000000}"/>
    <cellStyle name="Comma 5 6" xfId="322" xr:uid="{00000000-0005-0000-0000-000088000000}"/>
    <cellStyle name="Comma 5 7" xfId="432" xr:uid="{00000000-0005-0000-0000-000089000000}"/>
    <cellStyle name="Comma 6" xfId="79" xr:uid="{00000000-0005-0000-0000-00008A000000}"/>
    <cellStyle name="Comma 6 2" xfId="323" xr:uid="{00000000-0005-0000-0000-00008B000000}"/>
    <cellStyle name="Comma 7" xfId="10" xr:uid="{00000000-0005-0000-0000-00008C000000}"/>
    <cellStyle name="Comma 7 2" xfId="324" xr:uid="{00000000-0005-0000-0000-00008D000000}"/>
    <cellStyle name="Comma 8" xfId="80" xr:uid="{00000000-0005-0000-0000-00008E000000}"/>
    <cellStyle name="Comma 9" xfId="81" xr:uid="{00000000-0005-0000-0000-00008F000000}"/>
    <cellStyle name="Company Name" xfId="325" xr:uid="{00000000-0005-0000-0000-000090000000}"/>
    <cellStyle name="Currency" xfId="2" builtinId="4"/>
    <cellStyle name="Currency [0] 2" xfId="82" xr:uid="{00000000-0005-0000-0000-000092000000}"/>
    <cellStyle name="Currency [0] 2 2" xfId="326" xr:uid="{00000000-0005-0000-0000-000093000000}"/>
    <cellStyle name="Currency 10" xfId="327" xr:uid="{00000000-0005-0000-0000-000094000000}"/>
    <cellStyle name="Currency 11" xfId="328" xr:uid="{00000000-0005-0000-0000-000095000000}"/>
    <cellStyle name="Currency 12" xfId="329" xr:uid="{00000000-0005-0000-0000-000096000000}"/>
    <cellStyle name="Currency 13" xfId="330" xr:uid="{00000000-0005-0000-0000-000097000000}"/>
    <cellStyle name="Currency 14" xfId="331" xr:uid="{00000000-0005-0000-0000-000098000000}"/>
    <cellStyle name="Currency 15" xfId="332" xr:uid="{00000000-0005-0000-0000-000099000000}"/>
    <cellStyle name="Currency 16" xfId="333" xr:uid="{00000000-0005-0000-0000-00009A000000}"/>
    <cellStyle name="Currency 17" xfId="334" xr:uid="{00000000-0005-0000-0000-00009B000000}"/>
    <cellStyle name="Currency 18" xfId="335" xr:uid="{00000000-0005-0000-0000-00009C000000}"/>
    <cellStyle name="Currency 19" xfId="336" xr:uid="{00000000-0005-0000-0000-00009D000000}"/>
    <cellStyle name="Currency 2" xfId="83" xr:uid="{00000000-0005-0000-0000-00009E000000}"/>
    <cellStyle name="Currency 2 2" xfId="5" xr:uid="{00000000-0005-0000-0000-00009F000000}"/>
    <cellStyle name="Currency 2 2 2" xfId="337" xr:uid="{00000000-0005-0000-0000-0000A0000000}"/>
    <cellStyle name="Currency 2 3" xfId="84" xr:uid="{00000000-0005-0000-0000-0000A1000000}"/>
    <cellStyle name="Currency 2 3 2" xfId="338" xr:uid="{00000000-0005-0000-0000-0000A2000000}"/>
    <cellStyle name="Currency 2 4" xfId="339" xr:uid="{00000000-0005-0000-0000-0000A3000000}"/>
    <cellStyle name="Currency 20" xfId="340" xr:uid="{00000000-0005-0000-0000-0000A4000000}"/>
    <cellStyle name="Currency 21" xfId="341" xr:uid="{00000000-0005-0000-0000-0000A5000000}"/>
    <cellStyle name="Currency 22" xfId="342" xr:uid="{00000000-0005-0000-0000-0000A6000000}"/>
    <cellStyle name="Currency 3" xfId="85" xr:uid="{00000000-0005-0000-0000-0000A7000000}"/>
    <cellStyle name="Currency 3 2" xfId="86" xr:uid="{00000000-0005-0000-0000-0000A8000000}"/>
    <cellStyle name="Currency 3 2 2" xfId="87" xr:uid="{00000000-0005-0000-0000-0000A9000000}"/>
    <cellStyle name="Currency 3 2 2 2" xfId="343" xr:uid="{00000000-0005-0000-0000-0000AA000000}"/>
    <cellStyle name="Currency 3 2 3" xfId="88" xr:uid="{00000000-0005-0000-0000-0000AB000000}"/>
    <cellStyle name="Currency 3 2 3 2" xfId="344" xr:uid="{00000000-0005-0000-0000-0000AC000000}"/>
    <cellStyle name="Currency 3 2 4" xfId="345" xr:uid="{00000000-0005-0000-0000-0000AD000000}"/>
    <cellStyle name="Currency 3 3" xfId="89" xr:uid="{00000000-0005-0000-0000-0000AE000000}"/>
    <cellStyle name="Currency 3 3 2" xfId="346" xr:uid="{00000000-0005-0000-0000-0000AF000000}"/>
    <cellStyle name="Currency 3 4" xfId="90" xr:uid="{00000000-0005-0000-0000-0000B0000000}"/>
    <cellStyle name="Currency 3 4 2" xfId="347" xr:uid="{00000000-0005-0000-0000-0000B1000000}"/>
    <cellStyle name="Currency 3 5" xfId="91" xr:uid="{00000000-0005-0000-0000-0000B2000000}"/>
    <cellStyle name="Currency 3 5 2" xfId="348" xr:uid="{00000000-0005-0000-0000-0000B3000000}"/>
    <cellStyle name="Currency 3 6" xfId="349" xr:uid="{00000000-0005-0000-0000-0000B4000000}"/>
    <cellStyle name="Currency 3 7" xfId="433" xr:uid="{00000000-0005-0000-0000-0000B5000000}"/>
    <cellStyle name="Currency 4" xfId="92" xr:uid="{00000000-0005-0000-0000-0000B6000000}"/>
    <cellStyle name="Currency 4 2" xfId="350" xr:uid="{00000000-0005-0000-0000-0000B7000000}"/>
    <cellStyle name="Currency 5" xfId="93" xr:uid="{00000000-0005-0000-0000-0000B8000000}"/>
    <cellStyle name="Currency 5 2" xfId="351" xr:uid="{00000000-0005-0000-0000-0000B9000000}"/>
    <cellStyle name="Currency 6" xfId="352" xr:uid="{00000000-0005-0000-0000-0000BA000000}"/>
    <cellStyle name="Currency 6 2" xfId="353" xr:uid="{00000000-0005-0000-0000-0000BB000000}"/>
    <cellStyle name="Currency 7" xfId="354" xr:uid="{00000000-0005-0000-0000-0000BC000000}"/>
    <cellStyle name="Currency 8" xfId="355" xr:uid="{00000000-0005-0000-0000-0000BD000000}"/>
    <cellStyle name="Currency 9" xfId="356" xr:uid="{00000000-0005-0000-0000-0000BE000000}"/>
    <cellStyle name="Currency0" xfId="94" xr:uid="{00000000-0005-0000-0000-0000BF000000}"/>
    <cellStyle name="Currency0nospace" xfId="95" xr:uid="{00000000-0005-0000-0000-0000C0000000}"/>
    <cellStyle name="Currency0nospace 2" xfId="357" xr:uid="{00000000-0005-0000-0000-0000C1000000}"/>
    <cellStyle name="Currency2" xfId="96" xr:uid="{00000000-0005-0000-0000-0000C2000000}"/>
    <cellStyle name="Explanatory Text 2" xfId="97" xr:uid="{00000000-0005-0000-0000-0000C3000000}"/>
    <cellStyle name="Good 2" xfId="98" xr:uid="{00000000-0005-0000-0000-0000C4000000}"/>
    <cellStyle name="Grey" xfId="99" xr:uid="{00000000-0005-0000-0000-0000C5000000}"/>
    <cellStyle name="HEADER" xfId="100" xr:uid="{00000000-0005-0000-0000-0000C6000000}"/>
    <cellStyle name="Heading 1 2" xfId="101" xr:uid="{00000000-0005-0000-0000-0000C7000000}"/>
    <cellStyle name="Heading 2 2" xfId="102" xr:uid="{00000000-0005-0000-0000-0000C8000000}"/>
    <cellStyle name="Heading 3 2" xfId="103" xr:uid="{00000000-0005-0000-0000-0000C9000000}"/>
    <cellStyle name="Heading 4 2" xfId="104" xr:uid="{00000000-0005-0000-0000-0000CA000000}"/>
    <cellStyle name="Input [yellow]" xfId="105" xr:uid="{00000000-0005-0000-0000-0000CB000000}"/>
    <cellStyle name="Input 2" xfId="106" xr:uid="{00000000-0005-0000-0000-0000CC000000}"/>
    <cellStyle name="LabelWithTotals" xfId="107" xr:uid="{00000000-0005-0000-0000-0000CD000000}"/>
    <cellStyle name="LineItemPrompt" xfId="108" xr:uid="{00000000-0005-0000-0000-0000CE000000}"/>
    <cellStyle name="LineItemValue" xfId="109" xr:uid="{00000000-0005-0000-0000-0000CF000000}"/>
    <cellStyle name="Linked Cell 2" xfId="110" xr:uid="{00000000-0005-0000-0000-0000D0000000}"/>
    <cellStyle name="Manual-Input" xfId="111" xr:uid="{00000000-0005-0000-0000-0000D1000000}"/>
    <cellStyle name="Model" xfId="112" xr:uid="{00000000-0005-0000-0000-0000D2000000}"/>
    <cellStyle name="MonthHeader" xfId="113" xr:uid="{00000000-0005-0000-0000-0000D3000000}"/>
    <cellStyle name="Neutral 2" xfId="114" xr:uid="{00000000-0005-0000-0000-0000D4000000}"/>
    <cellStyle name="Normal" xfId="0" builtinId="0"/>
    <cellStyle name="Normal - Style1" xfId="115" xr:uid="{00000000-0005-0000-0000-0000D6000000}"/>
    <cellStyle name="Normal 10" xfId="116" xr:uid="{00000000-0005-0000-0000-0000D7000000}"/>
    <cellStyle name="Normal 10 2" xfId="117" xr:uid="{00000000-0005-0000-0000-0000D8000000}"/>
    <cellStyle name="Normal 10 2 2" xfId="118" xr:uid="{00000000-0005-0000-0000-0000D9000000}"/>
    <cellStyle name="Normal 10 2 3" xfId="119" xr:uid="{00000000-0005-0000-0000-0000DA000000}"/>
    <cellStyle name="Normal 10 3" xfId="120" xr:uid="{00000000-0005-0000-0000-0000DB000000}"/>
    <cellStyle name="Normal 10 4" xfId="121" xr:uid="{00000000-0005-0000-0000-0000DC000000}"/>
    <cellStyle name="Normal 10 5" xfId="122" xr:uid="{00000000-0005-0000-0000-0000DD000000}"/>
    <cellStyle name="Normal 11" xfId="123" xr:uid="{00000000-0005-0000-0000-0000DE000000}"/>
    <cellStyle name="Normal 11 2" xfId="124" xr:uid="{00000000-0005-0000-0000-0000DF000000}"/>
    <cellStyle name="Normal 11 2 2" xfId="125" xr:uid="{00000000-0005-0000-0000-0000E0000000}"/>
    <cellStyle name="Normal 11 2 3" xfId="126" xr:uid="{00000000-0005-0000-0000-0000E1000000}"/>
    <cellStyle name="Normal 11 3" xfId="127" xr:uid="{00000000-0005-0000-0000-0000E2000000}"/>
    <cellStyle name="Normal 11 4" xfId="128" xr:uid="{00000000-0005-0000-0000-0000E3000000}"/>
    <cellStyle name="Normal 11 5" xfId="129" xr:uid="{00000000-0005-0000-0000-0000E4000000}"/>
    <cellStyle name="Normal 12" xfId="130" xr:uid="{00000000-0005-0000-0000-0000E5000000}"/>
    <cellStyle name="Normal 12 2" xfId="131" xr:uid="{00000000-0005-0000-0000-0000E6000000}"/>
    <cellStyle name="Normal 12 2 2" xfId="132" xr:uid="{00000000-0005-0000-0000-0000E7000000}"/>
    <cellStyle name="Normal 12 2 3" xfId="133" xr:uid="{00000000-0005-0000-0000-0000E8000000}"/>
    <cellStyle name="Normal 12 3" xfId="134" xr:uid="{00000000-0005-0000-0000-0000E9000000}"/>
    <cellStyle name="Normal 12 4" xfId="135" xr:uid="{00000000-0005-0000-0000-0000EA000000}"/>
    <cellStyle name="Normal 12 5" xfId="136" xr:uid="{00000000-0005-0000-0000-0000EB000000}"/>
    <cellStyle name="Normal 13" xfId="137" xr:uid="{00000000-0005-0000-0000-0000EC000000}"/>
    <cellStyle name="Normal 13 2" xfId="138" xr:uid="{00000000-0005-0000-0000-0000ED000000}"/>
    <cellStyle name="Normal 14" xfId="139" xr:uid="{00000000-0005-0000-0000-0000EE000000}"/>
    <cellStyle name="Normal 15" xfId="140" xr:uid="{00000000-0005-0000-0000-0000EF000000}"/>
    <cellStyle name="Normal 16" xfId="6" xr:uid="{00000000-0005-0000-0000-0000F0000000}"/>
    <cellStyle name="Normal 16 2" xfId="141" xr:uid="{00000000-0005-0000-0000-0000F1000000}"/>
    <cellStyle name="Normal 16 3" xfId="358" xr:uid="{00000000-0005-0000-0000-0000F2000000}"/>
    <cellStyle name="Normal 17" xfId="142" xr:uid="{00000000-0005-0000-0000-0000F3000000}"/>
    <cellStyle name="Normal 17 2" xfId="143" xr:uid="{00000000-0005-0000-0000-0000F4000000}"/>
    <cellStyle name="Normal 17 3" xfId="359" xr:uid="{00000000-0005-0000-0000-0000F5000000}"/>
    <cellStyle name="Normal 18" xfId="144" xr:uid="{00000000-0005-0000-0000-0000F6000000}"/>
    <cellStyle name="Normal 18 2" xfId="145" xr:uid="{00000000-0005-0000-0000-0000F7000000}"/>
    <cellStyle name="Normal 18 3" xfId="360" xr:uid="{00000000-0005-0000-0000-0000F8000000}"/>
    <cellStyle name="Normal 19" xfId="146" xr:uid="{00000000-0005-0000-0000-0000F9000000}"/>
    <cellStyle name="Normal 19 2" xfId="361" xr:uid="{00000000-0005-0000-0000-0000FA000000}"/>
    <cellStyle name="Normal 2" xfId="147" xr:uid="{00000000-0005-0000-0000-0000FB000000}"/>
    <cellStyle name="Normal 2 2" xfId="11" xr:uid="{00000000-0005-0000-0000-0000FC000000}"/>
    <cellStyle name="Normal 2 2 2" xfId="148" xr:uid="{00000000-0005-0000-0000-0000FD000000}"/>
    <cellStyle name="Normal 2 2 2 2" xfId="438" xr:uid="{00000000-0005-0000-0000-0000FE000000}"/>
    <cellStyle name="Normal 2 2 3" xfId="249" xr:uid="{00000000-0005-0000-0000-0000FF000000}"/>
    <cellStyle name="Normal 2 3" xfId="149" xr:uid="{00000000-0005-0000-0000-000000010000}"/>
    <cellStyle name="Normal 2 3 2" xfId="150" xr:uid="{00000000-0005-0000-0000-000001010000}"/>
    <cellStyle name="Normal 2 4" xfId="151" xr:uid="{00000000-0005-0000-0000-000002010000}"/>
    <cellStyle name="Normal 2 5" xfId="152" xr:uid="{00000000-0005-0000-0000-000003010000}"/>
    <cellStyle name="Normal 2 6" xfId="153" xr:uid="{00000000-0005-0000-0000-000004010000}"/>
    <cellStyle name="Normal 2 7" xfId="362" xr:uid="{00000000-0005-0000-0000-000005010000}"/>
    <cellStyle name="Normal 20" xfId="154" xr:uid="{00000000-0005-0000-0000-000006010000}"/>
    <cellStyle name="Normal 21" xfId="155" xr:uid="{00000000-0005-0000-0000-000007010000}"/>
    <cellStyle name="Normal 22" xfId="156" xr:uid="{00000000-0005-0000-0000-000008010000}"/>
    <cellStyle name="Normal 23" xfId="157" xr:uid="{00000000-0005-0000-0000-000009010000}"/>
    <cellStyle name="Normal 24" xfId="158" xr:uid="{00000000-0005-0000-0000-00000A010000}"/>
    <cellStyle name="Normal 25" xfId="159" xr:uid="{00000000-0005-0000-0000-00000B010000}"/>
    <cellStyle name="Normal 25 2" xfId="363" xr:uid="{00000000-0005-0000-0000-00000C010000}"/>
    <cellStyle name="Normal 26" xfId="160" xr:uid="{00000000-0005-0000-0000-00000D010000}"/>
    <cellStyle name="Normal 26 2" xfId="364" xr:uid="{00000000-0005-0000-0000-00000E010000}"/>
    <cellStyle name="Normal 27" xfId="161" xr:uid="{00000000-0005-0000-0000-00000F010000}"/>
    <cellStyle name="Normal 27 2" xfId="365" xr:uid="{00000000-0005-0000-0000-000010010000}"/>
    <cellStyle name="Normal 28" xfId="162" xr:uid="{00000000-0005-0000-0000-000011010000}"/>
    <cellStyle name="Normal 28 2" xfId="366" xr:uid="{00000000-0005-0000-0000-000012010000}"/>
    <cellStyle name="Normal 29" xfId="246" xr:uid="{00000000-0005-0000-0000-000013010000}"/>
    <cellStyle name="Normal 29 2" xfId="367" xr:uid="{00000000-0005-0000-0000-000014010000}"/>
    <cellStyle name="Normal 3" xfId="163" xr:uid="{00000000-0005-0000-0000-000015010000}"/>
    <cellStyle name="Normal 3 2" xfId="164" xr:uid="{00000000-0005-0000-0000-000016010000}"/>
    <cellStyle name="Normal 3 2 2" xfId="448" xr:uid="{00000000-0005-0000-0000-000017010000}"/>
    <cellStyle name="Normal 3 2 3" xfId="439" xr:uid="{00000000-0005-0000-0000-000018010000}"/>
    <cellStyle name="Normal 3 3" xfId="165" xr:uid="{00000000-0005-0000-0000-000019010000}"/>
    <cellStyle name="Normal 3 4" xfId="166" xr:uid="{00000000-0005-0000-0000-00001A010000}"/>
    <cellStyle name="Normal 3 5" xfId="368" xr:uid="{00000000-0005-0000-0000-00001B010000}"/>
    <cellStyle name="Normal 30" xfId="251" xr:uid="{00000000-0005-0000-0000-00001C010000}"/>
    <cellStyle name="Normal 31" xfId="256" xr:uid="{00000000-0005-0000-0000-00001D010000}"/>
    <cellStyle name="Normal 32" xfId="255" xr:uid="{00000000-0005-0000-0000-00001E010000}"/>
    <cellStyle name="Normal 33" xfId="253" xr:uid="{00000000-0005-0000-0000-00001F010000}"/>
    <cellStyle name="Normal 34" xfId="262" xr:uid="{00000000-0005-0000-0000-000020010000}"/>
    <cellStyle name="Normal 35" xfId="258" xr:uid="{00000000-0005-0000-0000-000021010000}"/>
    <cellStyle name="Normal 36" xfId="264" xr:uid="{00000000-0005-0000-0000-000022010000}"/>
    <cellStyle name="Normal 37" xfId="260" xr:uid="{00000000-0005-0000-0000-000023010000}"/>
    <cellStyle name="Normal 38" xfId="268" xr:uid="{00000000-0005-0000-0000-000024010000}"/>
    <cellStyle name="Normal 39" xfId="369" xr:uid="{00000000-0005-0000-0000-000025010000}"/>
    <cellStyle name="Normal 4" xfId="167" xr:uid="{00000000-0005-0000-0000-000026010000}"/>
    <cellStyle name="Normal 4 2" xfId="168" xr:uid="{00000000-0005-0000-0000-000027010000}"/>
    <cellStyle name="Normal 4 2 2" xfId="440" xr:uid="{00000000-0005-0000-0000-000028010000}"/>
    <cellStyle name="Normal 4 3" xfId="169" xr:uid="{00000000-0005-0000-0000-000029010000}"/>
    <cellStyle name="Normal 4 4" xfId="170" xr:uid="{00000000-0005-0000-0000-00002A010000}"/>
    <cellStyle name="Normal 4 5" xfId="171" xr:uid="{00000000-0005-0000-0000-00002B010000}"/>
    <cellStyle name="Normal 40" xfId="370" xr:uid="{00000000-0005-0000-0000-00002C010000}"/>
    <cellStyle name="Normal 41" xfId="371" xr:uid="{00000000-0005-0000-0000-00002D010000}"/>
    <cellStyle name="Normal 41 2" xfId="372" xr:uid="{00000000-0005-0000-0000-00002E010000}"/>
    <cellStyle name="Normal 42" xfId="373" xr:uid="{00000000-0005-0000-0000-00002F010000}"/>
    <cellStyle name="Normal 43" xfId="374" xr:uid="{00000000-0005-0000-0000-000030010000}"/>
    <cellStyle name="Normal 44" xfId="375" xr:uid="{00000000-0005-0000-0000-000031010000}"/>
    <cellStyle name="Normal 45" xfId="376" xr:uid="{00000000-0005-0000-0000-000032010000}"/>
    <cellStyle name="Normal 46" xfId="377" xr:uid="{00000000-0005-0000-0000-000033010000}"/>
    <cellStyle name="Normal 47" xfId="378" xr:uid="{00000000-0005-0000-0000-000034010000}"/>
    <cellStyle name="Normal 48" xfId="379" xr:uid="{00000000-0005-0000-0000-000035010000}"/>
    <cellStyle name="Normal 49" xfId="380" xr:uid="{00000000-0005-0000-0000-000036010000}"/>
    <cellStyle name="Normal 5" xfId="12" xr:uid="{00000000-0005-0000-0000-000037010000}"/>
    <cellStyle name="Normal 5 2" xfId="172" xr:uid="{00000000-0005-0000-0000-000038010000}"/>
    <cellStyle name="Normal 50" xfId="381" xr:uid="{00000000-0005-0000-0000-000039010000}"/>
    <cellStyle name="Normal 51" xfId="382" xr:uid="{00000000-0005-0000-0000-00003A010000}"/>
    <cellStyle name="Normal 52" xfId="383" xr:uid="{00000000-0005-0000-0000-00003B010000}"/>
    <cellStyle name="Normal 53" xfId="384" xr:uid="{00000000-0005-0000-0000-00003C010000}"/>
    <cellStyle name="Normal 54" xfId="385" xr:uid="{00000000-0005-0000-0000-00003D010000}"/>
    <cellStyle name="Normal 55" xfId="386" xr:uid="{00000000-0005-0000-0000-00003E010000}"/>
    <cellStyle name="Normal 56" xfId="387" xr:uid="{00000000-0005-0000-0000-00003F010000}"/>
    <cellStyle name="Normal 57" xfId="420" xr:uid="{00000000-0005-0000-0000-000040010000}"/>
    <cellStyle name="Normal 58" xfId="430" xr:uid="{00000000-0005-0000-0000-000041010000}"/>
    <cellStyle name="Normal 59" xfId="423" xr:uid="{00000000-0005-0000-0000-000042010000}"/>
    <cellStyle name="Normal 6" xfId="173" xr:uid="{00000000-0005-0000-0000-000043010000}"/>
    <cellStyle name="Normal 6 2" xfId="174" xr:uid="{00000000-0005-0000-0000-000044010000}"/>
    <cellStyle name="Normal 6 2 2" xfId="175" xr:uid="{00000000-0005-0000-0000-000045010000}"/>
    <cellStyle name="Normal 6 2 3" xfId="176" xr:uid="{00000000-0005-0000-0000-000046010000}"/>
    <cellStyle name="Normal 6 3" xfId="177" xr:uid="{00000000-0005-0000-0000-000047010000}"/>
    <cellStyle name="Normal 6 4" xfId="178" xr:uid="{00000000-0005-0000-0000-000048010000}"/>
    <cellStyle name="Normal 6 5" xfId="179" xr:uid="{00000000-0005-0000-0000-000049010000}"/>
    <cellStyle name="Normal 60" xfId="424" xr:uid="{00000000-0005-0000-0000-00004A010000}"/>
    <cellStyle name="Normal 61" xfId="451" xr:uid="{00000000-0005-0000-0000-00004B010000}"/>
    <cellStyle name="Normal 7" xfId="180" xr:uid="{00000000-0005-0000-0000-00004C010000}"/>
    <cellStyle name="Normal 7 2" xfId="181" xr:uid="{00000000-0005-0000-0000-00004D010000}"/>
    <cellStyle name="Normal 7 2 2" xfId="182" xr:uid="{00000000-0005-0000-0000-00004E010000}"/>
    <cellStyle name="Normal 7 2 3" xfId="183" xr:uid="{00000000-0005-0000-0000-00004F010000}"/>
    <cellStyle name="Normal 7 3" xfId="184" xr:uid="{00000000-0005-0000-0000-000050010000}"/>
    <cellStyle name="Normal 7 4" xfId="185" xr:uid="{00000000-0005-0000-0000-000051010000}"/>
    <cellStyle name="Normal 7 5" xfId="186" xr:uid="{00000000-0005-0000-0000-000052010000}"/>
    <cellStyle name="Normal 78" xfId="454" xr:uid="{00000000-0005-0000-0000-000053010000}"/>
    <cellStyle name="Normal 79" xfId="453" xr:uid="{00000000-0005-0000-0000-000054010000}"/>
    <cellStyle name="Normal 8" xfId="187" xr:uid="{00000000-0005-0000-0000-000055010000}"/>
    <cellStyle name="Normal 8 2" xfId="188" xr:uid="{00000000-0005-0000-0000-000056010000}"/>
    <cellStyle name="Normal 8 2 2" xfId="189" xr:uid="{00000000-0005-0000-0000-000057010000}"/>
    <cellStyle name="Normal 8 2 3" xfId="190" xr:uid="{00000000-0005-0000-0000-000058010000}"/>
    <cellStyle name="Normal 8 3" xfId="191" xr:uid="{00000000-0005-0000-0000-000059010000}"/>
    <cellStyle name="Normal 8 4" xfId="192" xr:uid="{00000000-0005-0000-0000-00005A010000}"/>
    <cellStyle name="Normal 8 5" xfId="193" xr:uid="{00000000-0005-0000-0000-00005B010000}"/>
    <cellStyle name="Normal 9" xfId="194" xr:uid="{00000000-0005-0000-0000-00005C010000}"/>
    <cellStyle name="Normal_AMACAPST" xfId="14" xr:uid="{00000000-0005-0000-0000-00005D010000}"/>
    <cellStyle name="Normal_COSTOF" xfId="13" xr:uid="{00000000-0005-0000-0000-00005E010000}"/>
    <cellStyle name="Normal_UE-070804 et al Exhibits KLE 3 and 4 CONFIDENTIAL 10-17-07" xfId="4" xr:uid="{00000000-0005-0000-0000-00005F010000}"/>
    <cellStyle name="Normal_UE-070804 et al Exhibits KLE 3 and 4 CONFIDENTIAL 10-17-07 2" xfId="452" xr:uid="{00000000-0005-0000-0000-000060010000}"/>
    <cellStyle name="Note 2" xfId="195" xr:uid="{00000000-0005-0000-0000-000061010000}"/>
    <cellStyle name="Output 2" xfId="196" xr:uid="{00000000-0005-0000-0000-000062010000}"/>
    <cellStyle name="OUTPUT AMOUNTS" xfId="197" xr:uid="{00000000-0005-0000-0000-000063010000}"/>
    <cellStyle name="Output Amounts 10" xfId="421" xr:uid="{00000000-0005-0000-0000-000064010000}"/>
    <cellStyle name="OUTPUT AMOUNTS 2" xfId="198" xr:uid="{00000000-0005-0000-0000-000065010000}"/>
    <cellStyle name="Output Amounts 3" xfId="199" xr:uid="{00000000-0005-0000-0000-000066010000}"/>
    <cellStyle name="Output Amounts 4" xfId="248" xr:uid="{00000000-0005-0000-0000-000067010000}"/>
    <cellStyle name="OUTPUT AMOUNTS 5" xfId="388" xr:uid="{00000000-0005-0000-0000-000068010000}"/>
    <cellStyle name="Output Amounts 6" xfId="426" xr:uid="{00000000-0005-0000-0000-000069010000}"/>
    <cellStyle name="Output Amounts 7" xfId="425" xr:uid="{00000000-0005-0000-0000-00006A010000}"/>
    <cellStyle name="Output Amounts 8" xfId="449" xr:uid="{00000000-0005-0000-0000-00006B010000}"/>
    <cellStyle name="Output Amounts 9" xfId="428" xr:uid="{00000000-0005-0000-0000-00006C010000}"/>
    <cellStyle name="Output Column Headings" xfId="200" xr:uid="{00000000-0005-0000-0000-00006D010000}"/>
    <cellStyle name="OUTPUT COLUMN HEADINGS 2" xfId="389" xr:uid="{00000000-0005-0000-0000-00006E010000}"/>
    <cellStyle name="Output Column Headings 2 2" xfId="442" xr:uid="{00000000-0005-0000-0000-00006F010000}"/>
    <cellStyle name="OUTPUT COLUMN HEADINGS 3" xfId="441" xr:uid="{00000000-0005-0000-0000-000070010000}"/>
    <cellStyle name="OUTPUT COLUMN HEADINGS 4" xfId="437" xr:uid="{00000000-0005-0000-0000-000071010000}"/>
    <cellStyle name="Output Line Items" xfId="201" xr:uid="{00000000-0005-0000-0000-000072010000}"/>
    <cellStyle name="OUTPUT LINE ITEMS 2" xfId="390" xr:uid="{00000000-0005-0000-0000-000073010000}"/>
    <cellStyle name="OUTPUT LINE ITEMS 2 2" xfId="443" xr:uid="{00000000-0005-0000-0000-000074010000}"/>
    <cellStyle name="Output Report Heading" xfId="202" xr:uid="{00000000-0005-0000-0000-000075010000}"/>
    <cellStyle name="OUTPUT REPORT HEADING 2" xfId="391" xr:uid="{00000000-0005-0000-0000-000076010000}"/>
    <cellStyle name="Output Report Heading 2 2" xfId="445" xr:uid="{00000000-0005-0000-0000-000077010000}"/>
    <cellStyle name="OUTPUT REPORT HEADING 3" xfId="444" xr:uid="{00000000-0005-0000-0000-000078010000}"/>
    <cellStyle name="OUTPUT REPORT HEADING 4" xfId="434" xr:uid="{00000000-0005-0000-0000-000079010000}"/>
    <cellStyle name="Output Report Title" xfId="203" xr:uid="{00000000-0005-0000-0000-00007A010000}"/>
    <cellStyle name="OUTPUT REPORT TITLE 2" xfId="392" xr:uid="{00000000-0005-0000-0000-00007B010000}"/>
    <cellStyle name="Output Report Title 2 2" xfId="447" xr:uid="{00000000-0005-0000-0000-00007C010000}"/>
    <cellStyle name="OUTPUT REPORT TITLE 3" xfId="446" xr:uid="{00000000-0005-0000-0000-00007D010000}"/>
    <cellStyle name="OUTPUT REPORT TITLE 4" xfId="435" xr:uid="{00000000-0005-0000-0000-00007E010000}"/>
    <cellStyle name="Percent" xfId="3" builtinId="5"/>
    <cellStyle name="Percent [2]" xfId="204" xr:uid="{00000000-0005-0000-0000-000080010000}"/>
    <cellStyle name="Percent 10" xfId="7" xr:uid="{00000000-0005-0000-0000-000081010000}"/>
    <cellStyle name="Percent 10 2" xfId="393" xr:uid="{00000000-0005-0000-0000-000082010000}"/>
    <cellStyle name="Percent 11" xfId="205" xr:uid="{00000000-0005-0000-0000-000083010000}"/>
    <cellStyle name="Percent 11 2" xfId="394" xr:uid="{00000000-0005-0000-0000-000084010000}"/>
    <cellStyle name="Percent 12" xfId="206" xr:uid="{00000000-0005-0000-0000-000085010000}"/>
    <cellStyle name="Percent 12 2" xfId="395" xr:uid="{00000000-0005-0000-0000-000086010000}"/>
    <cellStyle name="Percent 13" xfId="269" xr:uid="{00000000-0005-0000-0000-000087010000}"/>
    <cellStyle name="Percent 14" xfId="396" xr:uid="{00000000-0005-0000-0000-000088010000}"/>
    <cellStyle name="Percent 15" xfId="397" xr:uid="{00000000-0005-0000-0000-000089010000}"/>
    <cellStyle name="Percent 16" xfId="398" xr:uid="{00000000-0005-0000-0000-00008A010000}"/>
    <cellStyle name="Percent 17" xfId="399" xr:uid="{00000000-0005-0000-0000-00008B010000}"/>
    <cellStyle name="Percent 18" xfId="400" xr:uid="{00000000-0005-0000-0000-00008C010000}"/>
    <cellStyle name="Percent 19" xfId="401" xr:uid="{00000000-0005-0000-0000-00008D010000}"/>
    <cellStyle name="Percent 2" xfId="207" xr:uid="{00000000-0005-0000-0000-00008E010000}"/>
    <cellStyle name="Percent 2 2" xfId="8" xr:uid="{00000000-0005-0000-0000-00008F010000}"/>
    <cellStyle name="Percent 2 3" xfId="208" xr:uid="{00000000-0005-0000-0000-000090010000}"/>
    <cellStyle name="Percent 20" xfId="402" xr:uid="{00000000-0005-0000-0000-000091010000}"/>
    <cellStyle name="Percent 21" xfId="403" xr:uid="{00000000-0005-0000-0000-000092010000}"/>
    <cellStyle name="Percent 22" xfId="404" xr:uid="{00000000-0005-0000-0000-000093010000}"/>
    <cellStyle name="Percent 23" xfId="405" xr:uid="{00000000-0005-0000-0000-000094010000}"/>
    <cellStyle name="Percent 24" xfId="406" xr:uid="{00000000-0005-0000-0000-000095010000}"/>
    <cellStyle name="Percent 25" xfId="407" xr:uid="{00000000-0005-0000-0000-000096010000}"/>
    <cellStyle name="Percent 26" xfId="408" xr:uid="{00000000-0005-0000-0000-000097010000}"/>
    <cellStyle name="Percent 27" xfId="409" xr:uid="{00000000-0005-0000-0000-000098010000}"/>
    <cellStyle name="Percent 28" xfId="410" xr:uid="{00000000-0005-0000-0000-000099010000}"/>
    <cellStyle name="Percent 29" xfId="411" xr:uid="{00000000-0005-0000-0000-00009A010000}"/>
    <cellStyle name="Percent 3" xfId="16" xr:uid="{00000000-0005-0000-0000-00009B010000}"/>
    <cellStyle name="Percent 3 2" xfId="209" xr:uid="{00000000-0005-0000-0000-00009C010000}"/>
    <cellStyle name="Percent 3 3" xfId="210" xr:uid="{00000000-0005-0000-0000-00009D010000}"/>
    <cellStyle name="Percent 30" xfId="412" xr:uid="{00000000-0005-0000-0000-00009E010000}"/>
    <cellStyle name="Percent 31" xfId="413" xr:uid="{00000000-0005-0000-0000-00009F010000}"/>
    <cellStyle name="Percent 32" xfId="414" xr:uid="{00000000-0005-0000-0000-0000A0010000}"/>
    <cellStyle name="Percent 33" xfId="415" xr:uid="{00000000-0005-0000-0000-0000A1010000}"/>
    <cellStyle name="Percent 34" xfId="455" xr:uid="{00000000-0005-0000-0000-0000A2010000}"/>
    <cellStyle name="Percent 4" xfId="211" xr:uid="{00000000-0005-0000-0000-0000A3010000}"/>
    <cellStyle name="Percent 4 2" xfId="212" xr:uid="{00000000-0005-0000-0000-0000A4010000}"/>
    <cellStyle name="Percent 4 2 2" xfId="213" xr:uid="{00000000-0005-0000-0000-0000A5010000}"/>
    <cellStyle name="Percent 4 2 3" xfId="214" xr:uid="{00000000-0005-0000-0000-0000A6010000}"/>
    <cellStyle name="Percent 4 3" xfId="215" xr:uid="{00000000-0005-0000-0000-0000A7010000}"/>
    <cellStyle name="Percent 4 4" xfId="216" xr:uid="{00000000-0005-0000-0000-0000A8010000}"/>
    <cellStyle name="Percent 4 5" xfId="217" xr:uid="{00000000-0005-0000-0000-0000A9010000}"/>
    <cellStyle name="Percent 5" xfId="218" xr:uid="{00000000-0005-0000-0000-0000AA010000}"/>
    <cellStyle name="Percent 6" xfId="219" xr:uid="{00000000-0005-0000-0000-0000AB010000}"/>
    <cellStyle name="Percent 6 2" xfId="416" xr:uid="{00000000-0005-0000-0000-0000AC010000}"/>
    <cellStyle name="Percent 7" xfId="220" xr:uid="{00000000-0005-0000-0000-0000AD010000}"/>
    <cellStyle name="Percent 7 2" xfId="417" xr:uid="{00000000-0005-0000-0000-0000AE010000}"/>
    <cellStyle name="Percent 8" xfId="221" xr:uid="{00000000-0005-0000-0000-0000AF010000}"/>
    <cellStyle name="Percent 8 2" xfId="418" xr:uid="{00000000-0005-0000-0000-0000B0010000}"/>
    <cellStyle name="Percent 9" xfId="222" xr:uid="{00000000-0005-0000-0000-0000B1010000}"/>
    <cellStyle name="Percent 9 2" xfId="419" xr:uid="{00000000-0005-0000-0000-0000B2010000}"/>
    <cellStyle name="QtrHeader" xfId="223" xr:uid="{00000000-0005-0000-0000-0000B3010000}"/>
    <cellStyle name="ReportTitlePrompt" xfId="224" xr:uid="{00000000-0005-0000-0000-0000B4010000}"/>
    <cellStyle name="ReportTitleValue" xfId="225" xr:uid="{00000000-0005-0000-0000-0000B5010000}"/>
    <cellStyle name="RowAcctAbovePrompt" xfId="226" xr:uid="{00000000-0005-0000-0000-0000B6010000}"/>
    <cellStyle name="RowAcctSOBAbovePrompt" xfId="227" xr:uid="{00000000-0005-0000-0000-0000B7010000}"/>
    <cellStyle name="RowAcctSOBValue" xfId="228" xr:uid="{00000000-0005-0000-0000-0000B8010000}"/>
    <cellStyle name="RowAcctValue" xfId="229" xr:uid="{00000000-0005-0000-0000-0000B9010000}"/>
    <cellStyle name="RowAttrAbovePrompt" xfId="230" xr:uid="{00000000-0005-0000-0000-0000BA010000}"/>
    <cellStyle name="RowAttrValue" xfId="231" xr:uid="{00000000-0005-0000-0000-0000BB010000}"/>
    <cellStyle name="RowColSetAbovePrompt" xfId="232" xr:uid="{00000000-0005-0000-0000-0000BC010000}"/>
    <cellStyle name="RowColSetLeftPrompt" xfId="233" xr:uid="{00000000-0005-0000-0000-0000BD010000}"/>
    <cellStyle name="RowColSetValue" xfId="234" xr:uid="{00000000-0005-0000-0000-0000BE010000}"/>
    <cellStyle name="RowLeftPrompt" xfId="235" xr:uid="{00000000-0005-0000-0000-0000BF010000}"/>
    <cellStyle name="SampleUsingFormatMask" xfId="236" xr:uid="{00000000-0005-0000-0000-0000C0010000}"/>
    <cellStyle name="SampleWithNoFormatMask" xfId="237" xr:uid="{00000000-0005-0000-0000-0000C1010000}"/>
    <cellStyle name="subhead" xfId="238" xr:uid="{00000000-0005-0000-0000-0000C2010000}"/>
    <cellStyle name="Thousands" xfId="239" xr:uid="{00000000-0005-0000-0000-0000C3010000}"/>
    <cellStyle name="Title 2" xfId="240" xr:uid="{00000000-0005-0000-0000-0000C4010000}"/>
    <cellStyle name="Total 2" xfId="241" xr:uid="{00000000-0005-0000-0000-0000C5010000}"/>
    <cellStyle name="UploadThisRowValue" xfId="242" xr:uid="{00000000-0005-0000-0000-0000C6010000}"/>
    <cellStyle name="Warning Text 2" xfId="243" xr:uid="{00000000-0005-0000-0000-0000C7010000}"/>
    <cellStyle name="YrHeader" xfId="244" xr:uid="{00000000-0005-0000-0000-0000C8010000}"/>
  </cellStyles>
  <dxfs count="10">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1m266\c01m266\Treasury%20&amp;%20Trust\Cash%20Management\Daily%20Forecast%20-Current\Daily_Position2.1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107\c01m107\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Rate%20Cases\2022\WA\Debt%20Data%20Base%20v4%20092021%20-%20Snapsho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01m266\c01m266\Treasury%20&amp;%20Trust\Cash%20Management\Daily%20Forecast%20-Current\Daily_Position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tion"/>
      <sheetName val="Calendars"/>
      <sheetName val="Model"/>
      <sheetName val="Position Summary"/>
      <sheetName val="Assumptions"/>
    </sheetNames>
    <sheetDataSet>
      <sheetData sheetId="0"/>
      <sheetData sheetId="1">
        <row r="2">
          <cell r="A2">
            <v>43101</v>
          </cell>
        </row>
        <row r="3">
          <cell r="A3">
            <v>43115</v>
          </cell>
        </row>
        <row r="4">
          <cell r="A4">
            <v>43150</v>
          </cell>
        </row>
        <row r="5">
          <cell r="A5">
            <v>43248</v>
          </cell>
        </row>
        <row r="6">
          <cell r="A6">
            <v>43285</v>
          </cell>
        </row>
        <row r="7">
          <cell r="A7">
            <v>43346</v>
          </cell>
        </row>
        <row r="8">
          <cell r="A8">
            <v>43381</v>
          </cell>
        </row>
        <row r="9">
          <cell r="A9">
            <v>43415</v>
          </cell>
        </row>
        <row r="10">
          <cell r="A10">
            <v>43416</v>
          </cell>
        </row>
        <row r="11">
          <cell r="A11">
            <v>43426</v>
          </cell>
        </row>
        <row r="12">
          <cell r="A12">
            <v>43459</v>
          </cell>
        </row>
        <row r="13">
          <cell r="A13">
            <v>43466</v>
          </cell>
        </row>
        <row r="14">
          <cell r="A14">
            <v>43486</v>
          </cell>
        </row>
        <row r="15">
          <cell r="A15">
            <v>43514</v>
          </cell>
        </row>
        <row r="16">
          <cell r="A16">
            <v>43612</v>
          </cell>
        </row>
        <row r="17">
          <cell r="A17">
            <v>43650</v>
          </cell>
        </row>
        <row r="18">
          <cell r="A18">
            <v>43710</v>
          </cell>
        </row>
        <row r="19">
          <cell r="A19">
            <v>43752</v>
          </cell>
        </row>
        <row r="20">
          <cell r="A20">
            <v>43780</v>
          </cell>
        </row>
        <row r="21">
          <cell r="A21">
            <v>43797</v>
          </cell>
        </row>
        <row r="22">
          <cell r="A22">
            <v>43824</v>
          </cell>
        </row>
        <row r="23">
          <cell r="A23">
            <v>43831</v>
          </cell>
        </row>
        <row r="24">
          <cell r="A24">
            <v>43831</v>
          </cell>
        </row>
        <row r="25">
          <cell r="A25">
            <v>43850</v>
          </cell>
        </row>
        <row r="26">
          <cell r="A26">
            <v>43878</v>
          </cell>
        </row>
        <row r="27">
          <cell r="A27">
            <v>43976</v>
          </cell>
        </row>
        <row r="28">
          <cell r="A28">
            <v>44016</v>
          </cell>
        </row>
        <row r="29">
          <cell r="A29">
            <v>44081</v>
          </cell>
        </row>
        <row r="30">
          <cell r="A30">
            <v>44116</v>
          </cell>
        </row>
        <row r="31">
          <cell r="A31">
            <v>44146</v>
          </cell>
        </row>
        <row r="32">
          <cell r="A32">
            <v>44161</v>
          </cell>
        </row>
        <row r="33">
          <cell r="A33">
            <v>44190</v>
          </cell>
        </row>
        <row r="34">
          <cell r="A34">
            <v>44197</v>
          </cell>
        </row>
        <row r="35">
          <cell r="A35">
            <v>44214</v>
          </cell>
        </row>
        <row r="36">
          <cell r="A36">
            <v>44242</v>
          </cell>
        </row>
        <row r="37">
          <cell r="A37">
            <v>44347</v>
          </cell>
        </row>
        <row r="38">
          <cell r="A38">
            <v>44381</v>
          </cell>
        </row>
        <row r="39">
          <cell r="A39">
            <v>44382</v>
          </cell>
        </row>
        <row r="40">
          <cell r="A40">
            <v>44445</v>
          </cell>
        </row>
        <row r="41">
          <cell r="A41">
            <v>44480</v>
          </cell>
        </row>
        <row r="42">
          <cell r="A42">
            <v>44511</v>
          </cell>
        </row>
        <row r="43">
          <cell r="A43">
            <v>44525</v>
          </cell>
        </row>
        <row r="44">
          <cell r="A44">
            <v>44555</v>
          </cell>
        </row>
        <row r="45">
          <cell r="A45">
            <v>44562</v>
          </cell>
        </row>
        <row r="46">
          <cell r="A46">
            <v>44578</v>
          </cell>
        </row>
        <row r="47">
          <cell r="A47">
            <v>44613</v>
          </cell>
        </row>
        <row r="48">
          <cell r="A48">
            <v>44711</v>
          </cell>
        </row>
        <row r="49">
          <cell r="A49">
            <v>44746</v>
          </cell>
        </row>
        <row r="50">
          <cell r="A50">
            <v>44809</v>
          </cell>
        </row>
        <row r="51">
          <cell r="A51">
            <v>44844</v>
          </cell>
        </row>
        <row r="52">
          <cell r="A52">
            <v>44876</v>
          </cell>
        </row>
        <row r="53">
          <cell r="A53">
            <v>44889</v>
          </cell>
        </row>
        <row r="54">
          <cell r="A54">
            <v>44920</v>
          </cell>
        </row>
        <row r="55">
          <cell r="A55">
            <v>44921</v>
          </cell>
        </row>
        <row r="56">
          <cell r="A56">
            <v>44927</v>
          </cell>
        </row>
        <row r="57">
          <cell r="A57">
            <v>44928</v>
          </cell>
        </row>
        <row r="58">
          <cell r="A58">
            <v>44942</v>
          </cell>
        </row>
        <row r="59">
          <cell r="A59">
            <v>44977</v>
          </cell>
        </row>
        <row r="60">
          <cell r="A60">
            <v>45075</v>
          </cell>
        </row>
        <row r="61">
          <cell r="A61">
            <v>45111</v>
          </cell>
        </row>
        <row r="62">
          <cell r="A62">
            <v>45173</v>
          </cell>
        </row>
        <row r="63">
          <cell r="A63">
            <v>45208</v>
          </cell>
        </row>
        <row r="64">
          <cell r="A64">
            <v>45241</v>
          </cell>
        </row>
        <row r="65">
          <cell r="A65">
            <v>45253</v>
          </cell>
        </row>
        <row r="66">
          <cell r="A66">
            <v>45285</v>
          </cell>
        </row>
        <row r="67">
          <cell r="A67">
            <v>45292</v>
          </cell>
        </row>
        <row r="68">
          <cell r="A68">
            <v>45306</v>
          </cell>
        </row>
        <row r="69">
          <cell r="A69">
            <v>45341</v>
          </cell>
        </row>
        <row r="70">
          <cell r="A70">
            <v>45439</v>
          </cell>
        </row>
        <row r="71">
          <cell r="A71">
            <v>45477</v>
          </cell>
        </row>
        <row r="72">
          <cell r="A72">
            <v>45537</v>
          </cell>
        </row>
        <row r="73">
          <cell r="A73">
            <v>45579</v>
          </cell>
        </row>
        <row r="74">
          <cell r="A74">
            <v>45607</v>
          </cell>
        </row>
        <row r="75">
          <cell r="A75">
            <v>45624</v>
          </cell>
        </row>
        <row r="76">
          <cell r="A76">
            <v>45651</v>
          </cell>
        </row>
        <row r="77">
          <cell r="A77">
            <v>45658</v>
          </cell>
        </row>
        <row r="78">
          <cell r="A78">
            <v>45677</v>
          </cell>
        </row>
        <row r="79">
          <cell r="A79">
            <v>45705</v>
          </cell>
        </row>
        <row r="80">
          <cell r="A80">
            <v>45803</v>
          </cell>
        </row>
        <row r="81">
          <cell r="A81">
            <v>45842</v>
          </cell>
        </row>
        <row r="82">
          <cell r="A82">
            <v>45901</v>
          </cell>
        </row>
        <row r="83">
          <cell r="A83">
            <v>45943</v>
          </cell>
        </row>
        <row r="84">
          <cell r="A84">
            <v>45972</v>
          </cell>
        </row>
        <row r="85">
          <cell r="A85">
            <v>45988</v>
          </cell>
        </row>
        <row r="86">
          <cell r="A86">
            <v>46016</v>
          </cell>
        </row>
        <row r="87">
          <cell r="A87">
            <v>46023</v>
          </cell>
        </row>
        <row r="88">
          <cell r="A88">
            <v>46041</v>
          </cell>
        </row>
        <row r="89">
          <cell r="A89">
            <v>46069</v>
          </cell>
        </row>
        <row r="90">
          <cell r="A90">
            <v>46167</v>
          </cell>
        </row>
        <row r="91">
          <cell r="A91">
            <v>46207</v>
          </cell>
        </row>
        <row r="92">
          <cell r="A92">
            <v>46272</v>
          </cell>
        </row>
        <row r="93">
          <cell r="A93">
            <v>46307</v>
          </cell>
        </row>
        <row r="94">
          <cell r="A94">
            <v>46337</v>
          </cell>
        </row>
        <row r="95">
          <cell r="A95">
            <v>46352</v>
          </cell>
        </row>
        <row r="96">
          <cell r="A96">
            <v>46381</v>
          </cell>
        </row>
        <row r="97">
          <cell r="A97">
            <v>46388</v>
          </cell>
        </row>
        <row r="98">
          <cell r="A98">
            <v>46405</v>
          </cell>
        </row>
        <row r="99">
          <cell r="A99">
            <v>46433</v>
          </cell>
        </row>
        <row r="100">
          <cell r="A100">
            <v>46538</v>
          </cell>
        </row>
        <row r="101">
          <cell r="A101">
            <v>46572</v>
          </cell>
        </row>
        <row r="102">
          <cell r="A102">
            <v>46573</v>
          </cell>
        </row>
        <row r="103">
          <cell r="A103">
            <v>46636</v>
          </cell>
        </row>
        <row r="104">
          <cell r="A104">
            <v>46671</v>
          </cell>
        </row>
        <row r="105">
          <cell r="A105">
            <v>46702</v>
          </cell>
        </row>
        <row r="106">
          <cell r="A106">
            <v>46716</v>
          </cell>
        </row>
        <row r="107">
          <cell r="A107">
            <v>46746</v>
          </cell>
        </row>
        <row r="108">
          <cell r="A108">
            <v>46753</v>
          </cell>
        </row>
        <row r="109">
          <cell r="A109">
            <v>46769</v>
          </cell>
        </row>
        <row r="110">
          <cell r="A110">
            <v>46804</v>
          </cell>
        </row>
        <row r="111">
          <cell r="A111">
            <v>46902</v>
          </cell>
        </row>
        <row r="112">
          <cell r="A112">
            <v>46938</v>
          </cell>
        </row>
        <row r="113">
          <cell r="A113">
            <v>47000</v>
          </cell>
        </row>
        <row r="114">
          <cell r="A114">
            <v>47035</v>
          </cell>
        </row>
        <row r="115">
          <cell r="A115">
            <v>47068</v>
          </cell>
        </row>
        <row r="116">
          <cell r="A116">
            <v>47080</v>
          </cell>
        </row>
        <row r="117">
          <cell r="A117">
            <v>47112</v>
          </cell>
        </row>
        <row r="118">
          <cell r="A118">
            <v>47119</v>
          </cell>
        </row>
        <row r="119">
          <cell r="A119">
            <v>47133</v>
          </cell>
        </row>
        <row r="120">
          <cell r="A120">
            <v>47168</v>
          </cell>
        </row>
        <row r="121">
          <cell r="A121">
            <v>47266</v>
          </cell>
        </row>
        <row r="122">
          <cell r="A122">
            <v>47303</v>
          </cell>
        </row>
        <row r="123">
          <cell r="A123">
            <v>47364</v>
          </cell>
        </row>
        <row r="124">
          <cell r="A124">
            <v>47399</v>
          </cell>
        </row>
        <row r="125">
          <cell r="A125">
            <v>47433</v>
          </cell>
        </row>
        <row r="126">
          <cell r="A126">
            <v>47434</v>
          </cell>
        </row>
        <row r="127">
          <cell r="A127">
            <v>47444</v>
          </cell>
        </row>
        <row r="128">
          <cell r="A128">
            <v>47477</v>
          </cell>
        </row>
        <row r="129">
          <cell r="A129">
            <v>47484</v>
          </cell>
        </row>
        <row r="130">
          <cell r="A130">
            <v>47504</v>
          </cell>
        </row>
        <row r="131">
          <cell r="A131">
            <v>47532</v>
          </cell>
        </row>
        <row r="132">
          <cell r="A132">
            <v>47630</v>
          </cell>
        </row>
        <row r="133">
          <cell r="A133">
            <v>47668</v>
          </cell>
        </row>
        <row r="134">
          <cell r="A134">
            <v>47728</v>
          </cell>
        </row>
        <row r="135">
          <cell r="A135">
            <v>47770</v>
          </cell>
        </row>
        <row r="136">
          <cell r="A136">
            <v>47798</v>
          </cell>
        </row>
        <row r="137">
          <cell r="A137">
            <v>47815</v>
          </cell>
        </row>
        <row r="138">
          <cell r="A138">
            <v>47842</v>
          </cell>
        </row>
        <row r="139">
          <cell r="A139">
            <v>47849</v>
          </cell>
        </row>
        <row r="140">
          <cell r="A140">
            <v>47868</v>
          </cell>
        </row>
        <row r="141">
          <cell r="A141">
            <v>47896</v>
          </cell>
        </row>
        <row r="142">
          <cell r="A142">
            <v>47994</v>
          </cell>
        </row>
        <row r="143">
          <cell r="A143">
            <v>48033</v>
          </cell>
        </row>
        <row r="144">
          <cell r="A144">
            <v>48092</v>
          </cell>
        </row>
        <row r="145">
          <cell r="A145">
            <v>48134</v>
          </cell>
        </row>
        <row r="146">
          <cell r="A146">
            <v>48163</v>
          </cell>
        </row>
        <row r="147">
          <cell r="A147">
            <v>48179</v>
          </cell>
        </row>
        <row r="148">
          <cell r="A148">
            <v>48207</v>
          </cell>
        </row>
        <row r="149">
          <cell r="A149">
            <v>48214</v>
          </cell>
        </row>
        <row r="150">
          <cell r="A150">
            <v>48232</v>
          </cell>
        </row>
        <row r="151">
          <cell r="A151">
            <v>48260</v>
          </cell>
        </row>
        <row r="152">
          <cell r="A152">
            <v>48365</v>
          </cell>
        </row>
        <row r="153">
          <cell r="A153">
            <v>48399</v>
          </cell>
        </row>
        <row r="154">
          <cell r="A154">
            <v>48400</v>
          </cell>
        </row>
        <row r="155">
          <cell r="A155">
            <v>48463</v>
          </cell>
        </row>
        <row r="156">
          <cell r="A156">
            <v>48498</v>
          </cell>
        </row>
        <row r="157">
          <cell r="A157">
            <v>48529</v>
          </cell>
        </row>
        <row r="158">
          <cell r="A158">
            <v>48543</v>
          </cell>
        </row>
        <row r="159">
          <cell r="A159">
            <v>48573</v>
          </cell>
        </row>
        <row r="160">
          <cell r="A160">
            <v>48580</v>
          </cell>
        </row>
        <row r="161">
          <cell r="A161">
            <v>48596</v>
          </cell>
        </row>
        <row r="162">
          <cell r="A162">
            <v>48631</v>
          </cell>
        </row>
        <row r="163">
          <cell r="A163">
            <v>48729</v>
          </cell>
        </row>
        <row r="164">
          <cell r="A164">
            <v>48764</v>
          </cell>
        </row>
        <row r="165">
          <cell r="A165">
            <v>48827</v>
          </cell>
        </row>
        <row r="166">
          <cell r="A166">
            <v>48862</v>
          </cell>
        </row>
        <row r="167">
          <cell r="A167">
            <v>48894</v>
          </cell>
        </row>
        <row r="168">
          <cell r="A168">
            <v>48907</v>
          </cell>
        </row>
        <row r="169">
          <cell r="A169">
            <v>48938</v>
          </cell>
        </row>
        <row r="170">
          <cell r="A170">
            <v>48939</v>
          </cell>
        </row>
        <row r="171">
          <cell r="A171">
            <v>48945</v>
          </cell>
        </row>
        <row r="172">
          <cell r="A172">
            <v>48946</v>
          </cell>
        </row>
        <row r="173">
          <cell r="A173">
            <v>48960</v>
          </cell>
        </row>
        <row r="174">
          <cell r="A174">
            <v>48995</v>
          </cell>
        </row>
        <row r="175">
          <cell r="A175">
            <v>49093</v>
          </cell>
        </row>
        <row r="176">
          <cell r="A176">
            <v>49129</v>
          </cell>
        </row>
        <row r="177">
          <cell r="A177">
            <v>49191</v>
          </cell>
        </row>
        <row r="178">
          <cell r="A178">
            <v>49226</v>
          </cell>
        </row>
        <row r="179">
          <cell r="A179">
            <v>49259</v>
          </cell>
        </row>
        <row r="180">
          <cell r="A180">
            <v>49271</v>
          </cell>
        </row>
        <row r="181">
          <cell r="A181">
            <v>49303</v>
          </cell>
        </row>
        <row r="182">
          <cell r="A182">
            <v>49310</v>
          </cell>
        </row>
        <row r="183">
          <cell r="A183">
            <v>49324</v>
          </cell>
        </row>
        <row r="184">
          <cell r="A184">
            <v>49359</v>
          </cell>
        </row>
        <row r="185">
          <cell r="A185">
            <v>49457</v>
          </cell>
        </row>
        <row r="186">
          <cell r="A186">
            <v>49494</v>
          </cell>
        </row>
        <row r="187">
          <cell r="A187">
            <v>49555</v>
          </cell>
        </row>
        <row r="188">
          <cell r="A188">
            <v>49590</v>
          </cell>
        </row>
        <row r="189">
          <cell r="A189">
            <v>49624</v>
          </cell>
        </row>
        <row r="190">
          <cell r="A190">
            <v>49625</v>
          </cell>
        </row>
        <row r="191">
          <cell r="A191">
            <v>49635</v>
          </cell>
        </row>
        <row r="192">
          <cell r="A192">
            <v>49668</v>
          </cell>
        </row>
        <row r="193">
          <cell r="A193">
            <v>49675</v>
          </cell>
        </row>
        <row r="194">
          <cell r="A194">
            <v>49695</v>
          </cell>
        </row>
        <row r="195">
          <cell r="A195">
            <v>49723</v>
          </cell>
        </row>
        <row r="196">
          <cell r="A196">
            <v>49821</v>
          </cell>
        </row>
        <row r="197">
          <cell r="A197">
            <v>49860</v>
          </cell>
        </row>
        <row r="198">
          <cell r="A198">
            <v>49919</v>
          </cell>
        </row>
        <row r="199">
          <cell r="A199">
            <v>49961</v>
          </cell>
        </row>
        <row r="200">
          <cell r="A200">
            <v>49990</v>
          </cell>
        </row>
        <row r="201">
          <cell r="A201">
            <v>50006</v>
          </cell>
        </row>
        <row r="202">
          <cell r="A202">
            <v>50034</v>
          </cell>
        </row>
        <row r="203">
          <cell r="A203">
            <v>50041</v>
          </cell>
        </row>
        <row r="204">
          <cell r="A204">
            <v>50059</v>
          </cell>
        </row>
        <row r="205">
          <cell r="A205">
            <v>50087</v>
          </cell>
        </row>
        <row r="206">
          <cell r="A206">
            <v>50185</v>
          </cell>
        </row>
        <row r="207">
          <cell r="A207">
            <v>50225</v>
          </cell>
        </row>
        <row r="208">
          <cell r="A208">
            <v>50290</v>
          </cell>
        </row>
        <row r="209">
          <cell r="A209">
            <v>50325</v>
          </cell>
        </row>
        <row r="210">
          <cell r="A210">
            <v>50355</v>
          </cell>
        </row>
        <row r="211">
          <cell r="A211">
            <v>50370</v>
          </cell>
        </row>
        <row r="212">
          <cell r="A212">
            <v>50399</v>
          </cell>
        </row>
        <row r="213">
          <cell r="A213">
            <v>50406</v>
          </cell>
        </row>
        <row r="214">
          <cell r="A214">
            <v>50423</v>
          </cell>
        </row>
        <row r="215">
          <cell r="A215">
            <v>50451</v>
          </cell>
        </row>
        <row r="216">
          <cell r="A216">
            <v>50556</v>
          </cell>
        </row>
        <row r="217">
          <cell r="A217">
            <v>50590</v>
          </cell>
        </row>
        <row r="218">
          <cell r="A218">
            <v>50591</v>
          </cell>
        </row>
        <row r="219">
          <cell r="A219">
            <v>50654</v>
          </cell>
        </row>
        <row r="220">
          <cell r="A220">
            <v>50689</v>
          </cell>
        </row>
        <row r="221">
          <cell r="A221">
            <v>50720</v>
          </cell>
        </row>
        <row r="222">
          <cell r="A222">
            <v>50734</v>
          </cell>
        </row>
        <row r="223">
          <cell r="A223">
            <v>50764</v>
          </cell>
        </row>
        <row r="224">
          <cell r="A224">
            <v>50771</v>
          </cell>
        </row>
        <row r="225">
          <cell r="A225">
            <v>50787</v>
          </cell>
        </row>
        <row r="226">
          <cell r="A226">
            <v>50822</v>
          </cell>
        </row>
        <row r="227">
          <cell r="A227">
            <v>50920</v>
          </cell>
        </row>
        <row r="228">
          <cell r="A228">
            <v>50955</v>
          </cell>
        </row>
        <row r="229">
          <cell r="A229">
            <v>51018</v>
          </cell>
        </row>
        <row r="230">
          <cell r="A230">
            <v>51053</v>
          </cell>
        </row>
        <row r="231">
          <cell r="A231">
            <v>51085</v>
          </cell>
        </row>
        <row r="232">
          <cell r="A232">
            <v>51098</v>
          </cell>
        </row>
        <row r="233">
          <cell r="A233">
            <v>51129</v>
          </cell>
        </row>
        <row r="234">
          <cell r="A234">
            <v>51130</v>
          </cell>
        </row>
        <row r="235">
          <cell r="A235">
            <v>51136</v>
          </cell>
        </row>
        <row r="236">
          <cell r="A236">
            <v>51137</v>
          </cell>
        </row>
        <row r="237">
          <cell r="A237">
            <v>51151</v>
          </cell>
        </row>
        <row r="238">
          <cell r="A238">
            <v>51186</v>
          </cell>
        </row>
        <row r="239">
          <cell r="A239">
            <v>51284</v>
          </cell>
        </row>
        <row r="240">
          <cell r="A240">
            <v>51321</v>
          </cell>
        </row>
        <row r="241">
          <cell r="A241">
            <v>51382</v>
          </cell>
        </row>
        <row r="242">
          <cell r="A242">
            <v>51417</v>
          </cell>
        </row>
        <row r="243">
          <cell r="A243">
            <v>51451</v>
          </cell>
        </row>
        <row r="244">
          <cell r="A244">
            <v>51452</v>
          </cell>
        </row>
        <row r="245">
          <cell r="A245">
            <v>51462</v>
          </cell>
        </row>
        <row r="246">
          <cell r="A246">
            <v>51495</v>
          </cell>
        </row>
        <row r="247">
          <cell r="A247">
            <v>51502</v>
          </cell>
        </row>
        <row r="248">
          <cell r="A248">
            <v>51522</v>
          </cell>
        </row>
        <row r="249">
          <cell r="A249">
            <v>51550</v>
          </cell>
        </row>
        <row r="250">
          <cell r="A250">
            <v>51648</v>
          </cell>
        </row>
        <row r="251">
          <cell r="A251">
            <v>51686</v>
          </cell>
        </row>
        <row r="252">
          <cell r="A252">
            <v>51746</v>
          </cell>
        </row>
        <row r="253">
          <cell r="A253">
            <v>51788</v>
          </cell>
        </row>
        <row r="254">
          <cell r="A254">
            <v>51816</v>
          </cell>
        </row>
        <row r="255">
          <cell r="A255">
            <v>51833</v>
          </cell>
        </row>
        <row r="256">
          <cell r="A256">
            <v>51860</v>
          </cell>
        </row>
        <row r="257">
          <cell r="A257">
            <v>51867</v>
          </cell>
        </row>
        <row r="258">
          <cell r="A258">
            <v>51886</v>
          </cell>
        </row>
        <row r="259">
          <cell r="A259">
            <v>51914</v>
          </cell>
        </row>
        <row r="260">
          <cell r="A260">
            <v>52012</v>
          </cell>
        </row>
        <row r="261">
          <cell r="A261">
            <v>52051</v>
          </cell>
        </row>
        <row r="262">
          <cell r="A262">
            <v>52110</v>
          </cell>
        </row>
        <row r="263">
          <cell r="A263">
            <v>52152</v>
          </cell>
        </row>
        <row r="264">
          <cell r="A264">
            <v>52181</v>
          </cell>
        </row>
        <row r="265">
          <cell r="A265">
            <v>52197</v>
          </cell>
        </row>
        <row r="266">
          <cell r="A266">
            <v>52225</v>
          </cell>
        </row>
        <row r="267">
          <cell r="A267">
            <v>52232</v>
          </cell>
        </row>
        <row r="268">
          <cell r="A268">
            <v>52250</v>
          </cell>
        </row>
        <row r="269">
          <cell r="A269">
            <v>52278</v>
          </cell>
        </row>
        <row r="270">
          <cell r="A270">
            <v>52376</v>
          </cell>
        </row>
        <row r="271">
          <cell r="A271">
            <v>52416</v>
          </cell>
        </row>
        <row r="272">
          <cell r="A272">
            <v>52481</v>
          </cell>
        </row>
        <row r="273">
          <cell r="A273">
            <v>52516</v>
          </cell>
        </row>
        <row r="274">
          <cell r="A274">
            <v>52546</v>
          </cell>
        </row>
        <row r="275">
          <cell r="A275">
            <v>52561</v>
          </cell>
        </row>
        <row r="276">
          <cell r="A276">
            <v>52590</v>
          </cell>
        </row>
        <row r="277">
          <cell r="A277">
            <v>52597</v>
          </cell>
        </row>
        <row r="278">
          <cell r="A278">
            <v>52614</v>
          </cell>
        </row>
        <row r="279">
          <cell r="A279">
            <v>52642</v>
          </cell>
        </row>
        <row r="280">
          <cell r="A280">
            <v>52747</v>
          </cell>
        </row>
        <row r="281">
          <cell r="A281">
            <v>52782</v>
          </cell>
        </row>
        <row r="282">
          <cell r="A282">
            <v>52845</v>
          </cell>
        </row>
        <row r="283">
          <cell r="A283">
            <v>52880</v>
          </cell>
        </row>
        <row r="284">
          <cell r="A284">
            <v>52912</v>
          </cell>
        </row>
        <row r="285">
          <cell r="A285">
            <v>52925</v>
          </cell>
        </row>
        <row r="286">
          <cell r="A286">
            <v>52956</v>
          </cell>
        </row>
        <row r="287">
          <cell r="A287">
            <v>52957</v>
          </cell>
        </row>
        <row r="288">
          <cell r="A288">
            <v>52963</v>
          </cell>
        </row>
        <row r="289">
          <cell r="A289">
            <v>52964</v>
          </cell>
        </row>
        <row r="290">
          <cell r="A290">
            <v>52978</v>
          </cell>
        </row>
        <row r="291">
          <cell r="A291">
            <v>53013</v>
          </cell>
        </row>
        <row r="292">
          <cell r="A292">
            <v>53111</v>
          </cell>
        </row>
        <row r="293">
          <cell r="A293">
            <v>53147</v>
          </cell>
        </row>
        <row r="294">
          <cell r="A294">
            <v>53209</v>
          </cell>
        </row>
        <row r="295">
          <cell r="A295">
            <v>53244</v>
          </cell>
        </row>
        <row r="296">
          <cell r="A296">
            <v>53277</v>
          </cell>
        </row>
        <row r="297">
          <cell r="A297">
            <v>53289</v>
          </cell>
        </row>
        <row r="298">
          <cell r="A298">
            <v>53321</v>
          </cell>
        </row>
        <row r="299">
          <cell r="A299">
            <v>53328</v>
          </cell>
        </row>
        <row r="300">
          <cell r="A300">
            <v>53342</v>
          </cell>
        </row>
        <row r="301">
          <cell r="A301">
            <v>53377</v>
          </cell>
        </row>
        <row r="302">
          <cell r="A302">
            <v>53475</v>
          </cell>
        </row>
        <row r="303">
          <cell r="A303">
            <v>53512</v>
          </cell>
        </row>
        <row r="304">
          <cell r="A304">
            <v>53573</v>
          </cell>
        </row>
        <row r="305">
          <cell r="A305">
            <v>53608</v>
          </cell>
        </row>
        <row r="306">
          <cell r="A306">
            <v>53642</v>
          </cell>
        </row>
        <row r="307">
          <cell r="A307">
            <v>53643</v>
          </cell>
        </row>
        <row r="308">
          <cell r="A308">
            <v>53653</v>
          </cell>
        </row>
        <row r="309">
          <cell r="A309">
            <v>53686</v>
          </cell>
        </row>
        <row r="310">
          <cell r="A310">
            <v>53693</v>
          </cell>
        </row>
        <row r="311">
          <cell r="A311">
            <v>53713</v>
          </cell>
        </row>
        <row r="312">
          <cell r="A312">
            <v>53741</v>
          </cell>
        </row>
        <row r="313">
          <cell r="A313">
            <v>53839</v>
          </cell>
        </row>
        <row r="314">
          <cell r="A314">
            <v>53877</v>
          </cell>
        </row>
        <row r="315">
          <cell r="A315">
            <v>53937</v>
          </cell>
        </row>
        <row r="316">
          <cell r="A316">
            <v>53979</v>
          </cell>
        </row>
        <row r="317">
          <cell r="A317">
            <v>54007</v>
          </cell>
        </row>
        <row r="318">
          <cell r="A318">
            <v>54024</v>
          </cell>
        </row>
        <row r="319">
          <cell r="A319">
            <v>54051</v>
          </cell>
        </row>
        <row r="320">
          <cell r="A320">
            <v>54058</v>
          </cell>
        </row>
        <row r="321">
          <cell r="A321">
            <v>54077</v>
          </cell>
        </row>
        <row r="322">
          <cell r="A322">
            <v>54105</v>
          </cell>
        </row>
        <row r="323">
          <cell r="A323">
            <v>54203</v>
          </cell>
        </row>
        <row r="324">
          <cell r="A324">
            <v>54243</v>
          </cell>
        </row>
        <row r="325">
          <cell r="A325">
            <v>54308</v>
          </cell>
        </row>
        <row r="326">
          <cell r="A326">
            <v>54343</v>
          </cell>
        </row>
        <row r="327">
          <cell r="A327">
            <v>54373</v>
          </cell>
        </row>
        <row r="328">
          <cell r="A328">
            <v>54388</v>
          </cell>
        </row>
        <row r="329">
          <cell r="A329">
            <v>54417</v>
          </cell>
        </row>
        <row r="330">
          <cell r="A330">
            <v>54424</v>
          </cell>
        </row>
        <row r="331">
          <cell r="A331">
            <v>54441</v>
          </cell>
        </row>
        <row r="332">
          <cell r="A332">
            <v>54469</v>
          </cell>
        </row>
        <row r="333">
          <cell r="A333">
            <v>54574</v>
          </cell>
        </row>
        <row r="334">
          <cell r="A334">
            <v>54608</v>
          </cell>
        </row>
        <row r="335">
          <cell r="A335">
            <v>54609</v>
          </cell>
        </row>
        <row r="336">
          <cell r="A336">
            <v>54672</v>
          </cell>
        </row>
        <row r="337">
          <cell r="A337">
            <v>54707</v>
          </cell>
        </row>
        <row r="338">
          <cell r="A338">
            <v>54738</v>
          </cell>
        </row>
        <row r="339">
          <cell r="A339">
            <v>54752</v>
          </cell>
        </row>
        <row r="340">
          <cell r="A340">
            <v>54782</v>
          </cell>
        </row>
        <row r="341">
          <cell r="A341">
            <v>54789</v>
          </cell>
        </row>
        <row r="342">
          <cell r="A342">
            <v>54805</v>
          </cell>
        </row>
        <row r="343">
          <cell r="A343">
            <v>54840</v>
          </cell>
        </row>
        <row r="344">
          <cell r="A344">
            <v>54938</v>
          </cell>
        </row>
        <row r="345">
          <cell r="A345">
            <v>54973</v>
          </cell>
        </row>
        <row r="346">
          <cell r="A346">
            <v>55036</v>
          </cell>
        </row>
        <row r="347">
          <cell r="A347">
            <v>55071</v>
          </cell>
        </row>
        <row r="348">
          <cell r="A348">
            <v>55103</v>
          </cell>
        </row>
        <row r="349">
          <cell r="A349">
            <v>55116</v>
          </cell>
        </row>
        <row r="350">
          <cell r="A350">
            <v>55147</v>
          </cell>
        </row>
        <row r="351">
          <cell r="A351">
            <v>55148</v>
          </cell>
        </row>
        <row r="352">
          <cell r="A352">
            <v>55154</v>
          </cell>
        </row>
        <row r="353">
          <cell r="A353">
            <v>55155</v>
          </cell>
        </row>
        <row r="354">
          <cell r="A354">
            <v>55169</v>
          </cell>
        </row>
        <row r="355">
          <cell r="A355">
            <v>55204</v>
          </cell>
        </row>
        <row r="356">
          <cell r="A356">
            <v>55302</v>
          </cell>
        </row>
        <row r="357">
          <cell r="A357">
            <v>55338</v>
          </cell>
        </row>
        <row r="358">
          <cell r="A358">
            <v>55400</v>
          </cell>
        </row>
        <row r="359">
          <cell r="A359">
            <v>55435</v>
          </cell>
        </row>
        <row r="360">
          <cell r="A360">
            <v>55468</v>
          </cell>
        </row>
        <row r="361">
          <cell r="A361">
            <v>55480</v>
          </cell>
        </row>
        <row r="362">
          <cell r="A362">
            <v>55512</v>
          </cell>
        </row>
        <row r="363">
          <cell r="A363">
            <v>55519</v>
          </cell>
        </row>
        <row r="364">
          <cell r="A364">
            <v>55533</v>
          </cell>
        </row>
        <row r="365">
          <cell r="A365">
            <v>55568</v>
          </cell>
        </row>
        <row r="366">
          <cell r="A366">
            <v>55666</v>
          </cell>
        </row>
        <row r="367">
          <cell r="A367">
            <v>55704</v>
          </cell>
        </row>
        <row r="368">
          <cell r="A368">
            <v>55764</v>
          </cell>
        </row>
        <row r="369">
          <cell r="A369">
            <v>55806</v>
          </cell>
        </row>
        <row r="370">
          <cell r="A370">
            <v>55834</v>
          </cell>
        </row>
        <row r="371">
          <cell r="A371">
            <v>55851</v>
          </cell>
        </row>
        <row r="372">
          <cell r="A372">
            <v>55878</v>
          </cell>
        </row>
        <row r="373">
          <cell r="A373">
            <v>55885</v>
          </cell>
        </row>
        <row r="374">
          <cell r="A374">
            <v>55904</v>
          </cell>
        </row>
        <row r="375">
          <cell r="A375">
            <v>55932</v>
          </cell>
        </row>
        <row r="376">
          <cell r="A376">
            <v>56030</v>
          </cell>
        </row>
        <row r="377">
          <cell r="A377">
            <v>56069</v>
          </cell>
        </row>
        <row r="378">
          <cell r="A378">
            <v>56128</v>
          </cell>
        </row>
        <row r="379">
          <cell r="A379">
            <v>56170</v>
          </cell>
        </row>
        <row r="380">
          <cell r="A380">
            <v>56199</v>
          </cell>
        </row>
        <row r="381">
          <cell r="A381">
            <v>56215</v>
          </cell>
        </row>
        <row r="382">
          <cell r="A382">
            <v>56243</v>
          </cell>
        </row>
        <row r="383">
          <cell r="A383">
            <v>56250</v>
          </cell>
        </row>
        <row r="384">
          <cell r="A384">
            <v>56268</v>
          </cell>
        </row>
        <row r="385">
          <cell r="A385">
            <v>56296</v>
          </cell>
        </row>
        <row r="386">
          <cell r="A386">
            <v>56394</v>
          </cell>
        </row>
        <row r="387">
          <cell r="A387">
            <v>56434</v>
          </cell>
        </row>
        <row r="388">
          <cell r="A388">
            <v>56499</v>
          </cell>
        </row>
        <row r="389">
          <cell r="A389">
            <v>56534</v>
          </cell>
        </row>
        <row r="390">
          <cell r="A390">
            <v>56564</v>
          </cell>
        </row>
        <row r="391">
          <cell r="A391">
            <v>56579</v>
          </cell>
        </row>
        <row r="392">
          <cell r="A392">
            <v>56608</v>
          </cell>
        </row>
        <row r="393">
          <cell r="A393">
            <v>56615</v>
          </cell>
        </row>
        <row r="394">
          <cell r="A394">
            <v>56632</v>
          </cell>
        </row>
        <row r="395">
          <cell r="A395">
            <v>56660</v>
          </cell>
        </row>
        <row r="396">
          <cell r="A396">
            <v>56765</v>
          </cell>
        </row>
        <row r="397">
          <cell r="A397">
            <v>56799</v>
          </cell>
        </row>
        <row r="398">
          <cell r="A398">
            <v>56800</v>
          </cell>
        </row>
        <row r="399">
          <cell r="A399">
            <v>56863</v>
          </cell>
        </row>
        <row r="400">
          <cell r="A400">
            <v>56898</v>
          </cell>
        </row>
        <row r="401">
          <cell r="A401">
            <v>56929</v>
          </cell>
        </row>
        <row r="402">
          <cell r="A402">
            <v>56943</v>
          </cell>
        </row>
        <row r="403">
          <cell r="A403">
            <v>56973</v>
          </cell>
        </row>
        <row r="404">
          <cell r="A404">
            <v>56980</v>
          </cell>
        </row>
        <row r="405">
          <cell r="A405">
            <v>56996</v>
          </cell>
        </row>
        <row r="406">
          <cell r="A406">
            <v>57031</v>
          </cell>
        </row>
        <row r="407">
          <cell r="A407">
            <v>57129</v>
          </cell>
        </row>
        <row r="408">
          <cell r="A408">
            <v>57165</v>
          </cell>
        </row>
        <row r="409">
          <cell r="A409">
            <v>57227</v>
          </cell>
        </row>
        <row r="410">
          <cell r="A410">
            <v>57262</v>
          </cell>
        </row>
        <row r="411">
          <cell r="A411">
            <v>57295</v>
          </cell>
        </row>
        <row r="412">
          <cell r="A412">
            <v>57307</v>
          </cell>
        </row>
        <row r="413">
          <cell r="A413">
            <v>57339</v>
          </cell>
        </row>
        <row r="414">
          <cell r="A414">
            <v>57346</v>
          </cell>
        </row>
        <row r="415">
          <cell r="A415">
            <v>57360</v>
          </cell>
        </row>
        <row r="416">
          <cell r="A416">
            <v>57395</v>
          </cell>
        </row>
        <row r="417">
          <cell r="A417">
            <v>57493</v>
          </cell>
        </row>
        <row r="418">
          <cell r="A418">
            <v>57530</v>
          </cell>
        </row>
        <row r="419">
          <cell r="A419">
            <v>57591</v>
          </cell>
        </row>
        <row r="420">
          <cell r="A420">
            <v>57626</v>
          </cell>
        </row>
        <row r="421">
          <cell r="A421">
            <v>57660</v>
          </cell>
        </row>
        <row r="422">
          <cell r="A422">
            <v>57661</v>
          </cell>
        </row>
        <row r="423">
          <cell r="A423">
            <v>57671</v>
          </cell>
        </row>
        <row r="424">
          <cell r="A424">
            <v>57704</v>
          </cell>
        </row>
        <row r="425">
          <cell r="A425">
            <v>57711</v>
          </cell>
        </row>
        <row r="426">
          <cell r="A426">
            <v>57731</v>
          </cell>
        </row>
        <row r="427">
          <cell r="A427">
            <v>57759</v>
          </cell>
        </row>
        <row r="428">
          <cell r="A428">
            <v>57857</v>
          </cell>
        </row>
        <row r="429">
          <cell r="A429">
            <v>57895</v>
          </cell>
        </row>
        <row r="430">
          <cell r="A430">
            <v>57955</v>
          </cell>
        </row>
        <row r="431">
          <cell r="A431">
            <v>57997</v>
          </cell>
        </row>
        <row r="432">
          <cell r="A432">
            <v>58025</v>
          </cell>
        </row>
        <row r="433">
          <cell r="A433">
            <v>58042</v>
          </cell>
        </row>
        <row r="434">
          <cell r="A434">
            <v>58069</v>
          </cell>
        </row>
        <row r="435">
          <cell r="A435">
            <v>58076</v>
          </cell>
        </row>
        <row r="436">
          <cell r="A436">
            <v>58095</v>
          </cell>
        </row>
        <row r="437">
          <cell r="A437">
            <v>58123</v>
          </cell>
        </row>
        <row r="438">
          <cell r="A438">
            <v>58221</v>
          </cell>
        </row>
        <row r="439">
          <cell r="A439">
            <v>58260</v>
          </cell>
        </row>
        <row r="440">
          <cell r="A440">
            <v>58319</v>
          </cell>
        </row>
        <row r="441">
          <cell r="A441">
            <v>58361</v>
          </cell>
        </row>
        <row r="442">
          <cell r="A442">
            <v>58390</v>
          </cell>
        </row>
        <row r="443">
          <cell r="A443">
            <v>58406</v>
          </cell>
        </row>
        <row r="444">
          <cell r="A444">
            <v>58434</v>
          </cell>
        </row>
        <row r="445">
          <cell r="A445">
            <v>58441</v>
          </cell>
        </row>
        <row r="446">
          <cell r="A446">
            <v>58459</v>
          </cell>
        </row>
        <row r="447">
          <cell r="A447">
            <v>58487</v>
          </cell>
        </row>
        <row r="448">
          <cell r="A448">
            <v>58592</v>
          </cell>
        </row>
        <row r="449">
          <cell r="A449">
            <v>58626</v>
          </cell>
        </row>
        <row r="450">
          <cell r="A450">
            <v>58627</v>
          </cell>
        </row>
        <row r="451">
          <cell r="A451">
            <v>58690</v>
          </cell>
        </row>
        <row r="452">
          <cell r="A452">
            <v>58725</v>
          </cell>
        </row>
        <row r="453">
          <cell r="A453">
            <v>58756</v>
          </cell>
        </row>
        <row r="454">
          <cell r="A454">
            <v>58770</v>
          </cell>
        </row>
        <row r="455">
          <cell r="A455">
            <v>58800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Utility Debt Recon"/>
      <sheetName val="Amortization Input Page"/>
      <sheetName val="Utility Debt Expense Recon"/>
      <sheetName val="Amortization Pivot Table"/>
      <sheetName val="Current Balance"/>
      <sheetName val="655 GL Entry"/>
      <sheetName val="Current Portion of LT Debt"/>
      <sheetName val="Interest Expense Accrual"/>
      <sheetName val="AR Interest-Fee Accrual"/>
      <sheetName val="Interest Income Accrual"/>
      <sheetName val="Interest Accrued-Paid"/>
      <sheetName val="Interest Variance"/>
      <sheetName val="Cost of Capital Calculation"/>
      <sheetName val="Cost of Debt for WA"/>
      <sheetName val="Cost of Debt for Idaho"/>
      <sheetName val="Cost of Debt for Oregon"/>
      <sheetName val="ST Borrowing Actuals"/>
      <sheetName val="Short-Term"/>
      <sheetName val="Var. Rate Long-Term"/>
      <sheetName val="AFUDC Master Sheet"/>
      <sheetName val="CWIP Balances"/>
      <sheetName val="New Debt Narative"/>
    </sheetNames>
    <sheetDataSet>
      <sheetData sheetId="0">
        <row r="1">
          <cell r="C1">
            <v>44469</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7">
          <cell r="AY7">
            <v>44561</v>
          </cell>
          <cell r="AZ7">
            <v>221400</v>
          </cell>
        </row>
        <row r="8">
          <cell r="AY8">
            <v>44408</v>
          </cell>
          <cell r="AZ8">
            <v>221420</v>
          </cell>
        </row>
        <row r="9">
          <cell r="AY9">
            <v>44500</v>
          </cell>
          <cell r="AZ9">
            <v>221480</v>
          </cell>
        </row>
        <row r="10">
          <cell r="AY10">
            <v>44561</v>
          </cell>
          <cell r="AZ10">
            <v>221540</v>
          </cell>
        </row>
        <row r="11">
          <cell r="AY11">
            <v>44561</v>
          </cell>
          <cell r="AZ11">
            <v>221560</v>
          </cell>
        </row>
        <row r="12">
          <cell r="AY12">
            <v>44439</v>
          </cell>
          <cell r="AZ12">
            <v>221580</v>
          </cell>
        </row>
        <row r="13">
          <cell r="AY13">
            <v>44561</v>
          </cell>
          <cell r="AZ13">
            <v>221600</v>
          </cell>
        </row>
        <row r="14">
          <cell r="AY14">
            <v>44561</v>
          </cell>
          <cell r="AZ14">
            <v>221620</v>
          </cell>
        </row>
        <row r="15">
          <cell r="AY15">
            <v>44561</v>
          </cell>
          <cell r="AZ15">
            <v>221630</v>
          </cell>
        </row>
        <row r="16">
          <cell r="AY16">
            <v>44561</v>
          </cell>
        </row>
        <row r="17">
          <cell r="AY17">
            <v>44561</v>
          </cell>
        </row>
        <row r="18">
          <cell r="AY18">
            <v>44561</v>
          </cell>
        </row>
        <row r="21">
          <cell r="AY21">
            <v>44530</v>
          </cell>
          <cell r="AZ21">
            <v>221334</v>
          </cell>
        </row>
        <row r="22">
          <cell r="AY22">
            <v>44500</v>
          </cell>
          <cell r="AZ22">
            <v>221300</v>
          </cell>
        </row>
        <row r="23">
          <cell r="AY23">
            <v>44561</v>
          </cell>
        </row>
        <row r="24">
          <cell r="AY24">
            <v>44561</v>
          </cell>
        </row>
        <row r="25">
          <cell r="AY25">
            <v>44561</v>
          </cell>
        </row>
        <row r="26">
          <cell r="AY26">
            <v>44500</v>
          </cell>
        </row>
        <row r="27">
          <cell r="AY27">
            <v>44561</v>
          </cell>
        </row>
        <row r="28">
          <cell r="AY28">
            <v>0</v>
          </cell>
        </row>
        <row r="29">
          <cell r="AY29">
            <v>0</v>
          </cell>
        </row>
        <row r="30">
          <cell r="AY30">
            <v>0</v>
          </cell>
        </row>
      </sheetData>
      <sheetData sheetId="13" refreshError="1"/>
      <sheetData sheetId="14"/>
      <sheetData sheetId="15"/>
      <sheetData sheetId="16" refreshError="1"/>
      <sheetData sheetId="17" refreshError="1"/>
      <sheetData sheetId="18" refreshError="1"/>
      <sheetData sheetId="19">
        <row r="22">
          <cell r="P22">
            <v>2.4476985393940828E-2</v>
          </cell>
        </row>
      </sheetData>
      <sheetData sheetId="20"/>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tion"/>
      <sheetName val="Holidays"/>
      <sheetName val="Model"/>
      <sheetName val="Position Summary"/>
      <sheetName val="Assumptions"/>
    </sheetNames>
    <sheetDataSet>
      <sheetData sheetId="0" refreshError="1"/>
      <sheetData sheetId="1" refreshError="1">
        <row r="2">
          <cell r="A2">
            <v>39814</v>
          </cell>
        </row>
        <row r="3">
          <cell r="A3">
            <v>39832</v>
          </cell>
        </row>
        <row r="4">
          <cell r="A4">
            <v>39860</v>
          </cell>
        </row>
        <row r="5">
          <cell r="A5">
            <v>39958</v>
          </cell>
        </row>
        <row r="6">
          <cell r="A6">
            <v>39998</v>
          </cell>
        </row>
        <row r="7">
          <cell r="A7">
            <v>40063</v>
          </cell>
        </row>
        <row r="8">
          <cell r="A8">
            <v>40098</v>
          </cell>
        </row>
        <row r="9">
          <cell r="A9">
            <v>40128</v>
          </cell>
        </row>
        <row r="10">
          <cell r="A10">
            <v>40143</v>
          </cell>
        </row>
        <row r="11">
          <cell r="A11">
            <v>40172</v>
          </cell>
        </row>
        <row r="12">
          <cell r="A12">
            <v>40179</v>
          </cell>
        </row>
        <row r="13">
          <cell r="A13">
            <v>40196</v>
          </cell>
        </row>
        <row r="14">
          <cell r="A14">
            <v>40224</v>
          </cell>
        </row>
        <row r="15">
          <cell r="A15">
            <v>40329</v>
          </cell>
        </row>
        <row r="16">
          <cell r="A16">
            <v>40363</v>
          </cell>
        </row>
        <row r="17">
          <cell r="A17">
            <v>40364</v>
          </cell>
        </row>
        <row r="18">
          <cell r="A18">
            <v>40427</v>
          </cell>
        </row>
        <row r="19">
          <cell r="A19">
            <v>40462</v>
          </cell>
        </row>
        <row r="20">
          <cell r="A20">
            <v>40493</v>
          </cell>
        </row>
        <row r="21">
          <cell r="A21">
            <v>40507</v>
          </cell>
        </row>
        <row r="22">
          <cell r="A22">
            <v>40537</v>
          </cell>
        </row>
        <row r="23">
          <cell r="A23">
            <v>40544</v>
          </cell>
        </row>
        <row r="24">
          <cell r="A24">
            <v>40560</v>
          </cell>
        </row>
        <row r="25">
          <cell r="A25">
            <v>40595</v>
          </cell>
        </row>
        <row r="26">
          <cell r="A26">
            <v>40693</v>
          </cell>
        </row>
        <row r="27">
          <cell r="A27">
            <v>40728</v>
          </cell>
        </row>
        <row r="28">
          <cell r="A28">
            <v>40791</v>
          </cell>
        </row>
        <row r="29">
          <cell r="A29">
            <v>40826</v>
          </cell>
        </row>
        <row r="30">
          <cell r="A30">
            <v>40858</v>
          </cell>
        </row>
        <row r="31">
          <cell r="A31">
            <v>40871</v>
          </cell>
        </row>
        <row r="32">
          <cell r="A32">
            <v>40902</v>
          </cell>
        </row>
        <row r="33">
          <cell r="A33">
            <v>40903</v>
          </cell>
        </row>
        <row r="34">
          <cell r="A34">
            <v>40909</v>
          </cell>
        </row>
        <row r="35">
          <cell r="A35">
            <v>40910</v>
          </cell>
        </row>
        <row r="36">
          <cell r="A36">
            <v>40924</v>
          </cell>
        </row>
        <row r="37">
          <cell r="A37">
            <v>40959</v>
          </cell>
        </row>
        <row r="38">
          <cell r="A38">
            <v>41057</v>
          </cell>
        </row>
        <row r="39">
          <cell r="A39">
            <v>41094</v>
          </cell>
        </row>
        <row r="40">
          <cell r="A40">
            <v>41155</v>
          </cell>
        </row>
        <row r="41">
          <cell r="A41">
            <v>41190</v>
          </cell>
        </row>
        <row r="42">
          <cell r="A42">
            <v>41224</v>
          </cell>
        </row>
        <row r="43">
          <cell r="A43">
            <v>41225</v>
          </cell>
        </row>
        <row r="44">
          <cell r="A44">
            <v>41235</v>
          </cell>
        </row>
        <row r="45">
          <cell r="A45">
            <v>41268</v>
          </cell>
        </row>
        <row r="46">
          <cell r="A46">
            <v>41275</v>
          </cell>
        </row>
        <row r="47">
          <cell r="A47">
            <v>41295</v>
          </cell>
        </row>
        <row r="48">
          <cell r="A48">
            <v>41323</v>
          </cell>
        </row>
        <row r="49">
          <cell r="A49">
            <v>41421</v>
          </cell>
        </row>
        <row r="50">
          <cell r="A50">
            <v>41459</v>
          </cell>
        </row>
        <row r="51">
          <cell r="A51">
            <v>41519</v>
          </cell>
        </row>
        <row r="52">
          <cell r="A52">
            <v>41561</v>
          </cell>
        </row>
        <row r="53">
          <cell r="A53">
            <v>41589</v>
          </cell>
        </row>
        <row r="54">
          <cell r="A54">
            <v>41606</v>
          </cell>
        </row>
        <row r="55">
          <cell r="A55">
            <v>41633</v>
          </cell>
        </row>
        <row r="56">
          <cell r="A56">
            <v>41640</v>
          </cell>
        </row>
        <row r="57">
          <cell r="A57">
            <v>41659</v>
          </cell>
        </row>
        <row r="58">
          <cell r="A58">
            <v>41687</v>
          </cell>
        </row>
        <row r="59">
          <cell r="A59">
            <v>41785</v>
          </cell>
        </row>
        <row r="60">
          <cell r="A60">
            <v>41824</v>
          </cell>
        </row>
        <row r="61">
          <cell r="A61">
            <v>41883</v>
          </cell>
        </row>
        <row r="62">
          <cell r="A62">
            <v>41925</v>
          </cell>
        </row>
        <row r="63">
          <cell r="A63">
            <v>41954</v>
          </cell>
        </row>
        <row r="64">
          <cell r="A64">
            <v>41970</v>
          </cell>
        </row>
        <row r="65">
          <cell r="A65">
            <v>41998</v>
          </cell>
        </row>
        <row r="66">
          <cell r="A66">
            <v>42005</v>
          </cell>
        </row>
        <row r="67">
          <cell r="A67">
            <v>42023</v>
          </cell>
        </row>
        <row r="68">
          <cell r="A68">
            <v>42051</v>
          </cell>
        </row>
        <row r="69">
          <cell r="A69">
            <v>42149</v>
          </cell>
        </row>
        <row r="70">
          <cell r="A70">
            <v>42189</v>
          </cell>
        </row>
        <row r="71">
          <cell r="A71">
            <v>42254</v>
          </cell>
        </row>
        <row r="72">
          <cell r="A72">
            <v>42289</v>
          </cell>
        </row>
        <row r="73">
          <cell r="A73">
            <v>42319</v>
          </cell>
        </row>
        <row r="74">
          <cell r="A74">
            <v>42334</v>
          </cell>
        </row>
        <row r="75">
          <cell r="A75">
            <v>42363</v>
          </cell>
        </row>
        <row r="76">
          <cell r="A76">
            <v>42370</v>
          </cell>
        </row>
        <row r="77">
          <cell r="A77">
            <v>42387</v>
          </cell>
        </row>
        <row r="78">
          <cell r="A78">
            <v>42415</v>
          </cell>
        </row>
        <row r="79">
          <cell r="A79">
            <v>42520</v>
          </cell>
        </row>
        <row r="80">
          <cell r="A80">
            <v>42555</v>
          </cell>
        </row>
        <row r="81">
          <cell r="A81">
            <v>42618</v>
          </cell>
        </row>
        <row r="82">
          <cell r="A82">
            <v>42653</v>
          </cell>
        </row>
        <row r="83">
          <cell r="A83">
            <v>42685</v>
          </cell>
        </row>
        <row r="84">
          <cell r="A84">
            <v>42698</v>
          </cell>
        </row>
        <row r="85">
          <cell r="A85">
            <v>42729</v>
          </cell>
        </row>
        <row r="86">
          <cell r="A86">
            <v>42730</v>
          </cell>
        </row>
        <row r="87">
          <cell r="A87">
            <v>42736</v>
          </cell>
        </row>
        <row r="88">
          <cell r="A88">
            <v>42737</v>
          </cell>
        </row>
        <row r="89">
          <cell r="A89">
            <v>42751</v>
          </cell>
        </row>
        <row r="90">
          <cell r="A90">
            <v>42786</v>
          </cell>
        </row>
        <row r="91">
          <cell r="A91">
            <v>42884</v>
          </cell>
        </row>
        <row r="92">
          <cell r="A92">
            <v>42920</v>
          </cell>
        </row>
        <row r="93">
          <cell r="A93">
            <v>42982</v>
          </cell>
        </row>
        <row r="94">
          <cell r="A94">
            <v>43017</v>
          </cell>
        </row>
        <row r="95">
          <cell r="A95">
            <v>43050</v>
          </cell>
        </row>
        <row r="96">
          <cell r="A96">
            <v>43062</v>
          </cell>
        </row>
        <row r="97">
          <cell r="A97">
            <v>43094</v>
          </cell>
        </row>
        <row r="98">
          <cell r="A98">
            <v>43101</v>
          </cell>
        </row>
        <row r="99">
          <cell r="A99">
            <v>43115</v>
          </cell>
        </row>
        <row r="100">
          <cell r="A100">
            <v>43150</v>
          </cell>
        </row>
        <row r="101">
          <cell r="A101">
            <v>43248</v>
          </cell>
        </row>
        <row r="102">
          <cell r="A102">
            <v>43285</v>
          </cell>
        </row>
        <row r="103">
          <cell r="A103">
            <v>43346</v>
          </cell>
        </row>
        <row r="104">
          <cell r="A104">
            <v>43381</v>
          </cell>
        </row>
        <row r="105">
          <cell r="A105">
            <v>43415</v>
          </cell>
        </row>
        <row r="106">
          <cell r="A106">
            <v>43416</v>
          </cell>
        </row>
        <row r="107">
          <cell r="A107">
            <v>43426</v>
          </cell>
        </row>
        <row r="108">
          <cell r="A108">
            <v>43459</v>
          </cell>
        </row>
        <row r="109">
          <cell r="A109">
            <v>43466</v>
          </cell>
        </row>
        <row r="110">
          <cell r="A110">
            <v>43486</v>
          </cell>
        </row>
        <row r="111">
          <cell r="A111">
            <v>43514</v>
          </cell>
        </row>
        <row r="112">
          <cell r="A112">
            <v>43612</v>
          </cell>
        </row>
        <row r="113">
          <cell r="A113">
            <v>43650</v>
          </cell>
        </row>
        <row r="114">
          <cell r="A114">
            <v>43710</v>
          </cell>
        </row>
        <row r="115">
          <cell r="A115">
            <v>43752</v>
          </cell>
        </row>
        <row r="116">
          <cell r="A116">
            <v>43780</v>
          </cell>
        </row>
        <row r="117">
          <cell r="A117">
            <v>43797</v>
          </cell>
        </row>
        <row r="118">
          <cell r="A118">
            <v>43824</v>
          </cell>
        </row>
        <row r="119">
          <cell r="A119">
            <v>43831</v>
          </cell>
        </row>
        <row r="120">
          <cell r="A120">
            <v>43850</v>
          </cell>
        </row>
        <row r="121">
          <cell r="A121">
            <v>43878</v>
          </cell>
        </row>
        <row r="122">
          <cell r="A122">
            <v>43976</v>
          </cell>
        </row>
        <row r="123">
          <cell r="A123">
            <v>44016</v>
          </cell>
        </row>
        <row r="124">
          <cell r="A124">
            <v>44081</v>
          </cell>
        </row>
        <row r="125">
          <cell r="A125">
            <v>44116</v>
          </cell>
        </row>
        <row r="126">
          <cell r="A126">
            <v>44146</v>
          </cell>
        </row>
        <row r="127">
          <cell r="A127">
            <v>44161</v>
          </cell>
        </row>
        <row r="128">
          <cell r="A128">
            <v>44190</v>
          </cell>
        </row>
        <row r="129">
          <cell r="A129">
            <v>44197</v>
          </cell>
        </row>
        <row r="130">
          <cell r="A130">
            <v>44214</v>
          </cell>
        </row>
        <row r="131">
          <cell r="A131">
            <v>44242</v>
          </cell>
        </row>
        <row r="132">
          <cell r="A132">
            <v>44347</v>
          </cell>
        </row>
        <row r="133">
          <cell r="A133">
            <v>44381</v>
          </cell>
        </row>
        <row r="134">
          <cell r="A134">
            <v>44382</v>
          </cell>
        </row>
        <row r="135">
          <cell r="A135">
            <v>44445</v>
          </cell>
        </row>
        <row r="136">
          <cell r="A136">
            <v>44480</v>
          </cell>
        </row>
        <row r="137">
          <cell r="A137">
            <v>44511</v>
          </cell>
        </row>
        <row r="138">
          <cell r="A138">
            <v>44525</v>
          </cell>
        </row>
        <row r="139">
          <cell r="A139">
            <v>44555</v>
          </cell>
        </row>
        <row r="140">
          <cell r="A140">
            <v>44562</v>
          </cell>
        </row>
        <row r="141">
          <cell r="A141">
            <v>44578</v>
          </cell>
        </row>
        <row r="142">
          <cell r="A142">
            <v>44613</v>
          </cell>
        </row>
        <row r="143">
          <cell r="A143">
            <v>44711</v>
          </cell>
        </row>
        <row r="144">
          <cell r="A144">
            <v>44746</v>
          </cell>
        </row>
        <row r="145">
          <cell r="A145">
            <v>44809</v>
          </cell>
        </row>
        <row r="146">
          <cell r="A146">
            <v>44844</v>
          </cell>
        </row>
        <row r="147">
          <cell r="A147">
            <v>44876</v>
          </cell>
        </row>
        <row r="148">
          <cell r="A148">
            <v>44889</v>
          </cell>
        </row>
        <row r="149">
          <cell r="A149">
            <v>44920</v>
          </cell>
        </row>
        <row r="150">
          <cell r="A150">
            <v>44921</v>
          </cell>
        </row>
        <row r="151">
          <cell r="A151">
            <v>44927</v>
          </cell>
        </row>
        <row r="152">
          <cell r="A152">
            <v>44928</v>
          </cell>
        </row>
        <row r="153">
          <cell r="A153">
            <v>44942</v>
          </cell>
        </row>
        <row r="154">
          <cell r="A154">
            <v>44977</v>
          </cell>
        </row>
        <row r="155">
          <cell r="A155">
            <v>45075</v>
          </cell>
        </row>
        <row r="156">
          <cell r="A156">
            <v>45111</v>
          </cell>
        </row>
        <row r="157">
          <cell r="A157">
            <v>45173</v>
          </cell>
        </row>
        <row r="158">
          <cell r="A158">
            <v>45208</v>
          </cell>
        </row>
        <row r="159">
          <cell r="A159">
            <v>45241</v>
          </cell>
        </row>
        <row r="160">
          <cell r="A160">
            <v>45253</v>
          </cell>
        </row>
        <row r="161">
          <cell r="A161">
            <v>45285</v>
          </cell>
        </row>
        <row r="162">
          <cell r="A162">
            <v>45292</v>
          </cell>
        </row>
        <row r="163">
          <cell r="A163">
            <v>45306</v>
          </cell>
        </row>
        <row r="164">
          <cell r="A164">
            <v>45341</v>
          </cell>
        </row>
        <row r="165">
          <cell r="A165">
            <v>45439</v>
          </cell>
        </row>
        <row r="166">
          <cell r="A166">
            <v>45477</v>
          </cell>
        </row>
        <row r="167">
          <cell r="A167">
            <v>45537</v>
          </cell>
        </row>
        <row r="168">
          <cell r="A168">
            <v>45579</v>
          </cell>
        </row>
        <row r="169">
          <cell r="A169">
            <v>45607</v>
          </cell>
        </row>
        <row r="170">
          <cell r="A170">
            <v>45624</v>
          </cell>
        </row>
        <row r="171">
          <cell r="A171">
            <v>45651</v>
          </cell>
        </row>
        <row r="172">
          <cell r="A172">
            <v>45658</v>
          </cell>
        </row>
        <row r="173">
          <cell r="A173">
            <v>45677</v>
          </cell>
        </row>
        <row r="174">
          <cell r="A174">
            <v>45705</v>
          </cell>
        </row>
        <row r="175">
          <cell r="A175">
            <v>45803</v>
          </cell>
        </row>
        <row r="176">
          <cell r="A176">
            <v>45842</v>
          </cell>
        </row>
        <row r="177">
          <cell r="A177">
            <v>45901</v>
          </cell>
        </row>
        <row r="178">
          <cell r="A178">
            <v>45943</v>
          </cell>
        </row>
        <row r="179">
          <cell r="A179">
            <v>45972</v>
          </cell>
        </row>
        <row r="180">
          <cell r="A180">
            <v>45988</v>
          </cell>
        </row>
        <row r="181">
          <cell r="A181">
            <v>46016</v>
          </cell>
        </row>
        <row r="182">
          <cell r="A182">
            <v>46023</v>
          </cell>
        </row>
        <row r="183">
          <cell r="A183">
            <v>46041</v>
          </cell>
        </row>
        <row r="184">
          <cell r="A184">
            <v>46069</v>
          </cell>
        </row>
        <row r="185">
          <cell r="A185">
            <v>46167</v>
          </cell>
        </row>
        <row r="186">
          <cell r="A186">
            <v>46207</v>
          </cell>
        </row>
        <row r="187">
          <cell r="A187">
            <v>46272</v>
          </cell>
        </row>
        <row r="188">
          <cell r="A188">
            <v>46307</v>
          </cell>
        </row>
        <row r="189">
          <cell r="A189">
            <v>46337</v>
          </cell>
        </row>
        <row r="190">
          <cell r="A190">
            <v>46352</v>
          </cell>
        </row>
        <row r="191">
          <cell r="A191">
            <v>46381</v>
          </cell>
        </row>
        <row r="192">
          <cell r="A192">
            <v>46388</v>
          </cell>
        </row>
        <row r="193">
          <cell r="A193">
            <v>46405</v>
          </cell>
        </row>
        <row r="194">
          <cell r="A194">
            <v>46433</v>
          </cell>
        </row>
        <row r="195">
          <cell r="A195">
            <v>46538</v>
          </cell>
        </row>
        <row r="196">
          <cell r="A196">
            <v>46572</v>
          </cell>
        </row>
        <row r="197">
          <cell r="A197">
            <v>46573</v>
          </cell>
        </row>
        <row r="198">
          <cell r="A198">
            <v>46636</v>
          </cell>
        </row>
        <row r="199">
          <cell r="A199">
            <v>46671</v>
          </cell>
        </row>
        <row r="200">
          <cell r="A200">
            <v>46702</v>
          </cell>
        </row>
        <row r="201">
          <cell r="A201">
            <v>46716</v>
          </cell>
        </row>
        <row r="202">
          <cell r="A202">
            <v>46746</v>
          </cell>
        </row>
        <row r="203">
          <cell r="A203">
            <v>46753</v>
          </cell>
        </row>
        <row r="204">
          <cell r="A204">
            <v>46769</v>
          </cell>
        </row>
        <row r="205">
          <cell r="A205">
            <v>46804</v>
          </cell>
        </row>
        <row r="206">
          <cell r="A206">
            <v>46902</v>
          </cell>
        </row>
        <row r="207">
          <cell r="A207">
            <v>46938</v>
          </cell>
        </row>
        <row r="208">
          <cell r="A208">
            <v>47000</v>
          </cell>
        </row>
        <row r="209">
          <cell r="A209">
            <v>47035</v>
          </cell>
        </row>
        <row r="210">
          <cell r="A210">
            <v>47068</v>
          </cell>
        </row>
        <row r="211">
          <cell r="A211">
            <v>47080</v>
          </cell>
        </row>
        <row r="212">
          <cell r="A212">
            <v>47112</v>
          </cell>
        </row>
        <row r="213">
          <cell r="A213">
            <v>47119</v>
          </cell>
        </row>
        <row r="214">
          <cell r="A214">
            <v>47133</v>
          </cell>
        </row>
        <row r="215">
          <cell r="A215">
            <v>47168</v>
          </cell>
        </row>
        <row r="216">
          <cell r="A216">
            <v>47266</v>
          </cell>
        </row>
        <row r="217">
          <cell r="A217">
            <v>47303</v>
          </cell>
        </row>
        <row r="218">
          <cell r="A218">
            <v>47364</v>
          </cell>
        </row>
        <row r="219">
          <cell r="A219">
            <v>47399</v>
          </cell>
        </row>
        <row r="220">
          <cell r="A220">
            <v>47433</v>
          </cell>
        </row>
        <row r="221">
          <cell r="A221">
            <v>47434</v>
          </cell>
        </row>
        <row r="222">
          <cell r="A222">
            <v>47444</v>
          </cell>
        </row>
        <row r="223">
          <cell r="A223">
            <v>47477</v>
          </cell>
        </row>
        <row r="224">
          <cell r="A224">
            <v>47484</v>
          </cell>
        </row>
        <row r="225">
          <cell r="A225">
            <v>47504</v>
          </cell>
        </row>
        <row r="226">
          <cell r="A226">
            <v>47532</v>
          </cell>
        </row>
        <row r="227">
          <cell r="A227">
            <v>47630</v>
          </cell>
        </row>
        <row r="228">
          <cell r="A228">
            <v>47668</v>
          </cell>
        </row>
        <row r="229">
          <cell r="A229">
            <v>47728</v>
          </cell>
        </row>
        <row r="230">
          <cell r="A230">
            <v>47770</v>
          </cell>
        </row>
        <row r="231">
          <cell r="A231">
            <v>47798</v>
          </cell>
        </row>
        <row r="232">
          <cell r="A232">
            <v>47815</v>
          </cell>
        </row>
        <row r="233">
          <cell r="A233">
            <v>47842</v>
          </cell>
        </row>
        <row r="234">
          <cell r="A234">
            <v>47849</v>
          </cell>
        </row>
        <row r="235">
          <cell r="A235">
            <v>47868</v>
          </cell>
        </row>
        <row r="236">
          <cell r="A236">
            <v>47896</v>
          </cell>
        </row>
        <row r="237">
          <cell r="A237">
            <v>47994</v>
          </cell>
        </row>
        <row r="238">
          <cell r="A238">
            <v>48033</v>
          </cell>
        </row>
        <row r="239">
          <cell r="A239">
            <v>48092</v>
          </cell>
        </row>
        <row r="240">
          <cell r="A240">
            <v>48134</v>
          </cell>
        </row>
        <row r="241">
          <cell r="A241">
            <v>48163</v>
          </cell>
        </row>
        <row r="242">
          <cell r="A242">
            <v>48179</v>
          </cell>
        </row>
        <row r="243">
          <cell r="A243">
            <v>48207</v>
          </cell>
        </row>
        <row r="244">
          <cell r="A244">
            <v>48214</v>
          </cell>
        </row>
        <row r="245">
          <cell r="A245">
            <v>48232</v>
          </cell>
        </row>
        <row r="246">
          <cell r="A246">
            <v>48260</v>
          </cell>
        </row>
        <row r="247">
          <cell r="A247">
            <v>48365</v>
          </cell>
        </row>
        <row r="248">
          <cell r="A248">
            <v>48399</v>
          </cell>
        </row>
        <row r="249">
          <cell r="A249">
            <v>48400</v>
          </cell>
        </row>
        <row r="250">
          <cell r="A250">
            <v>48463</v>
          </cell>
        </row>
        <row r="251">
          <cell r="A251">
            <v>48498</v>
          </cell>
        </row>
        <row r="252">
          <cell r="A252">
            <v>48529</v>
          </cell>
        </row>
        <row r="253">
          <cell r="A253">
            <v>48543</v>
          </cell>
        </row>
        <row r="254">
          <cell r="A254">
            <v>48573</v>
          </cell>
        </row>
        <row r="255">
          <cell r="A255">
            <v>48580</v>
          </cell>
        </row>
        <row r="256">
          <cell r="A256">
            <v>48596</v>
          </cell>
        </row>
        <row r="257">
          <cell r="A257">
            <v>48631</v>
          </cell>
        </row>
        <row r="258">
          <cell r="A258">
            <v>48729</v>
          </cell>
        </row>
        <row r="259">
          <cell r="A259">
            <v>48764</v>
          </cell>
        </row>
        <row r="260">
          <cell r="A260">
            <v>48827</v>
          </cell>
        </row>
        <row r="261">
          <cell r="A261">
            <v>48862</v>
          </cell>
        </row>
        <row r="262">
          <cell r="A262">
            <v>48894</v>
          </cell>
        </row>
        <row r="263">
          <cell r="A263">
            <v>48907</v>
          </cell>
        </row>
        <row r="264">
          <cell r="A264">
            <v>48938</v>
          </cell>
        </row>
        <row r="265">
          <cell r="A265">
            <v>48939</v>
          </cell>
        </row>
        <row r="266">
          <cell r="A266">
            <v>48945</v>
          </cell>
        </row>
        <row r="267">
          <cell r="A267">
            <v>48946</v>
          </cell>
        </row>
        <row r="268">
          <cell r="A268">
            <v>48960</v>
          </cell>
        </row>
        <row r="269">
          <cell r="A269">
            <v>48995</v>
          </cell>
        </row>
        <row r="270">
          <cell r="A270">
            <v>49093</v>
          </cell>
        </row>
        <row r="271">
          <cell r="A271">
            <v>49129</v>
          </cell>
        </row>
        <row r="272">
          <cell r="A272">
            <v>49191</v>
          </cell>
        </row>
        <row r="273">
          <cell r="A273">
            <v>49226</v>
          </cell>
        </row>
        <row r="274">
          <cell r="A274">
            <v>49259</v>
          </cell>
        </row>
        <row r="275">
          <cell r="A275">
            <v>49271</v>
          </cell>
        </row>
        <row r="276">
          <cell r="A276">
            <v>49303</v>
          </cell>
        </row>
        <row r="277">
          <cell r="A277">
            <v>49310</v>
          </cell>
        </row>
        <row r="278">
          <cell r="A278">
            <v>49324</v>
          </cell>
        </row>
        <row r="279">
          <cell r="A279">
            <v>49359</v>
          </cell>
        </row>
        <row r="280">
          <cell r="A280">
            <v>49457</v>
          </cell>
        </row>
        <row r="281">
          <cell r="A281">
            <v>49494</v>
          </cell>
        </row>
        <row r="282">
          <cell r="A282">
            <v>49555</v>
          </cell>
        </row>
        <row r="283">
          <cell r="A283">
            <v>49590</v>
          </cell>
        </row>
        <row r="284">
          <cell r="A284">
            <v>49624</v>
          </cell>
        </row>
        <row r="285">
          <cell r="A285">
            <v>49625</v>
          </cell>
        </row>
        <row r="286">
          <cell r="A286">
            <v>49635</v>
          </cell>
        </row>
        <row r="287">
          <cell r="A287">
            <v>49668</v>
          </cell>
        </row>
        <row r="288">
          <cell r="A288">
            <v>49675</v>
          </cell>
        </row>
        <row r="289">
          <cell r="A289">
            <v>49695</v>
          </cell>
        </row>
        <row r="290">
          <cell r="A290">
            <v>49723</v>
          </cell>
        </row>
        <row r="291">
          <cell r="A291">
            <v>49821</v>
          </cell>
        </row>
        <row r="292">
          <cell r="A292">
            <v>49860</v>
          </cell>
        </row>
        <row r="293">
          <cell r="A293">
            <v>49919</v>
          </cell>
        </row>
        <row r="294">
          <cell r="A294">
            <v>49961</v>
          </cell>
        </row>
        <row r="295">
          <cell r="A295">
            <v>49990</v>
          </cell>
        </row>
        <row r="296">
          <cell r="A296">
            <v>50006</v>
          </cell>
        </row>
        <row r="297">
          <cell r="A297">
            <v>50034</v>
          </cell>
        </row>
        <row r="298">
          <cell r="A298">
            <v>50041</v>
          </cell>
        </row>
        <row r="299">
          <cell r="A299">
            <v>50059</v>
          </cell>
        </row>
        <row r="300">
          <cell r="A300">
            <v>50087</v>
          </cell>
        </row>
        <row r="301">
          <cell r="A301">
            <v>50185</v>
          </cell>
        </row>
        <row r="302">
          <cell r="A302">
            <v>50225</v>
          </cell>
        </row>
        <row r="303">
          <cell r="A303">
            <v>50290</v>
          </cell>
        </row>
        <row r="304">
          <cell r="A304">
            <v>50325</v>
          </cell>
        </row>
        <row r="305">
          <cell r="A305">
            <v>50355</v>
          </cell>
        </row>
        <row r="306">
          <cell r="A306">
            <v>50370</v>
          </cell>
        </row>
        <row r="307">
          <cell r="A307">
            <v>50399</v>
          </cell>
        </row>
        <row r="308">
          <cell r="A308">
            <v>50406</v>
          </cell>
        </row>
        <row r="309">
          <cell r="A309">
            <v>50423</v>
          </cell>
        </row>
        <row r="310">
          <cell r="A310">
            <v>50451</v>
          </cell>
        </row>
        <row r="311">
          <cell r="A311">
            <v>50556</v>
          </cell>
        </row>
        <row r="312">
          <cell r="A312">
            <v>50590</v>
          </cell>
        </row>
        <row r="313">
          <cell r="A313">
            <v>50591</v>
          </cell>
        </row>
        <row r="314">
          <cell r="A314">
            <v>50654</v>
          </cell>
        </row>
        <row r="315">
          <cell r="A315">
            <v>50689</v>
          </cell>
        </row>
        <row r="316">
          <cell r="A316">
            <v>50720</v>
          </cell>
        </row>
        <row r="317">
          <cell r="A317">
            <v>50734</v>
          </cell>
        </row>
        <row r="318">
          <cell r="A318">
            <v>50764</v>
          </cell>
        </row>
        <row r="319">
          <cell r="A319">
            <v>50771</v>
          </cell>
        </row>
        <row r="320">
          <cell r="A320">
            <v>50787</v>
          </cell>
        </row>
        <row r="321">
          <cell r="A321">
            <v>50822</v>
          </cell>
        </row>
        <row r="322">
          <cell r="A322">
            <v>50920</v>
          </cell>
        </row>
        <row r="323">
          <cell r="A323">
            <v>50955</v>
          </cell>
        </row>
        <row r="324">
          <cell r="A324">
            <v>51018</v>
          </cell>
        </row>
        <row r="325">
          <cell r="A325">
            <v>51053</v>
          </cell>
        </row>
        <row r="326">
          <cell r="A326">
            <v>51085</v>
          </cell>
        </row>
        <row r="327">
          <cell r="A327">
            <v>51098</v>
          </cell>
        </row>
        <row r="328">
          <cell r="A328">
            <v>51129</v>
          </cell>
        </row>
        <row r="329">
          <cell r="A329">
            <v>51130</v>
          </cell>
        </row>
        <row r="330">
          <cell r="A330">
            <v>51136</v>
          </cell>
        </row>
        <row r="331">
          <cell r="A331">
            <v>51137</v>
          </cell>
        </row>
        <row r="332">
          <cell r="A332">
            <v>51151</v>
          </cell>
        </row>
        <row r="333">
          <cell r="A333">
            <v>51186</v>
          </cell>
        </row>
        <row r="334">
          <cell r="A334">
            <v>51284</v>
          </cell>
        </row>
        <row r="335">
          <cell r="A335">
            <v>51321</v>
          </cell>
        </row>
        <row r="336">
          <cell r="A336">
            <v>51382</v>
          </cell>
        </row>
        <row r="337">
          <cell r="A337">
            <v>51417</v>
          </cell>
        </row>
        <row r="338">
          <cell r="A338">
            <v>51451</v>
          </cell>
        </row>
        <row r="339">
          <cell r="A339">
            <v>51452</v>
          </cell>
        </row>
        <row r="340">
          <cell r="A340">
            <v>51462</v>
          </cell>
        </row>
        <row r="341">
          <cell r="A341">
            <v>51495</v>
          </cell>
        </row>
        <row r="342">
          <cell r="A342">
            <v>51502</v>
          </cell>
        </row>
        <row r="343">
          <cell r="A343">
            <v>51522</v>
          </cell>
        </row>
        <row r="344">
          <cell r="A344">
            <v>51550</v>
          </cell>
        </row>
        <row r="345">
          <cell r="A345">
            <v>51648</v>
          </cell>
        </row>
        <row r="346">
          <cell r="A346">
            <v>51686</v>
          </cell>
        </row>
        <row r="347">
          <cell r="A347">
            <v>51746</v>
          </cell>
        </row>
        <row r="348">
          <cell r="A348">
            <v>51788</v>
          </cell>
        </row>
        <row r="349">
          <cell r="A349">
            <v>51816</v>
          </cell>
        </row>
        <row r="350">
          <cell r="A350">
            <v>51833</v>
          </cell>
        </row>
        <row r="351">
          <cell r="A351">
            <v>51860</v>
          </cell>
        </row>
        <row r="352">
          <cell r="A352">
            <v>51867</v>
          </cell>
        </row>
        <row r="353">
          <cell r="A353">
            <v>51886</v>
          </cell>
        </row>
        <row r="354">
          <cell r="A354">
            <v>51914</v>
          </cell>
        </row>
        <row r="355">
          <cell r="A355">
            <v>52012</v>
          </cell>
        </row>
        <row r="356">
          <cell r="A356">
            <v>52051</v>
          </cell>
        </row>
        <row r="357">
          <cell r="A357">
            <v>52110</v>
          </cell>
        </row>
        <row r="358">
          <cell r="A358">
            <v>52152</v>
          </cell>
        </row>
        <row r="359">
          <cell r="A359">
            <v>52181</v>
          </cell>
        </row>
        <row r="360">
          <cell r="A360">
            <v>52197</v>
          </cell>
        </row>
        <row r="361">
          <cell r="A361">
            <v>52225</v>
          </cell>
        </row>
        <row r="362">
          <cell r="A362">
            <v>52232</v>
          </cell>
        </row>
        <row r="363">
          <cell r="A363">
            <v>52250</v>
          </cell>
        </row>
        <row r="364">
          <cell r="A364">
            <v>52278</v>
          </cell>
        </row>
        <row r="365">
          <cell r="A365">
            <v>52376</v>
          </cell>
        </row>
        <row r="366">
          <cell r="A366">
            <v>52416</v>
          </cell>
        </row>
        <row r="367">
          <cell r="A367">
            <v>52481</v>
          </cell>
        </row>
        <row r="368">
          <cell r="A368">
            <v>52516</v>
          </cell>
        </row>
        <row r="369">
          <cell r="A369">
            <v>52546</v>
          </cell>
        </row>
        <row r="370">
          <cell r="A370">
            <v>52561</v>
          </cell>
        </row>
        <row r="371">
          <cell r="A371">
            <v>52590</v>
          </cell>
        </row>
        <row r="372">
          <cell r="A372">
            <v>52597</v>
          </cell>
        </row>
        <row r="373">
          <cell r="A373">
            <v>52614</v>
          </cell>
        </row>
        <row r="374">
          <cell r="A374">
            <v>52642</v>
          </cell>
        </row>
        <row r="375">
          <cell r="A375">
            <v>52747</v>
          </cell>
        </row>
        <row r="376">
          <cell r="A376">
            <v>52782</v>
          </cell>
        </row>
        <row r="377">
          <cell r="A377">
            <v>52845</v>
          </cell>
        </row>
        <row r="378">
          <cell r="A378">
            <v>52880</v>
          </cell>
        </row>
        <row r="379">
          <cell r="A379">
            <v>52912</v>
          </cell>
        </row>
        <row r="380">
          <cell r="A380">
            <v>52925</v>
          </cell>
        </row>
        <row r="381">
          <cell r="A381">
            <v>52956</v>
          </cell>
        </row>
        <row r="382">
          <cell r="A382">
            <v>52957</v>
          </cell>
        </row>
        <row r="383">
          <cell r="A383">
            <v>52963</v>
          </cell>
        </row>
        <row r="384">
          <cell r="A384">
            <v>52964</v>
          </cell>
        </row>
        <row r="385">
          <cell r="A385">
            <v>52978</v>
          </cell>
        </row>
        <row r="386">
          <cell r="A386">
            <v>53013</v>
          </cell>
        </row>
        <row r="387">
          <cell r="A387">
            <v>53111</v>
          </cell>
        </row>
        <row r="388">
          <cell r="A388">
            <v>53147</v>
          </cell>
        </row>
        <row r="389">
          <cell r="A389">
            <v>53209</v>
          </cell>
        </row>
        <row r="390">
          <cell r="A390">
            <v>53244</v>
          </cell>
        </row>
        <row r="391">
          <cell r="A391">
            <v>53277</v>
          </cell>
        </row>
        <row r="392">
          <cell r="A392">
            <v>53289</v>
          </cell>
        </row>
        <row r="393">
          <cell r="A393">
            <v>53321</v>
          </cell>
        </row>
        <row r="394">
          <cell r="A394">
            <v>53328</v>
          </cell>
        </row>
        <row r="395">
          <cell r="A395">
            <v>53342</v>
          </cell>
        </row>
        <row r="396">
          <cell r="A396">
            <v>53377</v>
          </cell>
        </row>
        <row r="397">
          <cell r="A397">
            <v>53475</v>
          </cell>
        </row>
        <row r="398">
          <cell r="A398">
            <v>53512</v>
          </cell>
        </row>
        <row r="399">
          <cell r="A399">
            <v>53573</v>
          </cell>
        </row>
        <row r="400">
          <cell r="A400">
            <v>53608</v>
          </cell>
        </row>
        <row r="401">
          <cell r="A401">
            <v>53642</v>
          </cell>
        </row>
        <row r="402">
          <cell r="A402">
            <v>53643</v>
          </cell>
        </row>
        <row r="403">
          <cell r="A403">
            <v>53653</v>
          </cell>
        </row>
        <row r="404">
          <cell r="A404">
            <v>53686</v>
          </cell>
        </row>
        <row r="405">
          <cell r="A405">
            <v>53693</v>
          </cell>
        </row>
        <row r="406">
          <cell r="A406">
            <v>53713</v>
          </cell>
        </row>
        <row r="407">
          <cell r="A407">
            <v>53741</v>
          </cell>
        </row>
        <row r="408">
          <cell r="A408">
            <v>53839</v>
          </cell>
        </row>
        <row r="409">
          <cell r="A409">
            <v>53877</v>
          </cell>
        </row>
        <row r="410">
          <cell r="A410">
            <v>53937</v>
          </cell>
        </row>
        <row r="411">
          <cell r="A411">
            <v>53979</v>
          </cell>
        </row>
        <row r="412">
          <cell r="A412">
            <v>54007</v>
          </cell>
        </row>
        <row r="413">
          <cell r="A413">
            <v>54024</v>
          </cell>
        </row>
        <row r="414">
          <cell r="A414">
            <v>54051</v>
          </cell>
        </row>
        <row r="415">
          <cell r="A415">
            <v>54058</v>
          </cell>
        </row>
        <row r="416">
          <cell r="A416">
            <v>54077</v>
          </cell>
        </row>
        <row r="417">
          <cell r="A417">
            <v>54105</v>
          </cell>
        </row>
        <row r="418">
          <cell r="A418">
            <v>54203</v>
          </cell>
        </row>
        <row r="419">
          <cell r="A419">
            <v>54243</v>
          </cell>
        </row>
        <row r="420">
          <cell r="A420">
            <v>54308</v>
          </cell>
        </row>
        <row r="421">
          <cell r="A421">
            <v>54343</v>
          </cell>
        </row>
        <row r="422">
          <cell r="A422">
            <v>54373</v>
          </cell>
        </row>
        <row r="423">
          <cell r="A423">
            <v>54388</v>
          </cell>
        </row>
        <row r="424">
          <cell r="A424">
            <v>54417</v>
          </cell>
        </row>
        <row r="425">
          <cell r="A425">
            <v>54424</v>
          </cell>
        </row>
        <row r="426">
          <cell r="A426">
            <v>54441</v>
          </cell>
        </row>
        <row r="427">
          <cell r="A427">
            <v>54469</v>
          </cell>
        </row>
        <row r="428">
          <cell r="A428">
            <v>54574</v>
          </cell>
        </row>
        <row r="429">
          <cell r="A429">
            <v>54608</v>
          </cell>
        </row>
        <row r="430">
          <cell r="A430">
            <v>54609</v>
          </cell>
        </row>
        <row r="431">
          <cell r="A431">
            <v>54672</v>
          </cell>
        </row>
        <row r="432">
          <cell r="A432">
            <v>54707</v>
          </cell>
        </row>
        <row r="433">
          <cell r="A433">
            <v>54738</v>
          </cell>
        </row>
        <row r="434">
          <cell r="A434">
            <v>54752</v>
          </cell>
        </row>
        <row r="435">
          <cell r="A435">
            <v>54782</v>
          </cell>
        </row>
        <row r="436">
          <cell r="A436">
            <v>54789</v>
          </cell>
        </row>
        <row r="437">
          <cell r="A437">
            <v>54805</v>
          </cell>
        </row>
        <row r="438">
          <cell r="A438">
            <v>54840</v>
          </cell>
        </row>
        <row r="439">
          <cell r="A439">
            <v>54938</v>
          </cell>
        </row>
        <row r="440">
          <cell r="A440">
            <v>54973</v>
          </cell>
        </row>
        <row r="441">
          <cell r="A441">
            <v>55036</v>
          </cell>
        </row>
        <row r="442">
          <cell r="A442">
            <v>55071</v>
          </cell>
        </row>
        <row r="443">
          <cell r="A443">
            <v>55103</v>
          </cell>
        </row>
        <row r="444">
          <cell r="A444">
            <v>55116</v>
          </cell>
        </row>
        <row r="445">
          <cell r="A445">
            <v>55147</v>
          </cell>
        </row>
        <row r="446">
          <cell r="A446">
            <v>55148</v>
          </cell>
        </row>
        <row r="447">
          <cell r="A447">
            <v>55154</v>
          </cell>
        </row>
        <row r="448">
          <cell r="A448">
            <v>55155</v>
          </cell>
        </row>
        <row r="449">
          <cell r="A449">
            <v>55169</v>
          </cell>
        </row>
        <row r="450">
          <cell r="A450">
            <v>55204</v>
          </cell>
        </row>
        <row r="451">
          <cell r="A451">
            <v>55302</v>
          </cell>
        </row>
        <row r="452">
          <cell r="A452">
            <v>55338</v>
          </cell>
        </row>
        <row r="453">
          <cell r="A453">
            <v>55400</v>
          </cell>
        </row>
        <row r="454">
          <cell r="A454">
            <v>55435</v>
          </cell>
        </row>
        <row r="455">
          <cell r="A455">
            <v>55468</v>
          </cell>
        </row>
        <row r="456">
          <cell r="A456">
            <v>55480</v>
          </cell>
        </row>
        <row r="457">
          <cell r="A457">
            <v>55512</v>
          </cell>
        </row>
        <row r="458">
          <cell r="A458">
            <v>55519</v>
          </cell>
        </row>
        <row r="459">
          <cell r="A459">
            <v>55533</v>
          </cell>
        </row>
        <row r="460">
          <cell r="A460">
            <v>55568</v>
          </cell>
        </row>
        <row r="461">
          <cell r="A461">
            <v>55666</v>
          </cell>
        </row>
        <row r="462">
          <cell r="A462">
            <v>55704</v>
          </cell>
        </row>
        <row r="463">
          <cell r="A463">
            <v>55764</v>
          </cell>
        </row>
        <row r="464">
          <cell r="A464">
            <v>55806</v>
          </cell>
        </row>
        <row r="465">
          <cell r="A465">
            <v>55834</v>
          </cell>
        </row>
        <row r="466">
          <cell r="A466">
            <v>55851</v>
          </cell>
        </row>
        <row r="467">
          <cell r="A467">
            <v>55878</v>
          </cell>
        </row>
        <row r="468">
          <cell r="A468">
            <v>55885</v>
          </cell>
        </row>
        <row r="469">
          <cell r="A469">
            <v>55904</v>
          </cell>
        </row>
        <row r="470">
          <cell r="A470">
            <v>55932</v>
          </cell>
        </row>
        <row r="471">
          <cell r="A471">
            <v>56030</v>
          </cell>
        </row>
        <row r="472">
          <cell r="A472">
            <v>56069</v>
          </cell>
        </row>
        <row r="473">
          <cell r="A473">
            <v>56128</v>
          </cell>
        </row>
        <row r="474">
          <cell r="A474">
            <v>56170</v>
          </cell>
        </row>
        <row r="475">
          <cell r="A475">
            <v>56199</v>
          </cell>
        </row>
        <row r="476">
          <cell r="A476">
            <v>56215</v>
          </cell>
        </row>
        <row r="477">
          <cell r="A477">
            <v>56243</v>
          </cell>
        </row>
        <row r="478">
          <cell r="A478">
            <v>56250</v>
          </cell>
        </row>
        <row r="479">
          <cell r="A479">
            <v>56268</v>
          </cell>
        </row>
        <row r="480">
          <cell r="A480">
            <v>56296</v>
          </cell>
        </row>
        <row r="481">
          <cell r="A481">
            <v>56394</v>
          </cell>
        </row>
        <row r="482">
          <cell r="A482">
            <v>56434</v>
          </cell>
        </row>
        <row r="483">
          <cell r="A483">
            <v>56499</v>
          </cell>
        </row>
        <row r="484">
          <cell r="A484">
            <v>56534</v>
          </cell>
        </row>
        <row r="485">
          <cell r="A485">
            <v>56564</v>
          </cell>
        </row>
        <row r="486">
          <cell r="A486">
            <v>56579</v>
          </cell>
        </row>
        <row r="487">
          <cell r="A487">
            <v>56608</v>
          </cell>
        </row>
        <row r="488">
          <cell r="A488">
            <v>56615</v>
          </cell>
        </row>
        <row r="489">
          <cell r="A489">
            <v>56632</v>
          </cell>
        </row>
        <row r="490">
          <cell r="A490">
            <v>56660</v>
          </cell>
        </row>
        <row r="491">
          <cell r="A491">
            <v>56765</v>
          </cell>
        </row>
        <row r="492">
          <cell r="A492">
            <v>56799</v>
          </cell>
        </row>
        <row r="493">
          <cell r="A493">
            <v>56800</v>
          </cell>
        </row>
        <row r="494">
          <cell r="A494">
            <v>56863</v>
          </cell>
        </row>
        <row r="495">
          <cell r="A495">
            <v>56898</v>
          </cell>
        </row>
        <row r="496">
          <cell r="A496">
            <v>56929</v>
          </cell>
        </row>
        <row r="497">
          <cell r="A497">
            <v>56943</v>
          </cell>
        </row>
        <row r="498">
          <cell r="A498">
            <v>56973</v>
          </cell>
        </row>
        <row r="499">
          <cell r="A499">
            <v>56980</v>
          </cell>
        </row>
        <row r="500">
          <cell r="A500">
            <v>56996</v>
          </cell>
        </row>
        <row r="501">
          <cell r="A501">
            <v>57031</v>
          </cell>
        </row>
        <row r="502">
          <cell r="A502">
            <v>57129</v>
          </cell>
        </row>
        <row r="503">
          <cell r="A503">
            <v>57165</v>
          </cell>
        </row>
        <row r="504">
          <cell r="A504">
            <v>57227</v>
          </cell>
        </row>
        <row r="505">
          <cell r="A505">
            <v>57262</v>
          </cell>
        </row>
        <row r="506">
          <cell r="A506">
            <v>57295</v>
          </cell>
        </row>
        <row r="507">
          <cell r="A507">
            <v>57307</v>
          </cell>
        </row>
        <row r="508">
          <cell r="A508">
            <v>57339</v>
          </cell>
        </row>
        <row r="509">
          <cell r="A509">
            <v>57346</v>
          </cell>
        </row>
        <row r="510">
          <cell r="A510">
            <v>57360</v>
          </cell>
        </row>
        <row r="511">
          <cell r="A511">
            <v>57395</v>
          </cell>
        </row>
        <row r="512">
          <cell r="A512">
            <v>57493</v>
          </cell>
        </row>
        <row r="513">
          <cell r="A513">
            <v>57530</v>
          </cell>
        </row>
        <row r="514">
          <cell r="A514">
            <v>57591</v>
          </cell>
        </row>
        <row r="515">
          <cell r="A515">
            <v>57626</v>
          </cell>
        </row>
        <row r="516">
          <cell r="A516">
            <v>57660</v>
          </cell>
        </row>
        <row r="517">
          <cell r="A517">
            <v>57661</v>
          </cell>
        </row>
        <row r="518">
          <cell r="A518">
            <v>57671</v>
          </cell>
        </row>
        <row r="519">
          <cell r="A519">
            <v>57704</v>
          </cell>
        </row>
        <row r="520">
          <cell r="A520">
            <v>57711</v>
          </cell>
        </row>
        <row r="521">
          <cell r="A521">
            <v>57731</v>
          </cell>
        </row>
        <row r="522">
          <cell r="A522">
            <v>57759</v>
          </cell>
        </row>
        <row r="523">
          <cell r="A523">
            <v>57857</v>
          </cell>
        </row>
        <row r="524">
          <cell r="A524">
            <v>57895</v>
          </cell>
        </row>
        <row r="525">
          <cell r="A525">
            <v>57955</v>
          </cell>
        </row>
        <row r="526">
          <cell r="A526">
            <v>57997</v>
          </cell>
        </row>
        <row r="527">
          <cell r="A527">
            <v>58025</v>
          </cell>
        </row>
        <row r="528">
          <cell r="A528">
            <v>58042</v>
          </cell>
        </row>
        <row r="529">
          <cell r="A529">
            <v>58069</v>
          </cell>
        </row>
        <row r="530">
          <cell r="A530">
            <v>58076</v>
          </cell>
        </row>
        <row r="531">
          <cell r="A531">
            <v>58095</v>
          </cell>
        </row>
        <row r="532">
          <cell r="A532">
            <v>58123</v>
          </cell>
        </row>
        <row r="533">
          <cell r="A533">
            <v>58221</v>
          </cell>
        </row>
        <row r="534">
          <cell r="A534">
            <v>58260</v>
          </cell>
        </row>
        <row r="535">
          <cell r="A535">
            <v>58319</v>
          </cell>
        </row>
        <row r="536">
          <cell r="A536">
            <v>58361</v>
          </cell>
        </row>
        <row r="537">
          <cell r="A537">
            <v>58390</v>
          </cell>
        </row>
        <row r="538">
          <cell r="A538">
            <v>58406</v>
          </cell>
        </row>
        <row r="539">
          <cell r="A539">
            <v>58434</v>
          </cell>
        </row>
        <row r="540">
          <cell r="A540">
            <v>58441</v>
          </cell>
        </row>
        <row r="541">
          <cell r="A541">
            <v>58459</v>
          </cell>
        </row>
        <row r="542">
          <cell r="A542">
            <v>58487</v>
          </cell>
        </row>
        <row r="543">
          <cell r="A543">
            <v>58592</v>
          </cell>
        </row>
        <row r="544">
          <cell r="A544">
            <v>58626</v>
          </cell>
        </row>
        <row r="545">
          <cell r="A545">
            <v>58627</v>
          </cell>
        </row>
        <row r="546">
          <cell r="A546">
            <v>58690</v>
          </cell>
        </row>
        <row r="547">
          <cell r="A547">
            <v>58725</v>
          </cell>
        </row>
        <row r="548">
          <cell r="A548">
            <v>58756</v>
          </cell>
        </row>
        <row r="549">
          <cell r="A549">
            <v>58770</v>
          </cell>
        </row>
        <row r="550">
          <cell r="A550">
            <v>58800</v>
          </cell>
        </row>
      </sheetData>
      <sheetData sheetId="2" refreshError="1"/>
      <sheetData sheetId="3" refreshError="1"/>
      <sheetData sheetId="4" refreshError="1">
        <row r="1">
          <cell r="B1">
            <v>2019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8"/>
  <sheetViews>
    <sheetView tabSelected="1" showWhiteSpace="0" zoomScaleNormal="100" zoomScalePageLayoutView="90" workbookViewId="0">
      <selection activeCell="R20" sqref="R20"/>
    </sheetView>
    <sheetView workbookViewId="1"/>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49" t="s">
        <v>0</v>
      </c>
      <c r="C1" s="349"/>
      <c r="D1" s="349"/>
      <c r="E1" s="349"/>
      <c r="F1" s="349"/>
      <c r="G1" s="349"/>
      <c r="H1" s="349"/>
      <c r="I1" s="349"/>
      <c r="J1" s="349"/>
      <c r="K1" s="349"/>
      <c r="L1" s="349"/>
      <c r="M1" s="349"/>
      <c r="N1" s="349"/>
    </row>
    <row r="2" spans="2:14" ht="15.75" customHeight="1">
      <c r="B2" s="350" t="s">
        <v>1</v>
      </c>
      <c r="C2" s="350"/>
      <c r="D2" s="350"/>
      <c r="E2" s="350"/>
      <c r="F2" s="350"/>
      <c r="G2" s="350"/>
      <c r="H2" s="350"/>
      <c r="I2" s="350"/>
      <c r="J2" s="350"/>
      <c r="K2" s="350"/>
      <c r="L2" s="350"/>
      <c r="M2" s="350"/>
      <c r="N2" s="350"/>
    </row>
    <row r="3" spans="2:14">
      <c r="B3" s="349"/>
      <c r="C3" s="349"/>
      <c r="D3" s="349"/>
      <c r="E3" s="349"/>
      <c r="F3" s="349"/>
      <c r="G3" s="349"/>
      <c r="H3" s="349"/>
      <c r="I3" s="349"/>
      <c r="J3" s="349"/>
      <c r="K3" s="349"/>
      <c r="L3" s="349"/>
      <c r="M3" s="349"/>
      <c r="N3" s="349"/>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48" t="s">
        <v>197</v>
      </c>
      <c r="F7" s="348"/>
      <c r="G7" s="348"/>
      <c r="H7" s="3"/>
      <c r="I7" s="7"/>
      <c r="J7" s="3"/>
      <c r="K7" s="348" t="s">
        <v>5</v>
      </c>
      <c r="L7" s="348"/>
      <c r="M7" s="348"/>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130</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alignWithMargins="0">
    <oddHeader>&amp;R Exh. KJC-2</oddHeader>
    <oddFooter>&amp;R&amp;8Page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8"/>
  <sheetViews>
    <sheetView tabSelected="1" zoomScale="85" zoomScaleNormal="85" workbookViewId="0">
      <selection activeCell="R20" sqref="R20"/>
    </sheetView>
    <sheetView tabSelected="1" workbookViewId="1"/>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56" t="s">
        <v>0</v>
      </c>
      <c r="C2" s="357"/>
      <c r="D2" s="357"/>
      <c r="E2" s="357"/>
      <c r="F2" s="357"/>
      <c r="G2" s="357"/>
      <c r="H2" s="357"/>
      <c r="I2" s="357"/>
      <c r="J2" s="357"/>
      <c r="K2" s="358"/>
    </row>
    <row r="3" spans="2:17" ht="15.75">
      <c r="B3" s="359" t="s">
        <v>153</v>
      </c>
      <c r="C3" s="360"/>
      <c r="D3" s="360"/>
      <c r="E3" s="360"/>
      <c r="F3" s="360"/>
      <c r="G3" s="360"/>
      <c r="H3" s="360"/>
      <c r="I3" s="360"/>
      <c r="J3" s="360"/>
      <c r="K3" s="361"/>
    </row>
    <row r="4" spans="2:17" ht="15.75">
      <c r="B4" s="353">
        <v>46022</v>
      </c>
      <c r="C4" s="354"/>
      <c r="D4" s="354"/>
      <c r="E4" s="354"/>
      <c r="F4" s="354"/>
      <c r="G4" s="354"/>
      <c r="H4" s="354"/>
      <c r="I4" s="354"/>
      <c r="J4" s="354"/>
      <c r="K4" s="355"/>
    </row>
    <row r="5" spans="2:17" ht="15.75" customHeight="1">
      <c r="B5" s="89"/>
      <c r="C5" s="90"/>
      <c r="D5" s="91"/>
      <c r="E5" s="91"/>
      <c r="F5" s="92" t="s">
        <v>37</v>
      </c>
      <c r="G5" s="91"/>
      <c r="H5" s="93"/>
      <c r="I5" s="91"/>
      <c r="J5" s="90" t="s">
        <v>41</v>
      </c>
      <c r="K5" s="94"/>
      <c r="M5" s="14"/>
      <c r="N5" s="14"/>
      <c r="O5" s="15"/>
    </row>
    <row r="6" spans="2:17" ht="14.25" customHeight="1">
      <c r="B6" s="95"/>
      <c r="C6" s="96"/>
      <c r="D6" s="97" t="s">
        <v>38</v>
      </c>
      <c r="E6" s="98"/>
      <c r="F6" s="99" t="s">
        <v>39</v>
      </c>
      <c r="G6" s="98"/>
      <c r="H6" s="100" t="s">
        <v>40</v>
      </c>
      <c r="I6" s="98"/>
      <c r="J6" s="101" t="s">
        <v>40</v>
      </c>
      <c r="K6" s="102"/>
      <c r="M6" s="16"/>
      <c r="N6" s="14"/>
      <c r="O6" s="15"/>
    </row>
    <row r="7" spans="2:17" ht="18.75">
      <c r="B7" s="103"/>
      <c r="C7" s="104" t="s">
        <v>138</v>
      </c>
      <c r="D7" s="310">
        <f>+'Exhibit No.  KJC-2 Page 3'!Y38</f>
        <v>2743700000</v>
      </c>
      <c r="E7" s="105"/>
      <c r="F7" s="271">
        <v>0.51500000000000001</v>
      </c>
      <c r="G7" s="106"/>
      <c r="H7" s="107">
        <f>+'Exhibit No.  KJC-2 Page 3'!Q57</f>
        <v>4.9880010175798156E-2</v>
      </c>
      <c r="I7" s="106"/>
      <c r="J7" s="107">
        <f>F7*H7</f>
        <v>2.5688205240536052E-2</v>
      </c>
      <c r="K7" s="108"/>
      <c r="M7" s="16"/>
      <c r="N7" s="168"/>
      <c r="O7" s="15"/>
      <c r="Q7" s="215"/>
    </row>
    <row r="8" spans="2:17" ht="9.75" customHeight="1">
      <c r="B8" s="103"/>
      <c r="C8" s="104"/>
      <c r="D8" s="106"/>
      <c r="E8" s="106"/>
      <c r="F8" s="272"/>
      <c r="G8" s="106"/>
      <c r="H8" s="109"/>
      <c r="I8" s="106"/>
      <c r="J8" s="171"/>
      <c r="K8" s="111"/>
      <c r="M8" s="169"/>
      <c r="N8" s="17"/>
      <c r="O8" s="15"/>
    </row>
    <row r="9" spans="2:17" ht="18.75">
      <c r="B9" s="103"/>
      <c r="C9" s="104" t="s">
        <v>42</v>
      </c>
      <c r="D9" s="311">
        <v>2588899805</v>
      </c>
      <c r="E9" s="112"/>
      <c r="F9" s="309">
        <v>0.48499999999999999</v>
      </c>
      <c r="G9" s="112"/>
      <c r="H9" s="114">
        <v>0.104</v>
      </c>
      <c r="I9" s="112">
        <v>-1</v>
      </c>
      <c r="J9" s="114">
        <f>ROUND(F9*H9,4)</f>
        <v>5.04E-2</v>
      </c>
      <c r="K9" s="108"/>
      <c r="M9" s="225"/>
      <c r="N9" s="296"/>
      <c r="O9" s="18"/>
    </row>
    <row r="10" spans="2:17" ht="9.75" customHeight="1">
      <c r="B10" s="103"/>
      <c r="C10" s="104"/>
      <c r="D10" s="115"/>
      <c r="E10" s="106"/>
      <c r="F10" s="116"/>
      <c r="G10" s="106"/>
      <c r="H10" s="117"/>
      <c r="I10" s="106"/>
      <c r="J10" s="116"/>
      <c r="K10" s="111"/>
      <c r="M10" s="169"/>
      <c r="N10" s="17"/>
    </row>
    <row r="11" spans="2:17" ht="16.5" thickBot="1">
      <c r="B11" s="103"/>
      <c r="C11" s="119" t="s">
        <v>43</v>
      </c>
      <c r="D11" s="120">
        <f>+SUM(D7:D9)</f>
        <v>5332599805</v>
      </c>
      <c r="E11" s="106"/>
      <c r="F11" s="347">
        <f>SUM(F7:F9)</f>
        <v>1</v>
      </c>
      <c r="G11" s="106"/>
      <c r="H11" s="113"/>
      <c r="I11" s="106"/>
      <c r="J11" s="217">
        <f>SUM(J7:J9)</f>
        <v>7.6088205240536055E-2</v>
      </c>
      <c r="K11" s="121"/>
      <c r="M11" s="169"/>
      <c r="N11" s="296"/>
    </row>
    <row r="12" spans="2:17" ht="17.25" thickTop="1" thickBot="1">
      <c r="B12" s="122"/>
      <c r="C12" s="123"/>
      <c r="D12" s="124"/>
      <c r="E12" s="123"/>
      <c r="F12" s="124"/>
      <c r="G12" s="123"/>
      <c r="H12" s="123"/>
      <c r="I12" s="123"/>
      <c r="J12" s="124"/>
      <c r="K12" s="125"/>
      <c r="N12" s="270"/>
    </row>
    <row r="13" spans="2:17">
      <c r="B13" s="59"/>
      <c r="C13" s="59"/>
      <c r="D13" s="59"/>
      <c r="E13" s="59"/>
      <c r="F13" s="59"/>
      <c r="G13" s="59"/>
      <c r="H13" s="59"/>
      <c r="I13" s="59"/>
      <c r="J13" s="59"/>
      <c r="K13" s="59"/>
      <c r="N13" s="270"/>
    </row>
    <row r="14" spans="2:17" ht="13.5" thickBot="1">
      <c r="B14" s="57"/>
      <c r="C14" s="57"/>
      <c r="D14" s="57"/>
      <c r="E14" s="57"/>
      <c r="F14" s="88"/>
      <c r="G14" s="57"/>
      <c r="H14" s="88"/>
      <c r="I14" s="57"/>
      <c r="J14" s="60"/>
      <c r="K14" s="57"/>
      <c r="M14" s="20"/>
      <c r="N14" s="17"/>
    </row>
    <row r="15" spans="2:17" ht="15.75">
      <c r="B15" s="126"/>
      <c r="C15" s="351" t="s">
        <v>0</v>
      </c>
      <c r="D15" s="351"/>
      <c r="E15" s="351"/>
      <c r="F15" s="351"/>
      <c r="G15" s="351"/>
      <c r="H15" s="351"/>
      <c r="I15" s="351"/>
      <c r="J15" s="351"/>
      <c r="K15" s="134"/>
      <c r="M15" s="20"/>
      <c r="N15" s="17"/>
    </row>
    <row r="16" spans="2:17" ht="15.75">
      <c r="B16" s="135"/>
      <c r="C16" s="352" t="s">
        <v>157</v>
      </c>
      <c r="D16" s="352"/>
      <c r="E16" s="352"/>
      <c r="F16" s="352"/>
      <c r="G16" s="352"/>
      <c r="H16" s="352"/>
      <c r="I16" s="352"/>
      <c r="J16" s="352"/>
      <c r="K16" s="136"/>
      <c r="N16" s="17"/>
    </row>
    <row r="17" spans="2:15" ht="15.75">
      <c r="B17" s="353">
        <v>45107</v>
      </c>
      <c r="C17" s="354"/>
      <c r="D17" s="354"/>
      <c r="E17" s="354"/>
      <c r="F17" s="354"/>
      <c r="G17" s="354"/>
      <c r="H17" s="354"/>
      <c r="I17" s="354"/>
      <c r="J17" s="354"/>
      <c r="K17" s="355"/>
      <c r="N17" s="17"/>
    </row>
    <row r="18" spans="2:15" ht="15.75">
      <c r="B18" s="140"/>
      <c r="C18" s="141"/>
      <c r="D18" s="142"/>
      <c r="E18" s="142"/>
      <c r="F18" s="143" t="s">
        <v>37</v>
      </c>
      <c r="G18" s="142"/>
      <c r="H18" s="144"/>
      <c r="I18" s="142"/>
      <c r="J18" s="118" t="s">
        <v>41</v>
      </c>
      <c r="K18" s="145"/>
      <c r="M18" s="80"/>
      <c r="N18" s="17"/>
    </row>
    <row r="19" spans="2:15" ht="15.75">
      <c r="B19" s="103"/>
      <c r="C19" s="128"/>
      <c r="D19" s="146" t="s">
        <v>38</v>
      </c>
      <c r="E19" s="127"/>
      <c r="F19" s="147" t="s">
        <v>39</v>
      </c>
      <c r="G19" s="127"/>
      <c r="H19" s="148" t="s">
        <v>40</v>
      </c>
      <c r="I19" s="127"/>
      <c r="J19" s="149" t="s">
        <v>40</v>
      </c>
      <c r="K19" s="111"/>
      <c r="N19" s="17"/>
    </row>
    <row r="20" spans="2:15" ht="18.75">
      <c r="B20" s="103"/>
      <c r="C20" s="104" t="s">
        <v>138</v>
      </c>
      <c r="D20" s="172">
        <v>2657000000</v>
      </c>
      <c r="E20" s="105"/>
      <c r="F20" s="271">
        <f>+D20/$D$24</f>
        <v>0.53505797736807459</v>
      </c>
      <c r="G20" s="106"/>
      <c r="H20" s="107">
        <v>5.0599999999999999E-2</v>
      </c>
      <c r="I20" s="106"/>
      <c r="J20" s="107">
        <f>+F20*H20</f>
        <v>2.7073933654824574E-2</v>
      </c>
      <c r="K20" s="111"/>
      <c r="M20" s="69"/>
      <c r="N20" s="17"/>
      <c r="O20" s="18"/>
    </row>
    <row r="21" spans="2:15" ht="9.75" customHeight="1">
      <c r="B21" s="103"/>
      <c r="C21" s="129"/>
      <c r="D21" s="106"/>
      <c r="E21" s="106"/>
      <c r="F21" s="272"/>
      <c r="G21" s="106"/>
      <c r="H21" s="109"/>
      <c r="I21" s="106"/>
      <c r="J21" s="110"/>
      <c r="K21" s="111"/>
      <c r="M21" s="70"/>
      <c r="N21" s="17"/>
    </row>
    <row r="22" spans="2:15" ht="18.75">
      <c r="B22" s="95"/>
      <c r="C22" s="130" t="s">
        <v>42</v>
      </c>
      <c r="D22" s="229">
        <v>2308817000</v>
      </c>
      <c r="E22" s="131"/>
      <c r="F22" s="273">
        <f>+D22/D24</f>
        <v>0.46494202263192541</v>
      </c>
      <c r="G22" s="132"/>
      <c r="H22" s="114">
        <v>9.4E-2</v>
      </c>
      <c r="I22" s="131">
        <v>-2</v>
      </c>
      <c r="J22" s="152">
        <f>+F22*H22</f>
        <v>4.3704550127400987E-2</v>
      </c>
      <c r="K22" s="102"/>
      <c r="M22" s="19"/>
      <c r="N22" s="17"/>
    </row>
    <row r="23" spans="2:15" ht="9.75" customHeight="1">
      <c r="B23" s="95"/>
      <c r="C23" s="130"/>
      <c r="D23" s="150"/>
      <c r="E23" s="133"/>
      <c r="F23" s="92"/>
      <c r="G23" s="133"/>
      <c r="H23" s="151"/>
      <c r="I23" s="133"/>
      <c r="J23" s="90"/>
      <c r="K23" s="102"/>
      <c r="M23" s="19"/>
      <c r="N23" s="17"/>
    </row>
    <row r="24" spans="2:15" ht="16.5" thickBot="1">
      <c r="B24" s="95"/>
      <c r="C24" s="130" t="s">
        <v>44</v>
      </c>
      <c r="D24" s="154">
        <f>SUM(D20:D22)</f>
        <v>4965817000</v>
      </c>
      <c r="E24" s="133"/>
      <c r="F24" s="155">
        <f>SUM(F20:F22)</f>
        <v>1</v>
      </c>
      <c r="G24" s="133"/>
      <c r="H24" s="132"/>
      <c r="I24" s="133"/>
      <c r="J24" s="156">
        <f>SUM(J20:J22)</f>
        <v>7.0778483782225565E-2</v>
      </c>
      <c r="K24" s="102"/>
      <c r="M24" s="19"/>
      <c r="N24" s="17"/>
    </row>
    <row r="25" spans="2:15" ht="17.25" thickTop="1" thickBot="1">
      <c r="B25" s="137"/>
      <c r="C25" s="138"/>
      <c r="D25" s="153"/>
      <c r="E25" s="138"/>
      <c r="F25" s="153"/>
      <c r="G25" s="138"/>
      <c r="H25" s="138"/>
      <c r="I25" s="138"/>
      <c r="J25" s="153"/>
      <c r="K25" s="139"/>
    </row>
    <row r="26" spans="2:15">
      <c r="B26" s="13"/>
      <c r="C26" s="13"/>
      <c r="D26" s="13"/>
      <c r="E26" s="13"/>
      <c r="F26" s="13"/>
      <c r="G26" s="13"/>
      <c r="H26" s="13"/>
      <c r="I26" s="13"/>
      <c r="J26" s="13"/>
      <c r="K26" s="13"/>
    </row>
    <row r="27" spans="2:15" ht="15.75">
      <c r="C27" s="3"/>
    </row>
    <row r="28" spans="2:15" ht="15.75">
      <c r="B28" s="76">
        <v>-1</v>
      </c>
      <c r="C28" s="3" t="s">
        <v>127</v>
      </c>
    </row>
    <row r="29" spans="2:15" ht="15.75">
      <c r="B29" s="76">
        <v>-2</v>
      </c>
      <c r="C29" s="3" t="s">
        <v>128</v>
      </c>
    </row>
    <row r="30" spans="2:15" ht="15.75">
      <c r="B30" s="76"/>
      <c r="C30" s="312"/>
    </row>
    <row r="31" spans="2:15" ht="15.75">
      <c r="B31" s="76"/>
      <c r="C31" s="3"/>
    </row>
    <row r="32" spans="2:15" ht="15.75">
      <c r="B32" s="57"/>
      <c r="C32" s="216"/>
      <c r="D32" s="57"/>
      <c r="E32" s="57"/>
      <c r="F32" s="57"/>
      <c r="G32" s="57"/>
    </row>
    <row r="33" spans="2:7" ht="15.75">
      <c r="B33" s="57"/>
      <c r="C33" s="21"/>
      <c r="D33" s="57"/>
      <c r="E33" s="57"/>
      <c r="F33" s="57"/>
      <c r="G33" s="57"/>
    </row>
    <row r="34" spans="2:7" ht="15.75">
      <c r="B34" s="57"/>
      <c r="C34" s="21"/>
      <c r="D34" s="57"/>
      <c r="E34" s="57"/>
      <c r="F34" s="57"/>
      <c r="G34" s="57"/>
    </row>
    <row r="35" spans="2:7" ht="15.75">
      <c r="B35" s="57"/>
      <c r="C35" s="21"/>
      <c r="D35" s="57"/>
      <c r="E35" s="57"/>
      <c r="F35" s="57"/>
      <c r="G35" s="57"/>
    </row>
    <row r="36" spans="2:7" ht="15.75">
      <c r="B36" s="57"/>
      <c r="C36" s="21"/>
      <c r="D36" s="57"/>
      <c r="E36" s="57"/>
      <c r="F36" s="57"/>
      <c r="G36" s="57"/>
    </row>
    <row r="37" spans="2:7">
      <c r="B37" s="57"/>
      <c r="C37" s="57"/>
      <c r="D37" s="57"/>
      <c r="E37" s="57"/>
      <c r="F37" s="57"/>
      <c r="G37" s="57"/>
    </row>
    <row r="38" spans="2:7">
      <c r="B38" s="57"/>
      <c r="C38" s="57"/>
      <c r="D38" s="57"/>
      <c r="E38" s="57"/>
      <c r="F38" s="57"/>
      <c r="G38" s="57"/>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alignWithMargins="0">
    <oddHeader>&amp;R Exh. KJC-2</oddHeader>
    <oddFooter>&amp;R&amp;8Page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812F-8F21-4435-9005-A6619C2579CA}">
  <sheetPr>
    <pageSetUpPr fitToPage="1"/>
  </sheetPr>
  <dimension ref="A1:AK58"/>
  <sheetViews>
    <sheetView tabSelected="1" view="pageBreakPreview" zoomScaleNormal="100" zoomScaleSheetLayoutView="100" workbookViewId="0">
      <selection activeCell="R20" sqref="R20"/>
    </sheetView>
    <sheetView workbookViewId="1">
      <selection sqref="A1:AC1"/>
    </sheetView>
  </sheetViews>
  <sheetFormatPr defaultColWidth="11.42578125" defaultRowHeight="11.25"/>
  <cols>
    <col min="1" max="1" width="3.7109375" style="230" customWidth="1"/>
    <col min="2" max="2" width="1.7109375" style="230" customWidth="1"/>
    <col min="3" max="3" width="17.85546875" style="230" bestFit="1"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6" style="230" bestFit="1" customWidth="1"/>
    <col min="31" max="31" width="14.28515625" style="230" bestFit="1" customWidth="1"/>
    <col min="32" max="32" width="12.42578125" style="230" bestFit="1" customWidth="1"/>
    <col min="33" max="16384" width="11.42578125" style="230"/>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46022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236" customFormat="1">
      <c r="E5" s="233"/>
      <c r="G5" s="237"/>
      <c r="I5" s="233"/>
      <c r="K5" s="233"/>
      <c r="M5" s="233"/>
      <c r="O5" s="233"/>
      <c r="Q5" s="233"/>
      <c r="S5" s="233"/>
      <c r="U5" s="233"/>
      <c r="W5" s="238"/>
      <c r="Y5" s="233" t="s">
        <v>45</v>
      </c>
      <c r="AA5" s="233"/>
    </row>
    <row r="6" spans="1:32" s="236" customFormat="1">
      <c r="A6" s="236" t="s">
        <v>46</v>
      </c>
      <c r="E6" s="233" t="s">
        <v>47</v>
      </c>
      <c r="G6" s="237" t="s">
        <v>48</v>
      </c>
      <c r="I6" s="233" t="s">
        <v>49</v>
      </c>
      <c r="K6" s="233" t="s">
        <v>45</v>
      </c>
      <c r="M6" s="233" t="s">
        <v>50</v>
      </c>
      <c r="O6" s="236" t="s">
        <v>51</v>
      </c>
      <c r="Q6" s="236" t="s">
        <v>52</v>
      </c>
      <c r="S6" s="236" t="s">
        <v>53</v>
      </c>
      <c r="U6" s="233" t="s">
        <v>54</v>
      </c>
      <c r="W6" s="238" t="s">
        <v>55</v>
      </c>
      <c r="Y6" s="233" t="s">
        <v>56</v>
      </c>
      <c r="AA6" s="233" t="s">
        <v>57</v>
      </c>
      <c r="AC6" s="236" t="s">
        <v>46</v>
      </c>
    </row>
    <row r="7" spans="1:32" s="236" customFormat="1">
      <c r="A7" s="239" t="s">
        <v>58</v>
      </c>
      <c r="C7" s="239" t="s">
        <v>59</v>
      </c>
      <c r="E7" s="240" t="s">
        <v>60</v>
      </c>
      <c r="F7" s="239"/>
      <c r="G7" s="241" t="s">
        <v>61</v>
      </c>
      <c r="I7" s="240" t="s">
        <v>61</v>
      </c>
      <c r="K7" s="240" t="s">
        <v>38</v>
      </c>
      <c r="M7" s="240" t="s">
        <v>62</v>
      </c>
      <c r="O7" s="239" t="s">
        <v>63</v>
      </c>
      <c r="Q7" s="239" t="s">
        <v>64</v>
      </c>
      <c r="S7" s="239" t="s">
        <v>65</v>
      </c>
      <c r="U7" s="240" t="s">
        <v>66</v>
      </c>
      <c r="W7" s="242" t="s">
        <v>48</v>
      </c>
      <c r="Y7" s="243">
        <f>+A3</f>
        <v>46022</v>
      </c>
      <c r="AA7" s="240" t="s">
        <v>40</v>
      </c>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f>+'Exhibit No.  KJC-2 Page 6'!D17</f>
        <v>5.8248241666666672E-2</v>
      </c>
      <c r="F9" s="246">
        <v>1</v>
      </c>
      <c r="G9" s="247">
        <v>50192</v>
      </c>
      <c r="H9" s="248"/>
      <c r="I9" s="247">
        <v>35584</v>
      </c>
      <c r="K9" s="249">
        <v>40000000</v>
      </c>
      <c r="L9" s="249"/>
      <c r="M9" s="249">
        <v>1296086</v>
      </c>
      <c r="N9" s="249"/>
      <c r="O9" s="249">
        <v>0</v>
      </c>
      <c r="P9" s="231"/>
      <c r="Q9" s="249">
        <v>0</v>
      </c>
      <c r="R9" s="249"/>
      <c r="S9" s="249">
        <v>-1769125</v>
      </c>
      <c r="T9" s="249"/>
      <c r="U9" s="249">
        <f t="shared" ref="U9:U12" si="0">IF(K9&gt;0,K9-SUM(M9:S9),0)</f>
        <v>40473039</v>
      </c>
      <c r="W9" s="165">
        <f>IF(K9&gt;0,YIELD(I9,G9,E9,U9/K9*100,100,2,0),"")</f>
        <v>5.7489474625907991E-2</v>
      </c>
      <c r="Y9" s="249">
        <f t="shared" ref="Y9:Y28" si="1">IF(G9&gt;$Y$7,K9,"")</f>
        <v>40000000</v>
      </c>
      <c r="Z9" s="249"/>
      <c r="AA9" s="249">
        <f t="shared" ref="AA9:AA28" si="2">IF(AND(G9&gt;$Y$7,K9&gt;0),Y9*W9,IF(G9&gt;$Y$7,M9/((YEAR(G9)-YEAR(I9))*12+MONTH(G9)-MONTH(I9))*12,0))</f>
        <v>2299578.9850363196</v>
      </c>
      <c r="AC9" s="230">
        <f t="shared" ref="AC9:AC50" si="3">+A9</f>
        <v>1</v>
      </c>
      <c r="AD9" s="158"/>
      <c r="AE9" s="166"/>
      <c r="AF9" s="302"/>
    </row>
    <row r="10" spans="1:32">
      <c r="A10" s="230">
        <v>2</v>
      </c>
      <c r="C10" s="230" t="s">
        <v>141</v>
      </c>
      <c r="D10" s="250"/>
      <c r="E10" s="245">
        <v>6.3700000000000007E-2</v>
      </c>
      <c r="F10" s="251"/>
      <c r="G10" s="247">
        <v>46923</v>
      </c>
      <c r="H10" s="252"/>
      <c r="I10" s="247">
        <v>35965</v>
      </c>
      <c r="J10" s="253"/>
      <c r="K10" s="249">
        <v>25000000</v>
      </c>
      <c r="L10" s="254"/>
      <c r="M10" s="249">
        <v>158303.79</v>
      </c>
      <c r="N10" s="254"/>
      <c r="O10" s="249">
        <v>0</v>
      </c>
      <c r="P10" s="255"/>
      <c r="Q10" s="249">
        <v>0</v>
      </c>
      <c r="R10" s="254"/>
      <c r="S10" s="249">
        <v>188649</v>
      </c>
      <c r="T10" s="254"/>
      <c r="U10" s="249">
        <f t="shared" si="0"/>
        <v>24653047.210000001</v>
      </c>
      <c r="V10" s="253"/>
      <c r="W10" s="165">
        <f t="shared" ref="W10:W28" si="4">IF(K10&gt;0,YIELD(I10,G10,E10,U10/K10*100,100,2,0),"")</f>
        <v>6.4754538518065133E-2</v>
      </c>
      <c r="X10" s="253"/>
      <c r="Y10" s="249">
        <f t="shared" si="1"/>
        <v>25000000</v>
      </c>
      <c r="Z10" s="254"/>
      <c r="AA10" s="249">
        <f t="shared" si="2"/>
        <v>1618863.4629516283</v>
      </c>
      <c r="AC10" s="230">
        <f t="shared" si="3"/>
        <v>2</v>
      </c>
      <c r="AD10" s="158"/>
      <c r="AE10" s="166"/>
      <c r="AF10" s="302"/>
    </row>
    <row r="11" spans="1:32">
      <c r="A11" s="230">
        <v>3</v>
      </c>
      <c r="C11" s="230" t="s">
        <v>79</v>
      </c>
      <c r="D11" s="250"/>
      <c r="E11" s="245">
        <v>6.25E-2</v>
      </c>
      <c r="F11" s="251"/>
      <c r="G11" s="247">
        <v>49644</v>
      </c>
      <c r="H11" s="252"/>
      <c r="I11" s="247">
        <v>38673</v>
      </c>
      <c r="J11" s="253"/>
      <c r="K11" s="249">
        <v>150000000</v>
      </c>
      <c r="L11" s="254"/>
      <c r="M11" s="249">
        <v>1812935.49</v>
      </c>
      <c r="N11" s="254"/>
      <c r="O11" s="249">
        <v>-4445000</v>
      </c>
      <c r="P11" s="255"/>
      <c r="Q11" s="249">
        <v>367500</v>
      </c>
      <c r="R11" s="254"/>
      <c r="S11" s="249">
        <v>1700376.3864715428</v>
      </c>
      <c r="T11" s="254"/>
      <c r="U11" s="249">
        <f t="shared" si="0"/>
        <v>150564188.12352845</v>
      </c>
      <c r="V11" s="253"/>
      <c r="W11" s="165">
        <f t="shared" si="4"/>
        <v>6.2219270186626811E-2</v>
      </c>
      <c r="X11" s="253"/>
      <c r="Y11" s="249">
        <f t="shared" si="1"/>
        <v>150000000</v>
      </c>
      <c r="Z11" s="254"/>
      <c r="AA11" s="249">
        <f t="shared" si="2"/>
        <v>9332890.5279940218</v>
      </c>
      <c r="AC11" s="230">
        <f t="shared" si="3"/>
        <v>3</v>
      </c>
      <c r="AD11" s="158"/>
      <c r="AE11" s="166"/>
      <c r="AF11" s="302"/>
    </row>
    <row r="12" spans="1:32">
      <c r="A12" s="230">
        <v>4</v>
      </c>
      <c r="C12" s="230" t="s">
        <v>80</v>
      </c>
      <c r="D12" s="250"/>
      <c r="E12" s="245">
        <v>5.7000000000000002E-2</v>
      </c>
      <c r="F12" s="251"/>
      <c r="G12" s="247">
        <v>50222</v>
      </c>
      <c r="H12" s="252"/>
      <c r="I12" s="247">
        <v>39066</v>
      </c>
      <c r="J12" s="253"/>
      <c r="K12" s="249">
        <v>150000000</v>
      </c>
      <c r="L12" s="254"/>
      <c r="M12" s="249">
        <v>4702304.129999999</v>
      </c>
      <c r="N12" s="254"/>
      <c r="O12" s="249">
        <v>3738000</v>
      </c>
      <c r="P12" s="255"/>
      <c r="Q12" s="249">
        <v>222000</v>
      </c>
      <c r="R12" s="254"/>
      <c r="S12" s="249">
        <v>0</v>
      </c>
      <c r="T12" s="254"/>
      <c r="U12" s="249">
        <f t="shared" si="0"/>
        <v>141337695.87</v>
      </c>
      <c r="V12" s="253"/>
      <c r="W12" s="165">
        <f t="shared" si="4"/>
        <v>6.1197829079802084E-2</v>
      </c>
      <c r="X12" s="253"/>
      <c r="Y12" s="249">
        <f t="shared" si="1"/>
        <v>150000000</v>
      </c>
      <c r="Z12" s="254"/>
      <c r="AA12" s="249">
        <f t="shared" si="2"/>
        <v>9179674.3619703129</v>
      </c>
      <c r="AC12" s="230">
        <f t="shared" si="3"/>
        <v>4</v>
      </c>
      <c r="AD12" s="158"/>
      <c r="AE12" s="166"/>
      <c r="AF12" s="302"/>
    </row>
    <row r="13" spans="1:32">
      <c r="A13" s="230">
        <v>6</v>
      </c>
      <c r="C13" s="230" t="s">
        <v>81</v>
      </c>
      <c r="E13" s="245">
        <v>5.5500000000000001E-2</v>
      </c>
      <c r="G13" s="247">
        <v>51490</v>
      </c>
      <c r="I13" s="247">
        <v>40532</v>
      </c>
      <c r="K13" s="249">
        <v>35000000</v>
      </c>
      <c r="L13" s="249"/>
      <c r="M13" s="249">
        <v>258833.51792323033</v>
      </c>
      <c r="N13" s="249"/>
      <c r="O13" s="249">
        <v>0</v>
      </c>
      <c r="Q13" s="249">
        <v>0</v>
      </c>
      <c r="R13" s="249"/>
      <c r="S13" s="249">
        <v>5263821.6495898366</v>
      </c>
      <c r="T13" s="249"/>
      <c r="U13" s="249">
        <f t="shared" ref="U13:U21" si="5">IF(K13&gt;0,K13-SUM(M13:S13),0)</f>
        <v>29477344.832486935</v>
      </c>
      <c r="W13" s="165">
        <f t="shared" si="4"/>
        <v>6.7882497516345841E-2</v>
      </c>
      <c r="Y13" s="249">
        <f t="shared" si="1"/>
        <v>35000000</v>
      </c>
      <c r="Z13" s="249"/>
      <c r="AA13" s="249">
        <f t="shared" si="2"/>
        <v>2375887.4130721046</v>
      </c>
      <c r="AC13" s="230">
        <f t="shared" si="3"/>
        <v>6</v>
      </c>
      <c r="AD13" s="231"/>
      <c r="AF13" s="302"/>
    </row>
    <row r="14" spans="1:32">
      <c r="A14" s="230">
        <v>7</v>
      </c>
      <c r="C14" s="230" t="s">
        <v>82</v>
      </c>
      <c r="E14" s="245">
        <v>4.4499999999999998E-2</v>
      </c>
      <c r="G14" s="247">
        <v>51849</v>
      </c>
      <c r="I14" s="247">
        <v>40891</v>
      </c>
      <c r="K14" s="249">
        <v>85000000</v>
      </c>
      <c r="L14" s="249"/>
      <c r="M14" s="249">
        <v>692833.13</v>
      </c>
      <c r="N14" s="249"/>
      <c r="O14" s="249">
        <v>10557000</v>
      </c>
      <c r="Q14" s="249">
        <v>0</v>
      </c>
      <c r="R14" s="249"/>
      <c r="S14" s="249">
        <v>0</v>
      </c>
      <c r="T14" s="249"/>
      <c r="U14" s="249">
        <f t="shared" si="5"/>
        <v>73750166.870000005</v>
      </c>
      <c r="W14" s="165">
        <f t="shared" si="4"/>
        <v>5.3398480565838784E-2</v>
      </c>
      <c r="Y14" s="249">
        <f t="shared" si="1"/>
        <v>85000000</v>
      </c>
      <c r="Z14" s="249"/>
      <c r="AA14" s="249">
        <f t="shared" si="2"/>
        <v>4538870.8480962962</v>
      </c>
      <c r="AC14" s="230">
        <f t="shared" si="3"/>
        <v>7</v>
      </c>
      <c r="AD14" s="231"/>
      <c r="AF14" s="302"/>
    </row>
    <row r="15" spans="1:32">
      <c r="A15" s="230">
        <v>8</v>
      </c>
      <c r="C15" s="230" t="s">
        <v>140</v>
      </c>
      <c r="E15" s="245">
        <v>4.2299999999999997E-2</v>
      </c>
      <c r="G15" s="247">
        <v>54025</v>
      </c>
      <c r="I15" s="247">
        <v>41243</v>
      </c>
      <c r="K15" s="249">
        <v>80000000</v>
      </c>
      <c r="L15" s="249"/>
      <c r="M15" s="249">
        <v>730832.49999999988</v>
      </c>
      <c r="N15" s="249"/>
      <c r="O15" s="249">
        <v>18546870</v>
      </c>
      <c r="Q15" s="249">
        <v>0</v>
      </c>
      <c r="R15" s="249"/>
      <c r="S15" s="249">
        <v>105020.45965535883</v>
      </c>
      <c r="T15" s="249"/>
      <c r="U15" s="249">
        <f t="shared" si="5"/>
        <v>60617277.040344641</v>
      </c>
      <c r="W15" s="165">
        <f t="shared" si="4"/>
        <v>5.8681663596242842E-2</v>
      </c>
      <c r="Y15" s="249">
        <f t="shared" si="1"/>
        <v>80000000</v>
      </c>
      <c r="Z15" s="249"/>
      <c r="AA15" s="249">
        <f t="shared" si="2"/>
        <v>4694533.0876994273</v>
      </c>
      <c r="AC15" s="230">
        <f t="shared" si="3"/>
        <v>8</v>
      </c>
      <c r="AD15" s="231"/>
      <c r="AF15" s="302"/>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si="5"/>
        <v>65000794.82</v>
      </c>
      <c r="W16" s="165">
        <f t="shared" si="4"/>
        <v>3.650066521046285E-2</v>
      </c>
      <c r="Y16" s="249">
        <f t="shared" si="1"/>
        <v>60000000</v>
      </c>
      <c r="Z16" s="249"/>
      <c r="AA16" s="249">
        <f t="shared" si="2"/>
        <v>2190039.912627771</v>
      </c>
      <c r="AC16" s="230">
        <f t="shared" si="3"/>
        <v>9</v>
      </c>
      <c r="AD16" s="231"/>
      <c r="AF16" s="302"/>
    </row>
    <row r="17" spans="1:37">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4"/>
        <v>5.0168887208326574E-2</v>
      </c>
      <c r="Y17" s="249">
        <f t="shared" si="1"/>
        <v>100000000</v>
      </c>
      <c r="Z17" s="249"/>
      <c r="AA17" s="249">
        <f t="shared" si="2"/>
        <v>5016888.7208326571</v>
      </c>
      <c r="AC17" s="230">
        <f t="shared" si="3"/>
        <v>10</v>
      </c>
      <c r="AD17" s="231"/>
      <c r="AF17" s="302"/>
    </row>
    <row r="18" spans="1:37">
      <c r="A18" s="230">
        <v>11</v>
      </c>
      <c r="C18" s="230" t="s">
        <v>172</v>
      </c>
      <c r="E18" s="245">
        <v>3.5400000000000001E-2</v>
      </c>
      <c r="G18" s="247">
        <v>55488</v>
      </c>
      <c r="I18" s="247">
        <v>42719</v>
      </c>
      <c r="K18" s="249">
        <v>175000000</v>
      </c>
      <c r="M18" s="249">
        <v>1042569.48</v>
      </c>
      <c r="O18" s="249">
        <v>53966197.25</v>
      </c>
      <c r="Q18" s="249">
        <v>0</v>
      </c>
      <c r="S18" s="249">
        <v>0</v>
      </c>
      <c r="U18" s="249">
        <f t="shared" si="5"/>
        <v>119991233.27000001</v>
      </c>
      <c r="W18" s="165">
        <f t="shared" si="4"/>
        <v>5.5983104331726943E-2</v>
      </c>
      <c r="Y18" s="249">
        <f t="shared" si="1"/>
        <v>175000000</v>
      </c>
      <c r="Z18" s="249"/>
      <c r="AA18" s="249">
        <f t="shared" si="2"/>
        <v>9797043.258052215</v>
      </c>
      <c r="AC18" s="230">
        <f t="shared" si="3"/>
        <v>11</v>
      </c>
      <c r="AE18" s="303"/>
      <c r="AF18" s="302"/>
      <c r="AG18" s="304"/>
    </row>
    <row r="19" spans="1:37">
      <c r="A19" s="230">
        <v>12</v>
      </c>
      <c r="C19" s="230" t="s">
        <v>166</v>
      </c>
      <c r="E19" s="245">
        <v>3.9100000000000003E-2</v>
      </c>
      <c r="G19" s="247">
        <v>54027</v>
      </c>
      <c r="I19" s="247">
        <v>43083</v>
      </c>
      <c r="K19" s="249">
        <v>90000000</v>
      </c>
      <c r="M19" s="249">
        <v>552538.96000000008</v>
      </c>
      <c r="O19" s="249">
        <v>8823321.5700000003</v>
      </c>
      <c r="Q19" s="249">
        <v>0</v>
      </c>
      <c r="S19" s="249">
        <v>0</v>
      </c>
      <c r="U19" s="249">
        <f t="shared" si="5"/>
        <v>80624139.469999999</v>
      </c>
      <c r="W19" s="165">
        <f t="shared" si="4"/>
        <v>4.5502447848242804E-2</v>
      </c>
      <c r="Y19" s="249">
        <f t="shared" si="1"/>
        <v>90000000</v>
      </c>
      <c r="Z19" s="249"/>
      <c r="AA19" s="249">
        <f t="shared" si="2"/>
        <v>4095220.3063418525</v>
      </c>
      <c r="AC19" s="230">
        <f t="shared" si="3"/>
        <v>12</v>
      </c>
      <c r="AF19" s="302"/>
    </row>
    <row r="20" spans="1:37">
      <c r="A20" s="230">
        <v>13</v>
      </c>
      <c r="C20" s="230" t="s">
        <v>167</v>
      </c>
      <c r="E20" s="245">
        <v>4.3499999999999997E-2</v>
      </c>
      <c r="G20" s="247">
        <v>54210</v>
      </c>
      <c r="I20" s="247">
        <v>43242</v>
      </c>
      <c r="K20" s="249">
        <v>375000000</v>
      </c>
      <c r="M20" s="249">
        <v>4246447.95</v>
      </c>
      <c r="O20" s="249">
        <v>26580102</v>
      </c>
      <c r="Q20" s="249">
        <v>378750</v>
      </c>
      <c r="S20" s="249">
        <v>0</v>
      </c>
      <c r="U20" s="249">
        <f t="shared" si="5"/>
        <v>343794700.05000001</v>
      </c>
      <c r="W20" s="165">
        <f t="shared" si="4"/>
        <v>4.8808927553560574E-2</v>
      </c>
      <c r="Y20" s="249">
        <f t="shared" si="1"/>
        <v>375000000</v>
      </c>
      <c r="Z20" s="249"/>
      <c r="AA20" s="249">
        <f t="shared" si="2"/>
        <v>18303347.832585216</v>
      </c>
      <c r="AC20" s="230">
        <f t="shared" si="3"/>
        <v>13</v>
      </c>
      <c r="AF20" s="302"/>
    </row>
    <row r="21" spans="1:37">
      <c r="A21" s="230">
        <v>14</v>
      </c>
      <c r="C21" s="230" t="s">
        <v>173</v>
      </c>
      <c r="E21" s="245">
        <v>3.4299999999999997E-2</v>
      </c>
      <c r="G21" s="247">
        <v>54758</v>
      </c>
      <c r="I21" s="247">
        <v>43795</v>
      </c>
      <c r="K21" s="249">
        <v>180000000</v>
      </c>
      <c r="M21" s="249">
        <v>1108340.2299999997</v>
      </c>
      <c r="O21" s="249">
        <v>13330106.050000001</v>
      </c>
      <c r="Q21" s="249">
        <v>0</v>
      </c>
      <c r="S21" s="249">
        <v>0</v>
      </c>
      <c r="U21" s="249">
        <f t="shared" si="5"/>
        <v>165561553.72</v>
      </c>
      <c r="W21" s="165">
        <f t="shared" si="4"/>
        <v>3.8849750081245867E-2</v>
      </c>
      <c r="Y21" s="249">
        <f t="shared" si="1"/>
        <v>180000000</v>
      </c>
      <c r="AA21" s="249">
        <f t="shared" si="2"/>
        <v>6992955.0146242557</v>
      </c>
      <c r="AC21" s="230">
        <f t="shared" si="3"/>
        <v>14</v>
      </c>
      <c r="AF21" s="302"/>
    </row>
    <row r="22" spans="1:37">
      <c r="A22" s="230">
        <v>15</v>
      </c>
      <c r="C22" s="230" t="s">
        <v>174</v>
      </c>
      <c r="E22" s="245">
        <v>3.0700000000000002E-2</v>
      </c>
      <c r="G22" s="247">
        <v>55061</v>
      </c>
      <c r="I22" s="247">
        <v>44104</v>
      </c>
      <c r="K22" s="249">
        <v>165000000</v>
      </c>
      <c r="M22" s="249">
        <v>1074990.1399999999</v>
      </c>
      <c r="O22" s="249">
        <v>33503118.890000001</v>
      </c>
      <c r="Q22" s="249">
        <v>0</v>
      </c>
      <c r="S22" s="249">
        <v>0</v>
      </c>
      <c r="U22" s="249">
        <f t="shared" ref="U22:U28" si="6">IF(K22&gt;0,K22-SUM(M22:S22),0)</f>
        <v>130421890.97</v>
      </c>
      <c r="W22" s="165">
        <f t="shared" si="4"/>
        <v>4.323414388763628E-2</v>
      </c>
      <c r="Y22" s="249">
        <f t="shared" si="1"/>
        <v>165000000</v>
      </c>
      <c r="AA22" s="249">
        <f t="shared" si="2"/>
        <v>7133633.7414599862</v>
      </c>
      <c r="AC22" s="230">
        <f t="shared" si="3"/>
        <v>15</v>
      </c>
      <c r="AD22" s="305"/>
      <c r="AF22" s="302"/>
    </row>
    <row r="23" spans="1:37">
      <c r="A23" s="230">
        <v>16</v>
      </c>
      <c r="C23" s="230" t="s">
        <v>175</v>
      </c>
      <c r="E23" s="245">
        <v>2.9000000000000001E-2</v>
      </c>
      <c r="G23" s="247">
        <v>55427</v>
      </c>
      <c r="I23" s="247">
        <v>44467</v>
      </c>
      <c r="K23" s="249">
        <v>140000000</v>
      </c>
      <c r="M23" s="249">
        <v>1100000</v>
      </c>
      <c r="O23" s="249">
        <v>17244100</v>
      </c>
      <c r="Q23" s="249">
        <v>0</v>
      </c>
      <c r="S23" s="249">
        <v>0</v>
      </c>
      <c r="U23" s="249">
        <f t="shared" si="6"/>
        <v>121655900</v>
      </c>
      <c r="W23" s="165">
        <f t="shared" si="4"/>
        <v>3.6194384822435866E-2</v>
      </c>
      <c r="Y23" s="249">
        <f t="shared" si="1"/>
        <v>140000000</v>
      </c>
      <c r="AA23" s="249">
        <f t="shared" si="2"/>
        <v>5067213.8751410209</v>
      </c>
      <c r="AC23" s="230">
        <f t="shared" si="3"/>
        <v>16</v>
      </c>
      <c r="AD23" s="305"/>
      <c r="AF23" s="302"/>
    </row>
    <row r="24" spans="1:37">
      <c r="A24" s="230">
        <v>17</v>
      </c>
      <c r="C24" s="230" t="s">
        <v>200</v>
      </c>
      <c r="E24" s="245">
        <v>0.04</v>
      </c>
      <c r="G24" s="247">
        <v>55610</v>
      </c>
      <c r="I24" s="247">
        <v>44637</v>
      </c>
      <c r="K24" s="249">
        <v>400000000</v>
      </c>
      <c r="M24" s="249">
        <v>4579992.8499999996</v>
      </c>
      <c r="O24" s="249">
        <v>17035229.649999999</v>
      </c>
      <c r="Q24" s="249"/>
      <c r="S24" s="249"/>
      <c r="U24" s="249">
        <f t="shared" si="6"/>
        <v>378384777.5</v>
      </c>
      <c r="W24" s="165">
        <f t="shared" si="4"/>
        <v>4.3228862281406558E-2</v>
      </c>
      <c r="Y24" s="249">
        <f t="shared" si="1"/>
        <v>400000000</v>
      </c>
      <c r="AA24" s="249">
        <f t="shared" si="2"/>
        <v>17291544.912562624</v>
      </c>
      <c r="AC24" s="230">
        <f t="shared" si="3"/>
        <v>17</v>
      </c>
      <c r="AD24" s="305"/>
      <c r="AF24" s="302"/>
    </row>
    <row r="25" spans="1:37">
      <c r="A25" s="230">
        <v>18</v>
      </c>
      <c r="C25" s="230" t="s">
        <v>201</v>
      </c>
      <c r="E25" s="245">
        <v>5.6599999999999998E-2</v>
      </c>
      <c r="G25" s="247">
        <v>55975</v>
      </c>
      <c r="I25" s="247">
        <v>45014</v>
      </c>
      <c r="K25" s="249">
        <v>250000000</v>
      </c>
      <c r="M25" s="249">
        <v>1443848.52</v>
      </c>
      <c r="O25" s="249">
        <v>-7459930</v>
      </c>
      <c r="Q25" s="249"/>
      <c r="S25" s="249"/>
      <c r="U25" s="249">
        <f t="shared" si="6"/>
        <v>256016081.47999999</v>
      </c>
      <c r="W25" s="165">
        <f t="shared" si="4"/>
        <v>5.4953710594270497E-2</v>
      </c>
      <c r="Y25" s="249">
        <f t="shared" si="1"/>
        <v>250000000</v>
      </c>
      <c r="AA25" s="249">
        <f t="shared" si="2"/>
        <v>13738427.648567624</v>
      </c>
      <c r="AC25" s="230">
        <f t="shared" si="3"/>
        <v>18</v>
      </c>
      <c r="AD25" s="305"/>
      <c r="AF25" s="302"/>
    </row>
    <row r="26" spans="1:37">
      <c r="A26" s="230">
        <v>19</v>
      </c>
      <c r="C26" s="230" t="s">
        <v>176</v>
      </c>
      <c r="E26" s="245">
        <v>4.9000000000000002E-2</v>
      </c>
      <c r="G26" s="247">
        <v>48488</v>
      </c>
      <c r="I26" s="247">
        <v>45352</v>
      </c>
      <c r="K26" s="249">
        <v>66700000</v>
      </c>
      <c r="M26" s="249">
        <v>500000</v>
      </c>
      <c r="O26" s="249">
        <v>-5522550</v>
      </c>
      <c r="Q26" s="249"/>
      <c r="S26" s="249"/>
      <c r="U26" s="249">
        <f t="shared" si="6"/>
        <v>71722550</v>
      </c>
      <c r="W26" s="165">
        <f t="shared" si="4"/>
        <v>3.8605348070218815E-2</v>
      </c>
      <c r="Y26" s="249">
        <f t="shared" si="1"/>
        <v>66700000</v>
      </c>
      <c r="AA26" s="249">
        <f t="shared" si="2"/>
        <v>2574976.7162835947</v>
      </c>
      <c r="AC26" s="230">
        <f t="shared" si="3"/>
        <v>19</v>
      </c>
      <c r="AD26" s="305"/>
      <c r="AF26" s="302"/>
    </row>
    <row r="27" spans="1:37">
      <c r="A27" s="230">
        <v>20</v>
      </c>
      <c r="C27" s="230" t="s">
        <v>176</v>
      </c>
      <c r="E27" s="245">
        <v>4.9000000000000002E-2</v>
      </c>
      <c r="G27" s="247">
        <v>49004</v>
      </c>
      <c r="I27" s="247">
        <v>45352</v>
      </c>
      <c r="K27" s="249">
        <v>17000000</v>
      </c>
      <c r="M27" s="249">
        <v>200000</v>
      </c>
      <c r="O27" s="249">
        <v>0</v>
      </c>
      <c r="Q27" s="249"/>
      <c r="S27" s="249"/>
      <c r="U27" s="249">
        <f t="shared" si="6"/>
        <v>16800000</v>
      </c>
      <c r="W27" s="165">
        <f t="shared" si="4"/>
        <v>5.0513003695766986E-2</v>
      </c>
      <c r="Y27" s="249">
        <f t="shared" si="1"/>
        <v>17000000</v>
      </c>
      <c r="AA27" s="249">
        <f t="shared" si="2"/>
        <v>858721.06282803882</v>
      </c>
      <c r="AC27" s="230">
        <f t="shared" si="3"/>
        <v>20</v>
      </c>
      <c r="AD27" s="305"/>
      <c r="AF27" s="302"/>
    </row>
    <row r="28" spans="1:37">
      <c r="A28" s="230">
        <v>21</v>
      </c>
      <c r="C28" s="230" t="s">
        <v>176</v>
      </c>
      <c r="E28" s="245">
        <v>6.1089999999999998E-2</v>
      </c>
      <c r="G28" s="247">
        <v>56888</v>
      </c>
      <c r="I28" s="247">
        <v>45931</v>
      </c>
      <c r="K28" s="249">
        <v>60000000</v>
      </c>
      <c r="M28" s="249">
        <v>600000</v>
      </c>
      <c r="O28" s="249">
        <v>-856819</v>
      </c>
      <c r="Q28" s="249"/>
      <c r="S28" s="249"/>
      <c r="U28" s="249">
        <f t="shared" si="6"/>
        <v>60256819</v>
      </c>
      <c r="W28" s="165">
        <f t="shared" si="4"/>
        <v>6.0778096175334972E-2</v>
      </c>
      <c r="Y28" s="249">
        <f t="shared" si="1"/>
        <v>60000000</v>
      </c>
      <c r="AA28" s="249">
        <f t="shared" si="2"/>
        <v>3646685.7705200985</v>
      </c>
      <c r="AC28" s="230">
        <f t="shared" si="3"/>
        <v>21</v>
      </c>
      <c r="AD28" s="305"/>
      <c r="AF28" s="302"/>
    </row>
    <row r="29" spans="1:37">
      <c r="A29" s="230">
        <v>22</v>
      </c>
      <c r="E29" s="245"/>
      <c r="G29" s="247"/>
      <c r="I29" s="247"/>
      <c r="K29" s="249"/>
      <c r="M29" s="249"/>
      <c r="O29" s="249"/>
      <c r="U29" s="249"/>
      <c r="W29" s="165"/>
      <c r="Y29" s="256">
        <f>+SUM(Y9:Z28)</f>
        <v>2643700000</v>
      </c>
      <c r="Z29" s="256"/>
      <c r="AA29" s="256">
        <f>+SUM(AA9:AA28)</f>
        <v>130746997.45924705</v>
      </c>
      <c r="AC29" s="230">
        <f t="shared" si="3"/>
        <v>22</v>
      </c>
      <c r="AD29" s="305"/>
      <c r="AE29" s="231"/>
      <c r="AF29" s="302"/>
    </row>
    <row r="30" spans="1:37">
      <c r="A30" s="230">
        <v>23</v>
      </c>
      <c r="E30" s="245"/>
      <c r="G30" s="247"/>
      <c r="I30" s="247"/>
      <c r="K30" s="249"/>
      <c r="M30" s="249"/>
      <c r="O30" s="249"/>
      <c r="U30" s="249"/>
      <c r="W30" s="165"/>
      <c r="Y30" s="164"/>
      <c r="AA30" s="164"/>
      <c r="AC30" s="230">
        <f t="shared" si="3"/>
        <v>23</v>
      </c>
      <c r="AD30" s="305"/>
      <c r="AE30" s="231"/>
      <c r="AF30" s="302"/>
    </row>
    <row r="31" spans="1:37" s="35" customFormat="1">
      <c r="A31" s="230">
        <v>24</v>
      </c>
      <c r="B31" s="230"/>
      <c r="C31" s="230" t="s">
        <v>83</v>
      </c>
      <c r="D31" s="251">
        <v>2</v>
      </c>
      <c r="E31" s="257">
        <v>8.8499999999999995E-2</v>
      </c>
      <c r="F31" s="230"/>
      <c r="G31" s="258">
        <v>46909</v>
      </c>
      <c r="H31" s="248"/>
      <c r="I31" s="247">
        <v>37400</v>
      </c>
      <c r="J31" s="230"/>
      <c r="K31" s="231">
        <v>10000000</v>
      </c>
      <c r="L31" s="230"/>
      <c r="M31" s="231"/>
      <c r="N31" s="230"/>
      <c r="O31" s="231"/>
      <c r="P31" s="230"/>
      <c r="Q31" s="231"/>
      <c r="R31" s="230"/>
      <c r="S31" s="259">
        <v>-2228153</v>
      </c>
      <c r="T31" s="230"/>
      <c r="U31" s="231">
        <f>K31-M31-S31</f>
        <v>12228153</v>
      </c>
      <c r="V31" s="230"/>
      <c r="W31" s="163">
        <f>YIELD(I31,G31,E31,U31/K31*100,100,2,0)</f>
        <v>6.9809831044499712E-2</v>
      </c>
      <c r="X31" s="230"/>
      <c r="Y31" s="231"/>
      <c r="Z31" s="251">
        <v>3</v>
      </c>
      <c r="AA31" s="260">
        <f>-PMT(W31,(YEAR(G31)-YEAR(I31)),S31)</f>
        <v>-188084.26632318582</v>
      </c>
      <c r="AB31" s="230"/>
      <c r="AC31" s="230">
        <f t="shared" si="3"/>
        <v>24</v>
      </c>
      <c r="AD31" s="230"/>
      <c r="AE31" s="231"/>
      <c r="AF31" s="302"/>
      <c r="AG31" s="230"/>
      <c r="AH31" s="230"/>
      <c r="AI31" s="230"/>
      <c r="AJ31" s="83"/>
      <c r="AK31" s="83"/>
    </row>
    <row r="32" spans="1:37" s="35" customFormat="1">
      <c r="A32" s="230">
        <v>25</v>
      </c>
      <c r="B32" s="230"/>
      <c r="C32" s="230" t="s">
        <v>83</v>
      </c>
      <c r="D32" s="251">
        <v>2</v>
      </c>
      <c r="E32" s="257">
        <v>8.8300000000000003E-2</v>
      </c>
      <c r="F32" s="230"/>
      <c r="G32" s="258">
        <v>46909</v>
      </c>
      <c r="H32" s="248"/>
      <c r="I32" s="247">
        <v>37714</v>
      </c>
      <c r="J32" s="230"/>
      <c r="K32" s="231">
        <v>10000000</v>
      </c>
      <c r="L32" s="230"/>
      <c r="M32" s="231"/>
      <c r="N32" s="230"/>
      <c r="O32" s="231"/>
      <c r="P32" s="230"/>
      <c r="Q32" s="231"/>
      <c r="R32" s="230"/>
      <c r="S32" s="259">
        <v>-450768.99999999994</v>
      </c>
      <c r="T32" s="230"/>
      <c r="U32" s="231">
        <f>K32-M32-S32</f>
        <v>10450769</v>
      </c>
      <c r="V32" s="230"/>
      <c r="W32" s="163">
        <f>YIELD(I32,G32,E32,U32/K32*100,100,2,0)</f>
        <v>8.3949643464908075E-2</v>
      </c>
      <c r="Y32" s="231"/>
      <c r="Z32" s="251">
        <v>3</v>
      </c>
      <c r="AA32" s="260">
        <f>-PMT(W32,(YEAR(G32)-YEAR(I32)),S32)</f>
        <v>-43661.153827584989</v>
      </c>
      <c r="AB32" s="230"/>
      <c r="AC32" s="230">
        <f t="shared" si="3"/>
        <v>25</v>
      </c>
      <c r="AD32" s="230"/>
      <c r="AE32" s="230"/>
      <c r="AF32" s="302"/>
      <c r="AG32" s="230"/>
      <c r="AH32" s="230"/>
      <c r="AI32" s="230"/>
      <c r="AJ32" s="83"/>
      <c r="AK32" s="83"/>
    </row>
    <row r="33" spans="1:32">
      <c r="A33" s="230">
        <v>26</v>
      </c>
      <c r="B33" s="35"/>
      <c r="C33" s="230" t="s">
        <v>83</v>
      </c>
      <c r="D33" s="251">
        <v>2</v>
      </c>
      <c r="E33" s="257">
        <v>8.8300000000000003E-2</v>
      </c>
      <c r="G33" s="258">
        <v>44924</v>
      </c>
      <c r="H33" s="248"/>
      <c r="I33" s="247">
        <v>37691</v>
      </c>
      <c r="K33" s="231">
        <v>5000000</v>
      </c>
      <c r="S33" s="259">
        <v>92363.000000000029</v>
      </c>
      <c r="U33" s="231">
        <f>K33-M33-S33</f>
        <v>4907637</v>
      </c>
      <c r="W33" s="163">
        <f>YIELD(I33,G33,E33,U33/K33*100,100,2,0)</f>
        <v>9.0293815979527764E-2</v>
      </c>
      <c r="X33" s="35"/>
      <c r="Z33" s="251">
        <v>3</v>
      </c>
      <c r="AA33" s="260">
        <f>-PMT(W33,(YEAR(G33)-YEAR(I33)),S33)</f>
        <v>10340.693165648814</v>
      </c>
      <c r="AC33" s="230">
        <f t="shared" si="3"/>
        <v>26</v>
      </c>
      <c r="AF33" s="302"/>
    </row>
    <row r="34" spans="1:32" ht="13.15" customHeight="1">
      <c r="A34" s="230">
        <v>27</v>
      </c>
      <c r="B34" s="35"/>
      <c r="C34" s="230" t="s">
        <v>83</v>
      </c>
      <c r="D34" s="251">
        <v>2</v>
      </c>
      <c r="E34" s="261">
        <v>5.7169999999999999E-2</v>
      </c>
      <c r="F34" s="35"/>
      <c r="G34" s="262">
        <v>49004</v>
      </c>
      <c r="H34" s="35"/>
      <c r="I34" s="262">
        <v>40177</v>
      </c>
      <c r="J34" s="35"/>
      <c r="K34" s="83">
        <v>17000000</v>
      </c>
      <c r="L34" s="35"/>
      <c r="M34" s="83"/>
      <c r="N34" s="35"/>
      <c r="O34" s="35"/>
      <c r="P34" s="35"/>
      <c r="Q34" s="35"/>
      <c r="R34" s="35"/>
      <c r="S34" s="263">
        <v>1916297.1170360595</v>
      </c>
      <c r="T34" s="35"/>
      <c r="U34" s="231">
        <f>K34-M34-S34</f>
        <v>15083702.882963941</v>
      </c>
      <c r="V34" s="35"/>
      <c r="W34" s="163">
        <f>YIELD(I34,G34,E34,U34/K34*100,100,2,0)</f>
        <v>6.6608254872293382E-2</v>
      </c>
      <c r="Y34" s="83"/>
      <c r="Z34" s="251">
        <v>3</v>
      </c>
      <c r="AA34" s="83">
        <f>-PMT(W34,(YEAR(G34)-YEAR(I34)),S34)</f>
        <v>159445.77488649805</v>
      </c>
      <c r="AC34" s="230">
        <f t="shared" si="3"/>
        <v>27</v>
      </c>
      <c r="AD34" s="231"/>
      <c r="AF34" s="302"/>
    </row>
    <row r="35" spans="1:32">
      <c r="A35" s="230">
        <v>28</v>
      </c>
      <c r="C35" s="230" t="s">
        <v>83</v>
      </c>
      <c r="D35" s="251">
        <v>2</v>
      </c>
      <c r="E35" s="261">
        <v>6.5500000000000003E-2</v>
      </c>
      <c r="F35" s="35"/>
      <c r="G35" s="262">
        <v>48488</v>
      </c>
      <c r="H35" s="35"/>
      <c r="I35" s="262">
        <v>39813</v>
      </c>
      <c r="J35" s="35"/>
      <c r="K35" s="83">
        <v>66700000</v>
      </c>
      <c r="L35" s="35"/>
      <c r="M35" s="83"/>
      <c r="N35" s="35"/>
      <c r="O35" s="35"/>
      <c r="P35" s="35"/>
      <c r="Q35" s="35"/>
      <c r="R35" s="35"/>
      <c r="S35" s="263">
        <v>3709174.4508350072</v>
      </c>
      <c r="T35" s="35"/>
      <c r="U35" s="231">
        <f>K35-M35-S35</f>
        <v>62990825.549164996</v>
      </c>
      <c r="V35" s="35"/>
      <c r="W35" s="163">
        <f>YIELD(I35,G35,E35,U35/K35*100,100,2,0)</f>
        <v>7.0338383648514316E-2</v>
      </c>
      <c r="Y35" s="264"/>
      <c r="Z35" s="251">
        <v>3</v>
      </c>
      <c r="AA35" s="264">
        <f>-PMT(W35,(YEAR(G35)-YEAR(I35)),S35)</f>
        <v>324360.47034696245</v>
      </c>
      <c r="AC35" s="230">
        <f t="shared" si="3"/>
        <v>28</v>
      </c>
      <c r="AF35" s="302"/>
    </row>
    <row r="36" spans="1:32">
      <c r="A36" s="230">
        <v>29</v>
      </c>
      <c r="E36" s="230"/>
      <c r="G36" s="230"/>
      <c r="I36" s="230"/>
      <c r="K36" s="230"/>
      <c r="S36" s="230"/>
      <c r="U36" s="230"/>
      <c r="W36" s="163"/>
      <c r="Y36" s="231">
        <f>+SUM(Y29:Y35)</f>
        <v>2643700000</v>
      </c>
      <c r="AA36" s="260">
        <f>+SUM(AA29:AA35)</f>
        <v>131009398.9774954</v>
      </c>
      <c r="AC36" s="230">
        <f t="shared" si="3"/>
        <v>29</v>
      </c>
      <c r="AF36" s="302"/>
    </row>
    <row r="37" spans="1:32">
      <c r="A37" s="230">
        <v>30</v>
      </c>
      <c r="D37" s="251">
        <v>3</v>
      </c>
      <c r="E37" s="231" t="s">
        <v>139</v>
      </c>
      <c r="F37" s="253"/>
      <c r="K37" s="231">
        <v>100000000</v>
      </c>
      <c r="W37" s="226">
        <f>+'Exhibit No.  KJC-2 Page 5'!P20</f>
        <v>5.5769970666666661E-2</v>
      </c>
      <c r="Y37" s="265">
        <f>+K37</f>
        <v>100000000</v>
      </c>
      <c r="AA37" s="265">
        <f>+W37*Y37</f>
        <v>5576997.0666666664</v>
      </c>
      <c r="AC37" s="230">
        <f t="shared" si="3"/>
        <v>30</v>
      </c>
      <c r="AF37" s="302"/>
    </row>
    <row r="38" spans="1:32" ht="12" thickBot="1">
      <c r="A38" s="230">
        <v>31</v>
      </c>
      <c r="U38" s="266"/>
      <c r="W38" s="230"/>
      <c r="Y38" s="267">
        <f>SUM(Y36:Y37)</f>
        <v>2743700000</v>
      </c>
      <c r="AA38" s="267">
        <f>SUM(AA36:AA37)</f>
        <v>136586396.04416206</v>
      </c>
      <c r="AC38" s="230">
        <f t="shared" si="3"/>
        <v>31</v>
      </c>
    </row>
    <row r="39" spans="1:32" ht="12" thickTop="1">
      <c r="A39" s="230">
        <v>32</v>
      </c>
      <c r="U39" s="268"/>
      <c r="AC39" s="230">
        <f t="shared" si="3"/>
        <v>32</v>
      </c>
    </row>
    <row r="40" spans="1:32">
      <c r="A40" s="230">
        <v>33</v>
      </c>
      <c r="B40" s="251"/>
      <c r="F40" s="161" t="str">
        <f>"WASHINGTON'S TOTAL DEBT OUTSTANDING AND COST OF DEBT AT "&amp;TEXT(Y7,"mmmm d, yyyy")</f>
        <v>WASHINGTON'S TOTAL DEBT OUTSTANDING AND COST OF DEBT AT December 31, 2025</v>
      </c>
      <c r="R40" s="269"/>
      <c r="S40" s="160"/>
      <c r="T40" s="269"/>
      <c r="U40" s="265"/>
      <c r="V40" s="269"/>
      <c r="W40" s="228">
        <f>+AA38/Y38</f>
        <v>4.9781826017480796E-2</v>
      </c>
      <c r="Y40" s="230"/>
      <c r="AA40" s="230"/>
      <c r="AC40" s="230">
        <f t="shared" si="3"/>
        <v>33</v>
      </c>
    </row>
    <row r="41" spans="1:32">
      <c r="A41" s="230">
        <v>34</v>
      </c>
      <c r="B41" s="251"/>
      <c r="D41" s="246">
        <f>+F9</f>
        <v>1</v>
      </c>
      <c r="E41" s="231" t="s">
        <v>177</v>
      </c>
      <c r="U41" s="268"/>
      <c r="AC41" s="230">
        <f t="shared" si="3"/>
        <v>34</v>
      </c>
    </row>
    <row r="42" spans="1:32">
      <c r="A42" s="230">
        <v>35</v>
      </c>
      <c r="B42" s="251"/>
      <c r="D42" s="246">
        <f>+D31</f>
        <v>2</v>
      </c>
      <c r="E42" s="230" t="s">
        <v>178</v>
      </c>
      <c r="G42" s="230"/>
      <c r="U42" s="268"/>
      <c r="W42" s="158"/>
      <c r="AC42" s="230">
        <f t="shared" si="3"/>
        <v>35</v>
      </c>
    </row>
    <row r="43" spans="1:32" ht="12.75">
      <c r="A43" s="230">
        <v>36</v>
      </c>
      <c r="B43" s="251"/>
      <c r="D43" s="246">
        <f>+Z33</f>
        <v>3</v>
      </c>
      <c r="E43" s="231" t="s">
        <v>179</v>
      </c>
      <c r="I43" s="230"/>
      <c r="O43" s="365" t="s">
        <v>198</v>
      </c>
      <c r="P43" s="366"/>
      <c r="Q43" s="367"/>
      <c r="AC43" s="230">
        <f t="shared" si="3"/>
        <v>36</v>
      </c>
    </row>
    <row r="44" spans="1:32" ht="12.75">
      <c r="A44" s="230">
        <v>37</v>
      </c>
      <c r="B44" s="251"/>
      <c r="D44" s="253"/>
      <c r="K44" s="230"/>
      <c r="M44" s="230"/>
      <c r="O44" s="274" t="s">
        <v>180</v>
      </c>
      <c r="P44" s="275"/>
      <c r="Q44" s="276">
        <v>4.9913986062061655E-2</v>
      </c>
      <c r="S44" s="230"/>
      <c r="U44" s="230"/>
      <c r="Y44" s="230"/>
      <c r="AA44" s="230"/>
      <c r="AC44" s="230">
        <f t="shared" si="3"/>
        <v>37</v>
      </c>
    </row>
    <row r="45" spans="1:32" ht="12.75">
      <c r="A45" s="230">
        <v>38</v>
      </c>
      <c r="B45" s="251"/>
      <c r="D45" s="253"/>
      <c r="O45" s="274" t="s">
        <v>181</v>
      </c>
      <c r="P45" s="275"/>
      <c r="Q45" s="276">
        <v>4.9913986062061655E-2</v>
      </c>
      <c r="AC45" s="230">
        <f t="shared" si="3"/>
        <v>38</v>
      </c>
    </row>
    <row r="46" spans="1:32" ht="12.75">
      <c r="A46" s="230">
        <v>39</v>
      </c>
      <c r="B46" s="251"/>
      <c r="O46" s="274" t="s">
        <v>182</v>
      </c>
      <c r="P46" s="277"/>
      <c r="Q46" s="276">
        <v>4.9913986062061655E-2</v>
      </c>
      <c r="AC46" s="230">
        <f t="shared" si="3"/>
        <v>39</v>
      </c>
    </row>
    <row r="47" spans="1:32" ht="12.75">
      <c r="A47" s="230">
        <v>40</v>
      </c>
      <c r="B47" s="251"/>
      <c r="O47" s="274" t="s">
        <v>183</v>
      </c>
      <c r="P47" s="277"/>
      <c r="Q47" s="276">
        <v>4.9913986062061655E-2</v>
      </c>
      <c r="AC47" s="230">
        <f t="shared" si="3"/>
        <v>40</v>
      </c>
    </row>
    <row r="48" spans="1:32" ht="12.75">
      <c r="A48" s="230">
        <v>41</v>
      </c>
      <c r="B48" s="251"/>
      <c r="O48" s="274" t="s">
        <v>184</v>
      </c>
      <c r="P48" s="277"/>
      <c r="Q48" s="276">
        <v>4.9913986062061655E-2</v>
      </c>
      <c r="AC48" s="230">
        <f t="shared" si="3"/>
        <v>41</v>
      </c>
    </row>
    <row r="49" spans="1:29" ht="12.75">
      <c r="A49" s="230">
        <v>42</v>
      </c>
      <c r="B49" s="251"/>
      <c r="O49" s="274" t="s">
        <v>185</v>
      </c>
      <c r="P49" s="277"/>
      <c r="Q49" s="276">
        <v>4.9913986062061655E-2</v>
      </c>
      <c r="AC49" s="230">
        <f t="shared" si="3"/>
        <v>42</v>
      </c>
    </row>
    <row r="50" spans="1:29" ht="12.75">
      <c r="A50" s="230">
        <v>43</v>
      </c>
      <c r="B50" s="251"/>
      <c r="O50" s="274" t="s">
        <v>186</v>
      </c>
      <c r="P50" s="277"/>
      <c r="Q50" s="276">
        <v>4.9913986062061655E-2</v>
      </c>
      <c r="AC50" s="230">
        <f t="shared" si="3"/>
        <v>43</v>
      </c>
    </row>
    <row r="51" spans="1:29" ht="12.75">
      <c r="A51" s="230">
        <v>44</v>
      </c>
      <c r="G51" s="231"/>
      <c r="O51" s="274" t="s">
        <v>187</v>
      </c>
      <c r="P51" s="277"/>
      <c r="Q51" s="276">
        <v>4.9913986062061655E-2</v>
      </c>
    </row>
    <row r="52" spans="1:29" ht="12.75">
      <c r="A52" s="230">
        <v>45</v>
      </c>
      <c r="O52" s="274" t="s">
        <v>188</v>
      </c>
      <c r="P52" s="277"/>
      <c r="Q52" s="276">
        <v>4.9913986062061655E-2</v>
      </c>
    </row>
    <row r="53" spans="1:29" ht="12.75">
      <c r="A53" s="230">
        <v>46</v>
      </c>
      <c r="O53" s="274" t="s">
        <v>189</v>
      </c>
      <c r="P53" s="277"/>
      <c r="Q53" s="276">
        <v>4.9778082517007674E-2</v>
      </c>
    </row>
    <row r="54" spans="1:29" ht="12.75">
      <c r="A54" s="230">
        <v>47</v>
      </c>
      <c r="O54" s="274" t="s">
        <v>190</v>
      </c>
      <c r="P54" s="277"/>
      <c r="Q54" s="276">
        <v>4.9778082517007674E-2</v>
      </c>
    </row>
    <row r="55" spans="1:29" ht="12.75">
      <c r="A55" s="230">
        <v>48</v>
      </c>
      <c r="O55" s="274" t="s">
        <v>191</v>
      </c>
      <c r="P55" s="277"/>
      <c r="Q55" s="276">
        <v>4.9778082517007674E-2</v>
      </c>
    </row>
    <row r="56" spans="1:29" ht="13.5" thickBot="1">
      <c r="A56" s="230">
        <v>49</v>
      </c>
      <c r="O56" s="274"/>
      <c r="P56" s="277"/>
      <c r="Q56" s="276"/>
    </row>
    <row r="57" spans="1:29" ht="13.5" thickBot="1">
      <c r="A57" s="230">
        <v>50</v>
      </c>
      <c r="O57" s="297" t="s">
        <v>192</v>
      </c>
      <c r="P57" s="298"/>
      <c r="Q57" s="299">
        <f>+AVERAGE(Q44:Q55)</f>
        <v>4.9880010175798156E-2</v>
      </c>
    </row>
    <row r="58" spans="1:29" ht="12.75">
      <c r="A58" s="230">
        <v>51</v>
      </c>
      <c r="O58" s="278"/>
      <c r="P58" s="279"/>
      <c r="Q58" s="280"/>
    </row>
  </sheetData>
  <mergeCells count="4">
    <mergeCell ref="A1:AC1"/>
    <mergeCell ref="A2:AC2"/>
    <mergeCell ref="A3:AC3"/>
    <mergeCell ref="O43:Q43"/>
  </mergeCells>
  <conditionalFormatting sqref="G9:G15 I9:I15">
    <cfRule type="expression" dxfId="6" priority="3" stopIfTrue="1">
      <formula>(G9&lt;#REF!)</formula>
    </cfRule>
  </conditionalFormatting>
  <conditionalFormatting sqref="G16 I16">
    <cfRule type="expression" dxfId="5" priority="2" stopIfTrue="1">
      <formula>(G16&lt;#REF!)</formula>
    </cfRule>
  </conditionalFormatting>
  <conditionalFormatting sqref="G17:G30 I17:I30">
    <cfRule type="expression" dxfId="4" priority="1" stopIfTrue="1">
      <formula>(G17&lt;#REF!)</formula>
    </cfRule>
  </conditionalFormatting>
  <pageMargins left="0.48" right="0.48" top="0.75" bottom="0.5" header="0.5" footer="0.5"/>
  <pageSetup scale="73" orientation="landscape" r:id="rId1"/>
  <headerFooter alignWithMargins="0">
    <oddHeader>&amp;R Exh. KJC-2</oddHeader>
    <oddFooter>&amp;R&amp;8Page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32B8-F1F3-4B8F-9B44-4B8197620770}">
  <sheetPr>
    <pageSetUpPr fitToPage="1"/>
  </sheetPr>
  <dimension ref="A1:AK60"/>
  <sheetViews>
    <sheetView tabSelected="1" view="pageBreakPreview" zoomScaleNormal="100" zoomScaleSheetLayoutView="100" workbookViewId="0">
      <selection activeCell="R20" sqref="R20"/>
    </sheetView>
    <sheetView workbookViewId="1">
      <selection sqref="A1:AC1"/>
    </sheetView>
  </sheetViews>
  <sheetFormatPr defaultColWidth="11.42578125" defaultRowHeight="11.25"/>
  <cols>
    <col min="1" max="1" width="3.7109375" style="230" customWidth="1"/>
    <col min="2" max="2" width="1.7109375" style="230" customWidth="1"/>
    <col min="3" max="3" width="17.85546875" style="230" bestFit="1"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6" style="85" bestFit="1" customWidth="1"/>
    <col min="31" max="31" width="14.28515625" style="85" bestFit="1" customWidth="1"/>
    <col min="32" max="32" width="12.42578125" style="85" bestFit="1" customWidth="1"/>
    <col min="33" max="16384" width="11.42578125" style="85"/>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46387</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300" customFormat="1">
      <c r="A5" s="236"/>
      <c r="B5" s="236"/>
      <c r="C5" s="236"/>
      <c r="D5" s="236"/>
      <c r="E5" s="233"/>
      <c r="F5" s="236"/>
      <c r="G5" s="237"/>
      <c r="H5" s="236"/>
      <c r="I5" s="233"/>
      <c r="J5" s="236"/>
      <c r="K5" s="233"/>
      <c r="L5" s="236"/>
      <c r="M5" s="233"/>
      <c r="N5" s="236"/>
      <c r="O5" s="233"/>
      <c r="P5" s="236"/>
      <c r="Q5" s="233"/>
      <c r="R5" s="236"/>
      <c r="S5" s="233"/>
      <c r="T5" s="236"/>
      <c r="U5" s="233"/>
      <c r="V5" s="236"/>
      <c r="W5" s="238"/>
      <c r="X5" s="236"/>
      <c r="Y5" s="233" t="s">
        <v>45</v>
      </c>
      <c r="Z5" s="236"/>
      <c r="AA5" s="233"/>
      <c r="AB5" s="236"/>
      <c r="AC5" s="236"/>
    </row>
    <row r="6" spans="1:32" s="300" customFormat="1">
      <c r="A6" s="236" t="s">
        <v>46</v>
      </c>
      <c r="B6" s="236"/>
      <c r="C6" s="236"/>
      <c r="D6" s="236"/>
      <c r="E6" s="233" t="s">
        <v>47</v>
      </c>
      <c r="F6" s="236"/>
      <c r="G6" s="237" t="s">
        <v>48</v>
      </c>
      <c r="H6" s="236"/>
      <c r="I6" s="233" t="s">
        <v>49</v>
      </c>
      <c r="J6" s="236"/>
      <c r="K6" s="233" t="s">
        <v>45</v>
      </c>
      <c r="L6" s="236"/>
      <c r="M6" s="233" t="s">
        <v>50</v>
      </c>
      <c r="N6" s="236"/>
      <c r="O6" s="236" t="s">
        <v>51</v>
      </c>
      <c r="P6" s="236"/>
      <c r="Q6" s="236" t="s">
        <v>52</v>
      </c>
      <c r="R6" s="236"/>
      <c r="S6" s="236" t="s">
        <v>53</v>
      </c>
      <c r="T6" s="236"/>
      <c r="U6" s="233" t="s">
        <v>54</v>
      </c>
      <c r="V6" s="236"/>
      <c r="W6" s="238" t="s">
        <v>55</v>
      </c>
      <c r="X6" s="236"/>
      <c r="Y6" s="233" t="s">
        <v>56</v>
      </c>
      <c r="Z6" s="236"/>
      <c r="AA6" s="233" t="s">
        <v>57</v>
      </c>
      <c r="AB6" s="236"/>
      <c r="AC6" s="236" t="s">
        <v>46</v>
      </c>
    </row>
    <row r="7" spans="1:32" s="300" customFormat="1">
      <c r="A7" s="239" t="s">
        <v>58</v>
      </c>
      <c r="B7" s="236"/>
      <c r="C7" s="239" t="s">
        <v>59</v>
      </c>
      <c r="D7" s="236"/>
      <c r="E7" s="240" t="s">
        <v>60</v>
      </c>
      <c r="F7" s="239"/>
      <c r="G7" s="241" t="s">
        <v>61</v>
      </c>
      <c r="H7" s="236"/>
      <c r="I7" s="240" t="s">
        <v>61</v>
      </c>
      <c r="J7" s="236"/>
      <c r="K7" s="240" t="s">
        <v>38</v>
      </c>
      <c r="L7" s="236"/>
      <c r="M7" s="240" t="s">
        <v>62</v>
      </c>
      <c r="N7" s="236"/>
      <c r="O7" s="239" t="s">
        <v>63</v>
      </c>
      <c r="P7" s="236"/>
      <c r="Q7" s="239" t="s">
        <v>64</v>
      </c>
      <c r="R7" s="236"/>
      <c r="S7" s="239" t="s">
        <v>65</v>
      </c>
      <c r="T7" s="236"/>
      <c r="U7" s="240" t="s">
        <v>66</v>
      </c>
      <c r="V7" s="236"/>
      <c r="W7" s="242" t="s">
        <v>48</v>
      </c>
      <c r="X7" s="236"/>
      <c r="Y7" s="243">
        <f>+A3</f>
        <v>46387</v>
      </c>
      <c r="Z7" s="236"/>
      <c r="AA7" s="240" t="s">
        <v>40</v>
      </c>
      <c r="AB7" s="236"/>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v>5.0146000000000003E-2</v>
      </c>
      <c r="F9" s="246">
        <v>1</v>
      </c>
      <c r="G9" s="247">
        <v>50192</v>
      </c>
      <c r="H9" s="248"/>
      <c r="I9" s="247">
        <v>35584</v>
      </c>
      <c r="K9" s="249">
        <v>40000000</v>
      </c>
      <c r="L9" s="249"/>
      <c r="M9" s="249">
        <v>1296086</v>
      </c>
      <c r="N9" s="249"/>
      <c r="O9" s="249">
        <v>0</v>
      </c>
      <c r="P9" s="231"/>
      <c r="Q9" s="249">
        <v>0</v>
      </c>
      <c r="R9" s="249"/>
      <c r="S9" s="249">
        <v>-1769125</v>
      </c>
      <c r="T9" s="249"/>
      <c r="U9" s="249">
        <f t="shared" ref="U9:U12" si="0">IF(K9&gt;0,K9-SUM(M9:S9),0)</f>
        <v>40473039</v>
      </c>
      <c r="W9" s="165">
        <f>IF(K9&gt;0,YIELD(I9,G9,E9,U9/K9*100,100,2,0),"")</f>
        <v>4.9464290454782213E-2</v>
      </c>
      <c r="Y9" s="249">
        <f t="shared" ref="Y9:Y29" si="1">IF(G9&gt;$Y$7,K9,"")</f>
        <v>40000000</v>
      </c>
      <c r="Z9" s="249"/>
      <c r="AA9" s="249">
        <f t="shared" ref="AA9:AA29" si="2">IF(AND(G9&gt;$Y$7,K9&gt;0),Y9*W9,IF(G9&gt;$Y$7,M9/((YEAR(G9)-YEAR(I9))*12+MONTH(G9)-MONTH(I9))*12,0))</f>
        <v>1978571.6181912886</v>
      </c>
      <c r="AC9" s="230">
        <f t="shared" ref="AC9:AC51" si="3">+A9</f>
        <v>1</v>
      </c>
      <c r="AD9" s="158"/>
      <c r="AE9" s="166"/>
      <c r="AF9" s="159"/>
    </row>
    <row r="10" spans="1:32">
      <c r="A10" s="230">
        <v>2</v>
      </c>
      <c r="C10" s="230" t="s">
        <v>141</v>
      </c>
      <c r="D10" s="250"/>
      <c r="E10" s="245">
        <v>6.3700000000000007E-2</v>
      </c>
      <c r="F10" s="251"/>
      <c r="G10" s="247">
        <v>46923</v>
      </c>
      <c r="H10" s="252"/>
      <c r="I10" s="247">
        <v>35965</v>
      </c>
      <c r="J10" s="253"/>
      <c r="K10" s="249">
        <v>25000000</v>
      </c>
      <c r="L10" s="254"/>
      <c r="M10" s="249">
        <v>158303.79</v>
      </c>
      <c r="N10" s="254"/>
      <c r="O10" s="249">
        <v>0</v>
      </c>
      <c r="P10" s="255"/>
      <c r="Q10" s="249">
        <v>0</v>
      </c>
      <c r="R10" s="254"/>
      <c r="S10" s="249">
        <v>188649</v>
      </c>
      <c r="T10" s="254"/>
      <c r="U10" s="249">
        <f t="shared" si="0"/>
        <v>24653047.210000001</v>
      </c>
      <c r="V10" s="253"/>
      <c r="W10" s="165">
        <f t="shared" ref="W10:W21" si="4">IF(K10&gt;0,YIELD(I10,G10,E10,U10/K10*100,100,2,0),"")</f>
        <v>6.4754538518065133E-2</v>
      </c>
      <c r="X10" s="253"/>
      <c r="Y10" s="249">
        <f t="shared" si="1"/>
        <v>25000000</v>
      </c>
      <c r="Z10" s="254"/>
      <c r="AA10" s="249">
        <f t="shared" si="2"/>
        <v>1618863.4629516283</v>
      </c>
      <c r="AC10" s="230">
        <f t="shared" si="3"/>
        <v>2</v>
      </c>
      <c r="AD10" s="158"/>
      <c r="AE10" s="166"/>
      <c r="AF10" s="159"/>
    </row>
    <row r="11" spans="1:32">
      <c r="A11" s="230">
        <v>3</v>
      </c>
      <c r="C11" s="230" t="s">
        <v>79</v>
      </c>
      <c r="D11" s="250"/>
      <c r="E11" s="245">
        <v>6.25E-2</v>
      </c>
      <c r="F11" s="251"/>
      <c r="G11" s="247">
        <v>49644</v>
      </c>
      <c r="H11" s="252"/>
      <c r="I11" s="247">
        <v>38673</v>
      </c>
      <c r="J11" s="253"/>
      <c r="K11" s="249">
        <v>150000000</v>
      </c>
      <c r="L11" s="254"/>
      <c r="M11" s="249">
        <v>1812935.49</v>
      </c>
      <c r="N11" s="254"/>
      <c r="O11" s="249">
        <v>-4445000</v>
      </c>
      <c r="P11" s="255"/>
      <c r="Q11" s="249">
        <v>367500</v>
      </c>
      <c r="R11" s="254"/>
      <c r="S11" s="249">
        <v>1700376.3864715428</v>
      </c>
      <c r="T11" s="254"/>
      <c r="U11" s="249">
        <f t="shared" si="0"/>
        <v>150564188.12352845</v>
      </c>
      <c r="V11" s="253"/>
      <c r="W11" s="165">
        <f t="shared" si="4"/>
        <v>6.2219270186626811E-2</v>
      </c>
      <c r="X11" s="253"/>
      <c r="Y11" s="249">
        <f t="shared" si="1"/>
        <v>150000000</v>
      </c>
      <c r="Z11" s="254"/>
      <c r="AA11" s="249">
        <f t="shared" si="2"/>
        <v>9332890.5279940218</v>
      </c>
      <c r="AC11" s="230">
        <f t="shared" si="3"/>
        <v>3</v>
      </c>
      <c r="AD11" s="158"/>
      <c r="AE11" s="166"/>
      <c r="AF11" s="159"/>
    </row>
    <row r="12" spans="1:32">
      <c r="A12" s="230">
        <v>4</v>
      </c>
      <c r="C12" s="230" t="s">
        <v>80</v>
      </c>
      <c r="D12" s="250"/>
      <c r="E12" s="245">
        <v>5.7000000000000002E-2</v>
      </c>
      <c r="F12" s="251"/>
      <c r="G12" s="247">
        <v>50222</v>
      </c>
      <c r="H12" s="252"/>
      <c r="I12" s="247">
        <v>39066</v>
      </c>
      <c r="J12" s="253"/>
      <c r="K12" s="249">
        <v>150000000</v>
      </c>
      <c r="L12" s="254"/>
      <c r="M12" s="249">
        <v>4702304.129999999</v>
      </c>
      <c r="N12" s="254"/>
      <c r="O12" s="249">
        <v>3738000</v>
      </c>
      <c r="P12" s="255"/>
      <c r="Q12" s="249">
        <v>222000</v>
      </c>
      <c r="R12" s="254"/>
      <c r="S12" s="249">
        <v>0</v>
      </c>
      <c r="T12" s="254"/>
      <c r="U12" s="249">
        <f t="shared" si="0"/>
        <v>141337695.87</v>
      </c>
      <c r="V12" s="253"/>
      <c r="W12" s="165">
        <f t="shared" si="4"/>
        <v>6.1197829079802084E-2</v>
      </c>
      <c r="X12" s="253"/>
      <c r="Y12" s="249">
        <f t="shared" si="1"/>
        <v>150000000</v>
      </c>
      <c r="Z12" s="254"/>
      <c r="AA12" s="249">
        <f t="shared" si="2"/>
        <v>9179674.3619703129</v>
      </c>
      <c r="AC12" s="230">
        <f t="shared" si="3"/>
        <v>4</v>
      </c>
      <c r="AD12" s="158"/>
      <c r="AE12" s="166"/>
      <c r="AF12" s="159"/>
    </row>
    <row r="13" spans="1:32">
      <c r="A13" s="230">
        <v>6</v>
      </c>
      <c r="C13" s="230" t="s">
        <v>81</v>
      </c>
      <c r="E13" s="245">
        <v>5.5500000000000001E-2</v>
      </c>
      <c r="G13" s="247">
        <v>51490</v>
      </c>
      <c r="I13" s="247">
        <v>40532</v>
      </c>
      <c r="K13" s="249">
        <v>35000000</v>
      </c>
      <c r="L13" s="249"/>
      <c r="M13" s="249">
        <v>258833.51792323033</v>
      </c>
      <c r="N13" s="249"/>
      <c r="O13" s="249">
        <v>0</v>
      </c>
      <c r="Q13" s="249">
        <v>0</v>
      </c>
      <c r="R13" s="249"/>
      <c r="S13" s="249">
        <v>5263821.6495898366</v>
      </c>
      <c r="T13" s="249"/>
      <c r="U13" s="249">
        <f t="shared" ref="U13:U21" si="5">IF(K13&gt;0,K13-SUM(M13:S13),0)</f>
        <v>29477344.832486935</v>
      </c>
      <c r="W13" s="165">
        <f t="shared" si="4"/>
        <v>6.7882497516345841E-2</v>
      </c>
      <c r="Y13" s="249">
        <f t="shared" si="1"/>
        <v>35000000</v>
      </c>
      <c r="Z13" s="249"/>
      <c r="AA13" s="249">
        <f t="shared" si="2"/>
        <v>2375887.4130721046</v>
      </c>
      <c r="AC13" s="230">
        <f t="shared" si="3"/>
        <v>6</v>
      </c>
      <c r="AD13" s="224"/>
      <c r="AE13" s="166"/>
      <c r="AF13" s="159"/>
    </row>
    <row r="14" spans="1:32">
      <c r="A14" s="230">
        <v>7</v>
      </c>
      <c r="C14" s="230" t="s">
        <v>82</v>
      </c>
      <c r="E14" s="245">
        <v>4.4499999999999998E-2</v>
      </c>
      <c r="G14" s="247">
        <v>51849</v>
      </c>
      <c r="I14" s="247">
        <v>40891</v>
      </c>
      <c r="K14" s="249">
        <v>85000000</v>
      </c>
      <c r="L14" s="249"/>
      <c r="M14" s="249">
        <v>692833.13</v>
      </c>
      <c r="N14" s="249"/>
      <c r="O14" s="249">
        <v>10557000</v>
      </c>
      <c r="Q14" s="249">
        <v>0</v>
      </c>
      <c r="R14" s="249"/>
      <c r="S14" s="249">
        <v>0</v>
      </c>
      <c r="T14" s="249"/>
      <c r="U14" s="249">
        <f t="shared" si="5"/>
        <v>73750166.870000005</v>
      </c>
      <c r="W14" s="165">
        <f t="shared" si="4"/>
        <v>5.3398480565838784E-2</v>
      </c>
      <c r="Y14" s="249">
        <f t="shared" si="1"/>
        <v>85000000</v>
      </c>
      <c r="Z14" s="249"/>
      <c r="AA14" s="249">
        <f t="shared" si="2"/>
        <v>4538870.8480962962</v>
      </c>
      <c r="AC14" s="230">
        <f t="shared" si="3"/>
        <v>7</v>
      </c>
      <c r="AD14" s="224"/>
      <c r="AE14" s="166"/>
      <c r="AF14" s="159"/>
    </row>
    <row r="15" spans="1:32">
      <c r="A15" s="230">
        <v>8</v>
      </c>
      <c r="C15" s="230" t="s">
        <v>140</v>
      </c>
      <c r="E15" s="245">
        <v>4.2299999999999997E-2</v>
      </c>
      <c r="G15" s="247">
        <v>54025</v>
      </c>
      <c r="I15" s="247">
        <v>41243</v>
      </c>
      <c r="K15" s="249">
        <v>80000000</v>
      </c>
      <c r="L15" s="249"/>
      <c r="M15" s="249">
        <v>730832.49999999988</v>
      </c>
      <c r="N15" s="249"/>
      <c r="O15" s="249">
        <v>18546870</v>
      </c>
      <c r="Q15" s="249">
        <v>0</v>
      </c>
      <c r="R15" s="249"/>
      <c r="S15" s="249">
        <v>105020.45965535883</v>
      </c>
      <c r="T15" s="249"/>
      <c r="U15" s="249">
        <f t="shared" si="5"/>
        <v>60617277.040344641</v>
      </c>
      <c r="W15" s="165">
        <f t="shared" si="4"/>
        <v>5.8681663596242842E-2</v>
      </c>
      <c r="Y15" s="249">
        <f t="shared" si="1"/>
        <v>80000000</v>
      </c>
      <c r="Z15" s="249"/>
      <c r="AA15" s="249">
        <f t="shared" si="2"/>
        <v>4694533.0876994273</v>
      </c>
      <c r="AC15" s="230">
        <f t="shared" si="3"/>
        <v>8</v>
      </c>
      <c r="AD15" s="224"/>
      <c r="AF15" s="159"/>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si="5"/>
        <v>65000794.82</v>
      </c>
      <c r="W16" s="165">
        <f t="shared" si="4"/>
        <v>3.650066521046285E-2</v>
      </c>
      <c r="Y16" s="249">
        <f t="shared" si="1"/>
        <v>60000000</v>
      </c>
      <c r="Z16" s="249"/>
      <c r="AA16" s="249">
        <f t="shared" si="2"/>
        <v>2190039.912627771</v>
      </c>
      <c r="AC16" s="230">
        <f t="shared" si="3"/>
        <v>9</v>
      </c>
      <c r="AD16" s="223"/>
      <c r="AF16" s="159"/>
    </row>
    <row r="17" spans="1:32">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4"/>
        <v>5.0168887208326574E-2</v>
      </c>
      <c r="Y17" s="249">
        <f t="shared" si="1"/>
        <v>100000000</v>
      </c>
      <c r="Z17" s="249"/>
      <c r="AA17" s="249">
        <f t="shared" si="2"/>
        <v>5016888.7208326571</v>
      </c>
      <c r="AC17" s="230">
        <f t="shared" si="3"/>
        <v>10</v>
      </c>
      <c r="AD17" s="60"/>
      <c r="AF17" s="159"/>
    </row>
    <row r="18" spans="1:32">
      <c r="A18" s="230">
        <v>11</v>
      </c>
      <c r="C18" s="230" t="s">
        <v>172</v>
      </c>
      <c r="E18" s="245">
        <v>3.5400000000000001E-2</v>
      </c>
      <c r="G18" s="247">
        <v>55488</v>
      </c>
      <c r="I18" s="247">
        <v>42719</v>
      </c>
      <c r="K18" s="249">
        <v>175000000</v>
      </c>
      <c r="M18" s="249">
        <v>1042569.48</v>
      </c>
      <c r="O18" s="249">
        <v>53966197.25</v>
      </c>
      <c r="Q18" s="249">
        <v>0</v>
      </c>
      <c r="S18" s="249">
        <v>0</v>
      </c>
      <c r="U18" s="249">
        <f t="shared" si="5"/>
        <v>119991233.27000001</v>
      </c>
      <c r="W18" s="165">
        <f t="shared" si="4"/>
        <v>5.5983104331726943E-2</v>
      </c>
      <c r="Y18" s="249">
        <f t="shared" si="1"/>
        <v>175000000</v>
      </c>
      <c r="Z18" s="249"/>
      <c r="AA18" s="249">
        <f t="shared" si="2"/>
        <v>9797043.258052215</v>
      </c>
      <c r="AC18" s="230">
        <f t="shared" si="3"/>
        <v>11</v>
      </c>
      <c r="AD18" s="60"/>
      <c r="AF18" s="159"/>
    </row>
    <row r="19" spans="1:32">
      <c r="A19" s="230">
        <v>12</v>
      </c>
      <c r="C19" s="230" t="s">
        <v>166</v>
      </c>
      <c r="E19" s="245">
        <v>3.9100000000000003E-2</v>
      </c>
      <c r="G19" s="247">
        <v>54027</v>
      </c>
      <c r="I19" s="247">
        <v>43083</v>
      </c>
      <c r="K19" s="249">
        <v>90000000</v>
      </c>
      <c r="M19" s="249">
        <v>552538.96000000008</v>
      </c>
      <c r="O19" s="249">
        <v>8823321.5700000003</v>
      </c>
      <c r="Q19" s="249">
        <v>0</v>
      </c>
      <c r="S19" s="249">
        <v>0</v>
      </c>
      <c r="U19" s="249">
        <f t="shared" si="5"/>
        <v>80624139.469999999</v>
      </c>
      <c r="W19" s="165">
        <f t="shared" si="4"/>
        <v>4.5502447848242804E-2</v>
      </c>
      <c r="Y19" s="249">
        <f t="shared" si="1"/>
        <v>90000000</v>
      </c>
      <c r="Z19" s="249"/>
      <c r="AA19" s="249">
        <f t="shared" si="2"/>
        <v>4095220.3063418525</v>
      </c>
      <c r="AC19" s="230">
        <f t="shared" si="3"/>
        <v>12</v>
      </c>
      <c r="AD19" s="60"/>
      <c r="AF19" s="159"/>
    </row>
    <row r="20" spans="1:32">
      <c r="A20" s="230">
        <v>13</v>
      </c>
      <c r="C20" s="230" t="s">
        <v>167</v>
      </c>
      <c r="E20" s="245">
        <v>4.3499999999999997E-2</v>
      </c>
      <c r="G20" s="247">
        <v>54210</v>
      </c>
      <c r="I20" s="247">
        <v>43242</v>
      </c>
      <c r="K20" s="249">
        <v>375000000</v>
      </c>
      <c r="M20" s="249">
        <v>4246447.95</v>
      </c>
      <c r="O20" s="249">
        <v>26580102</v>
      </c>
      <c r="Q20" s="249">
        <v>378750</v>
      </c>
      <c r="S20" s="249">
        <v>0</v>
      </c>
      <c r="U20" s="249">
        <f t="shared" si="5"/>
        <v>343794700.05000001</v>
      </c>
      <c r="W20" s="165">
        <f t="shared" si="4"/>
        <v>4.8808927553560574E-2</v>
      </c>
      <c r="Y20" s="249">
        <f t="shared" si="1"/>
        <v>375000000</v>
      </c>
      <c r="Z20" s="249"/>
      <c r="AA20" s="249">
        <f t="shared" si="2"/>
        <v>18303347.832585216</v>
      </c>
      <c r="AC20" s="230">
        <f t="shared" si="3"/>
        <v>13</v>
      </c>
      <c r="AD20" s="60"/>
    </row>
    <row r="21" spans="1:32">
      <c r="A21" s="230">
        <v>14</v>
      </c>
      <c r="C21" s="230" t="s">
        <v>173</v>
      </c>
      <c r="E21" s="245">
        <v>3.4299999999999997E-2</v>
      </c>
      <c r="G21" s="247">
        <v>54758</v>
      </c>
      <c r="I21" s="247">
        <v>43795</v>
      </c>
      <c r="K21" s="249">
        <v>180000000</v>
      </c>
      <c r="M21" s="249">
        <v>1108340.2299999997</v>
      </c>
      <c r="O21" s="249">
        <v>13330106.050000001</v>
      </c>
      <c r="Q21" s="249">
        <v>0</v>
      </c>
      <c r="S21" s="249">
        <v>0</v>
      </c>
      <c r="U21" s="249">
        <f t="shared" si="5"/>
        <v>165561553.72</v>
      </c>
      <c r="W21" s="165">
        <f t="shared" si="4"/>
        <v>3.8849750081245867E-2</v>
      </c>
      <c r="Y21" s="249">
        <f t="shared" si="1"/>
        <v>180000000</v>
      </c>
      <c r="AA21" s="249">
        <f t="shared" si="2"/>
        <v>6992955.0146242557</v>
      </c>
      <c r="AC21" s="230">
        <f t="shared" si="3"/>
        <v>14</v>
      </c>
      <c r="AD21" s="60"/>
    </row>
    <row r="22" spans="1:32">
      <c r="A22" s="230">
        <v>15</v>
      </c>
      <c r="C22" s="230" t="s">
        <v>174</v>
      </c>
      <c r="E22" s="245">
        <v>3.0700000000000002E-2</v>
      </c>
      <c r="G22" s="247">
        <v>55061</v>
      </c>
      <c r="I22" s="247">
        <v>44104</v>
      </c>
      <c r="K22" s="249">
        <v>165000000</v>
      </c>
      <c r="M22" s="249">
        <v>1074990.1399999999</v>
      </c>
      <c r="O22" s="249">
        <v>33503118.890000001</v>
      </c>
      <c r="Q22" s="249">
        <v>0</v>
      </c>
      <c r="S22" s="249">
        <v>0</v>
      </c>
      <c r="U22" s="249">
        <f>IF(K22&gt;0,K22-SUM(M22:S22),0)</f>
        <v>130421890.97</v>
      </c>
      <c r="W22" s="165">
        <f>IF(K22&gt;0,YIELD(I22,G22,E22,U22/K22*100,100,2,0),"")</f>
        <v>4.323414388763628E-2</v>
      </c>
      <c r="Y22" s="249">
        <f t="shared" si="1"/>
        <v>165000000</v>
      </c>
      <c r="AA22" s="249">
        <f t="shared" si="2"/>
        <v>7133633.7414599862</v>
      </c>
      <c r="AC22" s="230">
        <f t="shared" si="3"/>
        <v>15</v>
      </c>
      <c r="AD22" s="60"/>
    </row>
    <row r="23" spans="1:32">
      <c r="A23" s="230">
        <v>16</v>
      </c>
      <c r="C23" s="230" t="s">
        <v>175</v>
      </c>
      <c r="E23" s="245">
        <v>2.9000000000000001E-2</v>
      </c>
      <c r="G23" s="247">
        <v>55427</v>
      </c>
      <c r="I23" s="247">
        <v>44467</v>
      </c>
      <c r="K23" s="249">
        <v>140000000</v>
      </c>
      <c r="M23" s="249">
        <v>1100000</v>
      </c>
      <c r="O23" s="249">
        <v>17244100</v>
      </c>
      <c r="Q23" s="249">
        <v>0</v>
      </c>
      <c r="S23" s="249">
        <v>0</v>
      </c>
      <c r="U23" s="249">
        <f>IF(K23&gt;0,K23-SUM(M23:S23),0)</f>
        <v>121655900</v>
      </c>
      <c r="W23" s="165">
        <f>IF(K23&gt;0,YIELD(I23,G23,E23,U23/K23*100,100,2,0),"")</f>
        <v>3.6194384822435866E-2</v>
      </c>
      <c r="Y23" s="249">
        <f t="shared" si="1"/>
        <v>140000000</v>
      </c>
      <c r="AA23" s="249">
        <f t="shared" si="2"/>
        <v>5067213.8751410209</v>
      </c>
      <c r="AC23" s="230">
        <f t="shared" si="3"/>
        <v>16</v>
      </c>
      <c r="AD23" s="60"/>
    </row>
    <row r="24" spans="1:32">
      <c r="A24" s="230">
        <v>17</v>
      </c>
      <c r="C24" s="230" t="s">
        <v>200</v>
      </c>
      <c r="E24" s="245">
        <v>0.04</v>
      </c>
      <c r="G24" s="247">
        <v>55610</v>
      </c>
      <c r="I24" s="247">
        <v>44637</v>
      </c>
      <c r="K24" s="249">
        <v>400000000</v>
      </c>
      <c r="M24" s="249">
        <v>4579992.8499999996</v>
      </c>
      <c r="O24" s="249">
        <v>17035229.649999999</v>
      </c>
      <c r="Q24" s="249"/>
      <c r="S24" s="249"/>
      <c r="U24" s="249">
        <f>IF(K24&gt;0,K24-SUM(M24:S24),0)</f>
        <v>378384777.5</v>
      </c>
      <c r="W24" s="165">
        <f>IF(K24&gt;0,YIELD(I24,G24,E24,U24/K24*100,100,2,0),"")</f>
        <v>4.3228862281406558E-2</v>
      </c>
      <c r="Y24" s="249">
        <f t="shared" si="1"/>
        <v>400000000</v>
      </c>
      <c r="AA24" s="249">
        <f t="shared" si="2"/>
        <v>17291544.912562624</v>
      </c>
      <c r="AC24" s="230">
        <f t="shared" si="3"/>
        <v>17</v>
      </c>
      <c r="AD24" s="60"/>
    </row>
    <row r="25" spans="1:32">
      <c r="A25" s="230">
        <v>18</v>
      </c>
      <c r="C25" s="230" t="s">
        <v>201</v>
      </c>
      <c r="E25" s="245">
        <v>5.6599999999999998E-2</v>
      </c>
      <c r="G25" s="247">
        <v>55975</v>
      </c>
      <c r="I25" s="247">
        <v>45014</v>
      </c>
      <c r="K25" s="249">
        <v>250000000</v>
      </c>
      <c r="M25" s="249">
        <v>1443848.52</v>
      </c>
      <c r="O25" s="249">
        <v>-7459930</v>
      </c>
      <c r="Q25" s="249"/>
      <c r="S25" s="249"/>
      <c r="U25" s="249">
        <f t="shared" ref="U25:U29" si="6">IF(K25&gt;0,K25-SUM(M25:S25),0)</f>
        <v>256016081.47999999</v>
      </c>
      <c r="W25" s="165">
        <f t="shared" ref="W25:W29" si="7">IF(K25&gt;0,YIELD(I25,G25,E25,U25/K25*100,100,2,0),"")</f>
        <v>5.4953710594270497E-2</v>
      </c>
      <c r="Y25" s="249">
        <f t="shared" si="1"/>
        <v>250000000</v>
      </c>
      <c r="AA25" s="249">
        <f t="shared" si="2"/>
        <v>13738427.648567624</v>
      </c>
      <c r="AC25" s="230">
        <f t="shared" si="3"/>
        <v>18</v>
      </c>
      <c r="AD25" s="60"/>
    </row>
    <row r="26" spans="1:32">
      <c r="A26" s="230">
        <v>19</v>
      </c>
      <c r="C26" s="230" t="s">
        <v>176</v>
      </c>
      <c r="E26" s="245">
        <v>4.9000000000000002E-2</v>
      </c>
      <c r="G26" s="247">
        <v>48488</v>
      </c>
      <c r="I26" s="247">
        <v>45352</v>
      </c>
      <c r="K26" s="249">
        <v>66700000</v>
      </c>
      <c r="M26" s="249">
        <v>500000</v>
      </c>
      <c r="O26" s="249">
        <v>-5522550</v>
      </c>
      <c r="Q26" s="249"/>
      <c r="S26" s="249"/>
      <c r="U26" s="249">
        <f t="shared" si="6"/>
        <v>71722550</v>
      </c>
      <c r="W26" s="165">
        <f t="shared" si="7"/>
        <v>3.8605348070218815E-2</v>
      </c>
      <c r="Y26" s="249">
        <f t="shared" si="1"/>
        <v>66700000</v>
      </c>
      <c r="AA26" s="249">
        <f t="shared" si="2"/>
        <v>2574976.7162835947</v>
      </c>
      <c r="AC26" s="230">
        <f t="shared" si="3"/>
        <v>19</v>
      </c>
      <c r="AD26" s="60"/>
    </row>
    <row r="27" spans="1:32">
      <c r="A27" s="230">
        <v>20</v>
      </c>
      <c r="C27" s="230" t="s">
        <v>176</v>
      </c>
      <c r="E27" s="245">
        <v>4.9000000000000002E-2</v>
      </c>
      <c r="G27" s="247">
        <v>49004</v>
      </c>
      <c r="I27" s="247">
        <v>45352</v>
      </c>
      <c r="K27" s="249">
        <v>17000000</v>
      </c>
      <c r="M27" s="249">
        <v>200000</v>
      </c>
      <c r="O27" s="249">
        <v>0</v>
      </c>
      <c r="Q27" s="249"/>
      <c r="S27" s="249"/>
      <c r="U27" s="249">
        <f t="shared" ref="U27" si="8">IF(K27&gt;0,K27-SUM(M27:S27),0)</f>
        <v>16800000</v>
      </c>
      <c r="W27" s="165">
        <f t="shared" ref="W27" si="9">IF(K27&gt;0,YIELD(I27,G27,E27,U27/K27*100,100,2,0),"")</f>
        <v>5.0513003695766986E-2</v>
      </c>
      <c r="Y27" s="249">
        <f t="shared" ref="Y27" si="10">IF(G27&gt;$Y$7,K27,"")</f>
        <v>17000000</v>
      </c>
      <c r="AA27" s="249">
        <f t="shared" ref="AA27" si="11">IF(AND(G27&gt;$Y$7,K27&gt;0),Y27*W27,IF(G27&gt;$Y$7,M27/((YEAR(G27)-YEAR(I27))*12+MONTH(G27)-MONTH(I27))*12,0))</f>
        <v>858721.06282803882</v>
      </c>
      <c r="AC27" s="230">
        <f t="shared" si="3"/>
        <v>20</v>
      </c>
      <c r="AD27" s="60"/>
    </row>
    <row r="28" spans="1:32">
      <c r="A28" s="230">
        <v>21</v>
      </c>
      <c r="C28" s="230" t="s">
        <v>176</v>
      </c>
      <c r="E28" s="245">
        <v>6.1089999999999998E-2</v>
      </c>
      <c r="G28" s="247">
        <v>56888</v>
      </c>
      <c r="I28" s="247">
        <v>45931</v>
      </c>
      <c r="K28" s="249">
        <v>60000000</v>
      </c>
      <c r="M28" s="249">
        <v>600000</v>
      </c>
      <c r="O28" s="249">
        <v>-856819</v>
      </c>
      <c r="Q28" s="249"/>
      <c r="S28" s="249"/>
      <c r="U28" s="249">
        <f t="shared" si="6"/>
        <v>60256819</v>
      </c>
      <c r="W28" s="165">
        <f t="shared" si="7"/>
        <v>6.0778096175334972E-2</v>
      </c>
      <c r="Y28" s="249">
        <f t="shared" si="1"/>
        <v>60000000</v>
      </c>
      <c r="AA28" s="249">
        <f t="shared" si="2"/>
        <v>3646685.7705200985</v>
      </c>
      <c r="AC28" s="230">
        <f t="shared" si="3"/>
        <v>21</v>
      </c>
      <c r="AD28" s="60"/>
    </row>
    <row r="29" spans="1:32">
      <c r="A29" s="230">
        <v>22</v>
      </c>
      <c r="C29" s="230" t="s">
        <v>176</v>
      </c>
      <c r="E29" s="245">
        <v>6.114E-2</v>
      </c>
      <c r="G29" s="247">
        <v>57254</v>
      </c>
      <c r="I29" s="247">
        <v>46296</v>
      </c>
      <c r="K29" s="249">
        <v>110000000</v>
      </c>
      <c r="M29" s="249">
        <v>1100000</v>
      </c>
      <c r="O29" s="249">
        <v>0</v>
      </c>
      <c r="U29" s="249">
        <f t="shared" si="6"/>
        <v>108900000</v>
      </c>
      <c r="W29" s="165">
        <f t="shared" si="7"/>
        <v>6.1877253351618845E-2</v>
      </c>
      <c r="Y29" s="249">
        <f t="shared" si="1"/>
        <v>110000000</v>
      </c>
      <c r="AA29" s="249">
        <f t="shared" si="2"/>
        <v>6806497.8686780734</v>
      </c>
      <c r="AC29" s="230">
        <f t="shared" si="3"/>
        <v>22</v>
      </c>
      <c r="AD29" s="60"/>
    </row>
    <row r="30" spans="1:32">
      <c r="A30" s="230">
        <v>23</v>
      </c>
      <c r="E30" s="245"/>
      <c r="G30" s="247"/>
      <c r="I30" s="247"/>
      <c r="K30" s="249"/>
      <c r="M30" s="249"/>
      <c r="O30" s="249"/>
      <c r="U30" s="249"/>
      <c r="W30" s="165"/>
      <c r="Y30" s="256">
        <f>+SUM(Y9:Y29)</f>
        <v>2753700000</v>
      </c>
      <c r="Z30" s="256"/>
      <c r="AA30" s="256">
        <f>+SUM(AA9:AA29)</f>
        <v>137232487.96108007</v>
      </c>
      <c r="AC30" s="230">
        <f t="shared" si="3"/>
        <v>23</v>
      </c>
    </row>
    <row r="31" spans="1:32">
      <c r="A31" s="230">
        <v>24</v>
      </c>
      <c r="E31" s="245"/>
      <c r="G31" s="247"/>
      <c r="I31" s="247"/>
      <c r="K31" s="249"/>
      <c r="M31" s="249"/>
      <c r="O31" s="249"/>
      <c r="U31" s="249"/>
      <c r="W31" s="165"/>
      <c r="Y31" s="164"/>
      <c r="Z31" s="164"/>
      <c r="AA31" s="164"/>
    </row>
    <row r="32" spans="1:32">
      <c r="A32" s="230">
        <v>25</v>
      </c>
      <c r="C32" s="230" t="s">
        <v>83</v>
      </c>
      <c r="D32" s="251">
        <v>2</v>
      </c>
      <c r="E32" s="257">
        <v>8.8499999999999995E-2</v>
      </c>
      <c r="G32" s="258">
        <v>46909</v>
      </c>
      <c r="H32" s="248"/>
      <c r="I32" s="247">
        <v>37400</v>
      </c>
      <c r="K32" s="231">
        <v>10000000</v>
      </c>
      <c r="S32" s="259">
        <v>-2228153</v>
      </c>
      <c r="U32" s="231">
        <f>K32-M32-S32</f>
        <v>12228153</v>
      </c>
      <c r="W32" s="163">
        <f>YIELD(I32,G32,E32,U32/K32*100,100,2,0)</f>
        <v>6.9809831044499712E-2</v>
      </c>
      <c r="Y32" s="164"/>
      <c r="AA32" s="260">
        <f>-PMT(W32,(YEAR(G32)-YEAR(I32)),S32)</f>
        <v>-188084.26632318582</v>
      </c>
      <c r="AC32" s="230">
        <f t="shared" si="3"/>
        <v>25</v>
      </c>
    </row>
    <row r="33" spans="1:37">
      <c r="A33" s="230">
        <v>26</v>
      </c>
      <c r="C33" s="230" t="s">
        <v>83</v>
      </c>
      <c r="D33" s="251">
        <v>2</v>
      </c>
      <c r="E33" s="257">
        <v>8.8300000000000003E-2</v>
      </c>
      <c r="G33" s="258">
        <v>46909</v>
      </c>
      <c r="H33" s="248"/>
      <c r="I33" s="247">
        <v>37714</v>
      </c>
      <c r="K33" s="231">
        <v>10000000</v>
      </c>
      <c r="S33" s="259">
        <v>-450768.99999999994</v>
      </c>
      <c r="U33" s="231">
        <f>K33-M33-S33</f>
        <v>10450769</v>
      </c>
      <c r="W33" s="163">
        <f>YIELD(I33,G33,E33,U33/K33*100,100,2,0)</f>
        <v>8.3949643464908075E-2</v>
      </c>
      <c r="X33" s="35"/>
      <c r="Z33" s="251">
        <v>3</v>
      </c>
      <c r="AA33" s="260">
        <f>-PMT(W33,(YEAR(G33)-YEAR(I33)),S33)</f>
        <v>-43661.153827584989</v>
      </c>
      <c r="AC33" s="230">
        <f t="shared" si="3"/>
        <v>26</v>
      </c>
      <c r="AD33" s="84"/>
    </row>
    <row r="34" spans="1:37">
      <c r="A34" s="230">
        <v>27</v>
      </c>
      <c r="B34" s="35"/>
      <c r="C34" s="230" t="s">
        <v>83</v>
      </c>
      <c r="D34" s="251">
        <v>2</v>
      </c>
      <c r="E34" s="261">
        <v>5.7169999999999999E-2</v>
      </c>
      <c r="F34" s="35"/>
      <c r="G34" s="262">
        <v>49004</v>
      </c>
      <c r="H34" s="35"/>
      <c r="I34" s="262">
        <v>40177</v>
      </c>
      <c r="J34" s="35"/>
      <c r="K34" s="83">
        <v>17000000</v>
      </c>
      <c r="L34" s="35"/>
      <c r="M34" s="83"/>
      <c r="N34" s="35"/>
      <c r="O34" s="35"/>
      <c r="P34" s="35"/>
      <c r="Q34" s="35"/>
      <c r="R34" s="35"/>
      <c r="S34" s="263">
        <v>1916297.1170360595</v>
      </c>
      <c r="T34" s="35"/>
      <c r="U34" s="231">
        <f>K34-M34-S34</f>
        <v>15083702.882963941</v>
      </c>
      <c r="V34" s="35"/>
      <c r="W34" s="163">
        <f>YIELD(I34,G34,E34,U34/K34*100,100,2,0)</f>
        <v>6.6608254872293382E-2</v>
      </c>
      <c r="Y34" s="83"/>
      <c r="Z34" s="251">
        <v>3</v>
      </c>
      <c r="AA34" s="83">
        <f>-PMT(W34,(YEAR(G34)-YEAR(I34)),S34)</f>
        <v>159445.77488649805</v>
      </c>
      <c r="AC34" s="230">
        <f t="shared" si="3"/>
        <v>27</v>
      </c>
      <c r="AD34" s="84"/>
    </row>
    <row r="35" spans="1:37" s="35" customFormat="1">
      <c r="A35" s="230">
        <v>28</v>
      </c>
      <c r="B35" s="230"/>
      <c r="C35" s="230" t="s">
        <v>83</v>
      </c>
      <c r="D35" s="251">
        <v>2</v>
      </c>
      <c r="E35" s="261">
        <v>6.5500000000000003E-2</v>
      </c>
      <c r="G35" s="262">
        <v>48488</v>
      </c>
      <c r="I35" s="262">
        <v>39813</v>
      </c>
      <c r="K35" s="83">
        <v>66700000</v>
      </c>
      <c r="M35" s="83"/>
      <c r="S35" s="263">
        <v>3709174.4508350072</v>
      </c>
      <c r="U35" s="231">
        <f>K35-M35-S35</f>
        <v>62990825.549164996</v>
      </c>
      <c r="W35" s="163">
        <f>YIELD(I35,G35,E35,U35/K35*100,100,2,0)</f>
        <v>7.0338383648514316E-2</v>
      </c>
      <c r="X35" s="230"/>
      <c r="Y35" s="264"/>
      <c r="Z35" s="251">
        <v>3</v>
      </c>
      <c r="AA35" s="264">
        <f>-PMT(W35,(YEAR(G35)-YEAR(I35)),S35)</f>
        <v>324360.47034696245</v>
      </c>
      <c r="AB35" s="230"/>
      <c r="AC35" s="230">
        <f t="shared" si="3"/>
        <v>28</v>
      </c>
      <c r="AD35" s="85"/>
      <c r="AH35" s="85"/>
      <c r="AI35" s="85"/>
      <c r="AJ35" s="83"/>
      <c r="AK35" s="83"/>
    </row>
    <row r="36" spans="1:37" s="35" customFormat="1">
      <c r="A36" s="230">
        <v>29</v>
      </c>
      <c r="B36" s="230"/>
      <c r="C36" s="230"/>
      <c r="D36" s="230"/>
      <c r="E36" s="230"/>
      <c r="F36" s="230"/>
      <c r="G36" s="230"/>
      <c r="H36" s="230"/>
      <c r="I36" s="230"/>
      <c r="J36" s="230"/>
      <c r="K36" s="230"/>
      <c r="L36" s="230"/>
      <c r="M36" s="231"/>
      <c r="N36" s="230"/>
      <c r="O36" s="231"/>
      <c r="P36" s="230"/>
      <c r="Q36" s="231"/>
      <c r="R36" s="230"/>
      <c r="S36" s="230"/>
      <c r="T36" s="230"/>
      <c r="U36" s="230"/>
      <c r="V36" s="230"/>
      <c r="W36" s="163"/>
      <c r="X36" s="230"/>
      <c r="Y36" s="231">
        <f>+SUM(Y30:Y35)</f>
        <v>2753700000</v>
      </c>
      <c r="Z36" s="251">
        <v>3</v>
      </c>
      <c r="AA36" s="260">
        <f>+SUM(AA30:AA35)</f>
        <v>137484548.78616276</v>
      </c>
      <c r="AB36" s="230"/>
      <c r="AC36" s="230">
        <f t="shared" si="3"/>
        <v>29</v>
      </c>
      <c r="AD36" s="85"/>
      <c r="AH36" s="85"/>
      <c r="AI36" s="85"/>
      <c r="AJ36" s="83"/>
      <c r="AK36" s="83"/>
    </row>
    <row r="37" spans="1:37">
      <c r="A37" s="230">
        <v>30</v>
      </c>
      <c r="D37" s="251">
        <v>3</v>
      </c>
      <c r="E37" s="231" t="s">
        <v>139</v>
      </c>
      <c r="F37" s="253"/>
      <c r="K37" s="231">
        <v>100000000</v>
      </c>
      <c r="W37" s="162">
        <v>5.3428000000000003E-2</v>
      </c>
      <c r="Y37" s="265">
        <f>+K37</f>
        <v>100000000</v>
      </c>
      <c r="AA37" s="265">
        <f>+W37*Y37</f>
        <v>5342800</v>
      </c>
      <c r="AC37" s="230">
        <f t="shared" si="3"/>
        <v>30</v>
      </c>
    </row>
    <row r="38" spans="1:37" ht="12.95" customHeight="1" thickBot="1">
      <c r="A38" s="230">
        <v>31</v>
      </c>
      <c r="U38" s="266"/>
      <c r="W38" s="230"/>
      <c r="Y38" s="267">
        <f>SUM(Y36:Y37)</f>
        <v>2853700000</v>
      </c>
      <c r="AA38" s="267">
        <f>SUM(AA36:AA37)</f>
        <v>142827348.78616276</v>
      </c>
      <c r="AC38" s="230">
        <f t="shared" si="3"/>
        <v>31</v>
      </c>
      <c r="AD38" s="86"/>
    </row>
    <row r="39" spans="1:37" ht="12" thickTop="1">
      <c r="A39" s="230">
        <v>32</v>
      </c>
      <c r="U39" s="268"/>
      <c r="AC39" s="230">
        <f t="shared" si="3"/>
        <v>32</v>
      </c>
    </row>
    <row r="40" spans="1:37">
      <c r="A40" s="230">
        <v>33</v>
      </c>
      <c r="B40" s="251"/>
      <c r="F40" s="161" t="str">
        <f>"WASHINGTON'S TOTAL DEBT OUTSTANDING AND COST OF DEBT AT "&amp;TEXT(Y7,"mmmm d, yyyy")</f>
        <v>WASHINGTON'S TOTAL DEBT OUTSTANDING AND COST OF DEBT AT December 31, 2026</v>
      </c>
      <c r="R40" s="269"/>
      <c r="S40" s="160"/>
      <c r="T40" s="269"/>
      <c r="U40" s="265"/>
      <c r="V40" s="269"/>
      <c r="W40" s="228">
        <f>AA38/Y38</f>
        <v>5.0049882183187712E-2</v>
      </c>
      <c r="X40" s="230" t="s">
        <v>196</v>
      </c>
      <c r="Y40" s="230"/>
      <c r="AA40" s="230"/>
      <c r="AC40" s="230">
        <f t="shared" si="3"/>
        <v>33</v>
      </c>
    </row>
    <row r="41" spans="1:37">
      <c r="A41" s="230">
        <v>34</v>
      </c>
      <c r="B41" s="251"/>
      <c r="D41" s="246">
        <f>+F9</f>
        <v>1</v>
      </c>
      <c r="E41" s="231" t="s">
        <v>177</v>
      </c>
      <c r="R41" s="306"/>
      <c r="S41" s="231" t="s">
        <v>202</v>
      </c>
      <c r="U41" s="268"/>
      <c r="AC41" s="230">
        <f t="shared" si="3"/>
        <v>34</v>
      </c>
    </row>
    <row r="42" spans="1:37">
      <c r="A42" s="230">
        <v>35</v>
      </c>
      <c r="B42" s="251"/>
      <c r="D42" s="246">
        <f>+D32</f>
        <v>2</v>
      </c>
      <c r="E42" s="230" t="s">
        <v>178</v>
      </c>
      <c r="G42" s="230"/>
      <c r="U42" s="268"/>
      <c r="W42" s="158"/>
      <c r="AC42" s="230">
        <f t="shared" si="3"/>
        <v>35</v>
      </c>
    </row>
    <row r="43" spans="1:37" ht="24.75" customHeight="1">
      <c r="A43" s="230">
        <v>36</v>
      </c>
      <c r="B43" s="251"/>
      <c r="D43" s="246">
        <f>+Z34</f>
        <v>3</v>
      </c>
      <c r="E43" s="231" t="s">
        <v>179</v>
      </c>
      <c r="I43" s="230"/>
      <c r="AC43" s="230">
        <f t="shared" si="3"/>
        <v>36</v>
      </c>
    </row>
    <row r="44" spans="1:37">
      <c r="A44" s="230">
        <v>37</v>
      </c>
      <c r="B44" s="251"/>
      <c r="D44" s="253"/>
      <c r="K44" s="230"/>
      <c r="Y44" s="230"/>
      <c r="AA44" s="230"/>
      <c r="AC44" s="230">
        <f t="shared" si="3"/>
        <v>37</v>
      </c>
    </row>
    <row r="45" spans="1:37" ht="12.75">
      <c r="A45" s="230">
        <v>38</v>
      </c>
      <c r="B45" s="251"/>
      <c r="D45" s="253"/>
      <c r="O45" s="365" t="s">
        <v>199</v>
      </c>
      <c r="P45" s="366"/>
      <c r="Q45" s="367"/>
      <c r="AC45" s="230">
        <f t="shared" si="3"/>
        <v>38</v>
      </c>
    </row>
    <row r="46" spans="1:37" ht="12.75">
      <c r="A46" s="230">
        <v>39</v>
      </c>
      <c r="B46" s="251"/>
      <c r="O46" s="274" t="s">
        <v>180</v>
      </c>
      <c r="P46" s="275"/>
      <c r="Q46" s="276">
        <v>4.9778082517007674E-2</v>
      </c>
      <c r="AC46" s="230">
        <f t="shared" si="3"/>
        <v>39</v>
      </c>
    </row>
    <row r="47" spans="1:37" ht="12.75">
      <c r="A47" s="230">
        <v>40</v>
      </c>
      <c r="B47" s="251"/>
      <c r="M47" s="230"/>
      <c r="O47" s="274" t="s">
        <v>181</v>
      </c>
      <c r="P47" s="275"/>
      <c r="Q47" s="276">
        <v>4.9778082517007674E-2</v>
      </c>
      <c r="AC47" s="230">
        <f t="shared" si="3"/>
        <v>40</v>
      </c>
    </row>
    <row r="48" spans="1:37" ht="12.75">
      <c r="A48" s="230">
        <v>41</v>
      </c>
      <c r="B48" s="251"/>
      <c r="O48" s="274" t="s">
        <v>182</v>
      </c>
      <c r="P48" s="277"/>
      <c r="Q48" s="276">
        <v>4.9778082517007674E-2</v>
      </c>
      <c r="AC48" s="230">
        <f t="shared" si="3"/>
        <v>41</v>
      </c>
    </row>
    <row r="49" spans="1:29" ht="12.75">
      <c r="A49" s="230">
        <v>42</v>
      </c>
      <c r="B49" s="251"/>
      <c r="O49" s="274" t="s">
        <v>183</v>
      </c>
      <c r="P49" s="277"/>
      <c r="Q49" s="276">
        <v>4.9778082517007674E-2</v>
      </c>
      <c r="AC49" s="230">
        <f t="shared" si="3"/>
        <v>42</v>
      </c>
    </row>
    <row r="50" spans="1:29" ht="12.75">
      <c r="A50" s="230">
        <v>43</v>
      </c>
      <c r="B50" s="251"/>
      <c r="O50" s="274" t="s">
        <v>184</v>
      </c>
      <c r="P50" s="277"/>
      <c r="Q50" s="276">
        <v>4.9778082517007674E-2</v>
      </c>
      <c r="AC50" s="230">
        <f t="shared" si="3"/>
        <v>43</v>
      </c>
    </row>
    <row r="51" spans="1:29" ht="12.75">
      <c r="A51" s="230">
        <v>44</v>
      </c>
      <c r="G51" s="231"/>
      <c r="O51" s="274" t="s">
        <v>185</v>
      </c>
      <c r="P51" s="277"/>
      <c r="Q51" s="276">
        <v>4.9778082517007674E-2</v>
      </c>
      <c r="AC51" s="230">
        <f t="shared" si="3"/>
        <v>44</v>
      </c>
    </row>
    <row r="52" spans="1:29" ht="12.75">
      <c r="A52" s="230">
        <v>45</v>
      </c>
      <c r="O52" s="274" t="s">
        <v>186</v>
      </c>
      <c r="P52" s="277"/>
      <c r="Q52" s="276">
        <v>4.9778082517007674E-2</v>
      </c>
    </row>
    <row r="53" spans="1:29" ht="12.75">
      <c r="A53" s="230">
        <v>46</v>
      </c>
      <c r="O53" s="274" t="s">
        <v>187</v>
      </c>
      <c r="P53" s="277"/>
      <c r="Q53" s="276">
        <v>4.9778082517007674E-2</v>
      </c>
    </row>
    <row r="54" spans="1:29" ht="12.75">
      <c r="A54" s="230">
        <v>47</v>
      </c>
      <c r="O54" s="274" t="s">
        <v>188</v>
      </c>
      <c r="P54" s="277"/>
      <c r="Q54" s="276">
        <v>4.9778082517007674E-2</v>
      </c>
    </row>
    <row r="55" spans="1:29" ht="12.75">
      <c r="A55" s="230">
        <v>48</v>
      </c>
      <c r="O55" s="274" t="s">
        <v>189</v>
      </c>
      <c r="P55" s="277"/>
      <c r="Q55" s="276">
        <v>5.004989283602438E-2</v>
      </c>
    </row>
    <row r="56" spans="1:29" ht="12.75">
      <c r="A56" s="230">
        <v>49</v>
      </c>
      <c r="O56" s="274" t="s">
        <v>190</v>
      </c>
      <c r="P56" s="277"/>
      <c r="Q56" s="276">
        <v>5.004989283602438E-2</v>
      </c>
      <c r="S56" s="85"/>
      <c r="T56" s="85"/>
      <c r="U56" s="85"/>
    </row>
    <row r="57" spans="1:29" ht="10.5" customHeight="1">
      <c r="A57" s="230">
        <v>50</v>
      </c>
      <c r="O57" s="274" t="s">
        <v>191</v>
      </c>
      <c r="P57" s="277"/>
      <c r="Q57" s="276">
        <v>5.004989283602438E-2</v>
      </c>
      <c r="S57" s="85"/>
      <c r="T57" s="85"/>
      <c r="U57" s="85"/>
    </row>
    <row r="58" spans="1:29" ht="5.25" customHeight="1" thickBot="1">
      <c r="A58" s="230">
        <v>51</v>
      </c>
      <c r="O58" s="274"/>
      <c r="P58" s="277"/>
      <c r="Q58" s="276"/>
      <c r="S58" s="85"/>
      <c r="T58" s="85"/>
      <c r="U58" s="85"/>
    </row>
    <row r="59" spans="1:29" ht="13.5" thickBot="1">
      <c r="A59" s="230">
        <v>52</v>
      </c>
      <c r="O59" s="297" t="s">
        <v>192</v>
      </c>
      <c r="P59" s="298"/>
      <c r="Q59" s="299">
        <f>+AVERAGE(Q46:Q57)</f>
        <v>4.9846035096761838E-2</v>
      </c>
    </row>
    <row r="60" spans="1:29" ht="12.75">
      <c r="O60" s="278"/>
      <c r="P60" s="279"/>
      <c r="Q60" s="280"/>
    </row>
  </sheetData>
  <mergeCells count="4">
    <mergeCell ref="A1:AC1"/>
    <mergeCell ref="A2:AC2"/>
    <mergeCell ref="A3:AC3"/>
    <mergeCell ref="O45:Q45"/>
  </mergeCells>
  <conditionalFormatting sqref="G9:G15 I9:I15">
    <cfRule type="expression" dxfId="3" priority="3" stopIfTrue="1">
      <formula>(G9&lt;#REF!)</formula>
    </cfRule>
  </conditionalFormatting>
  <conditionalFormatting sqref="G16 I16">
    <cfRule type="expression" dxfId="2" priority="2" stopIfTrue="1">
      <formula>(G16&lt;#REF!)</formula>
    </cfRule>
  </conditionalFormatting>
  <conditionalFormatting sqref="G17:G31 I17:I31">
    <cfRule type="expression" dxfId="1" priority="1" stopIfTrue="1">
      <formula>(G17&lt;#REF!)</formula>
    </cfRule>
  </conditionalFormatting>
  <pageMargins left="0.48" right="0.48" top="0.75" bottom="0.5" header="0.5" footer="0.5"/>
  <pageSetup scale="73" orientation="landscape" r:id="rId1"/>
  <headerFooter alignWithMargins="0">
    <oddHeader>&amp;R Exh. KJC-2</oddHeader>
    <oddFooter>&amp;R&amp;8Page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tabSelected="1" zoomScaleNormal="100" workbookViewId="0">
      <selection activeCell="R20" sqref="R20"/>
    </sheetView>
    <sheetView workbookViewId="1">
      <selection sqref="A1:P1"/>
    </sheetView>
  </sheetViews>
  <sheetFormatPr defaultRowHeight="12.75"/>
  <cols>
    <col min="1" max="1" width="3.28515625" style="57" bestFit="1" customWidth="1"/>
    <col min="2" max="2" width="33.5703125" style="57" customWidth="1"/>
    <col min="3" max="14" width="11.5703125" style="57" bestFit="1" customWidth="1"/>
    <col min="15" max="15" width="12" style="57" customWidth="1"/>
    <col min="16" max="16" width="11.5703125" style="57" bestFit="1" customWidth="1"/>
    <col min="17" max="17" width="1.5703125" style="57" customWidth="1"/>
    <col min="18" max="18" width="14.42578125" style="57" bestFit="1" customWidth="1"/>
    <col min="19" max="19" width="14" style="57" bestFit="1" customWidth="1"/>
    <col min="20" max="256" width="9.140625" style="57"/>
    <col min="257" max="257" width="4.7109375" style="57" customWidth="1"/>
    <col min="258" max="258" width="24.28515625" style="57" customWidth="1"/>
    <col min="259" max="259" width="8" style="57" customWidth="1"/>
    <col min="260" max="260" width="12.7109375" style="57" customWidth="1"/>
    <col min="261" max="261" width="10.140625" style="57" bestFit="1" customWidth="1"/>
    <col min="262" max="263" width="8.140625" style="57" customWidth="1"/>
    <col min="264" max="266" width="8.28515625" style="57" customWidth="1"/>
    <col min="267" max="268" width="8.42578125" style="57" customWidth="1"/>
    <col min="269" max="269" width="8.28515625" style="57" customWidth="1"/>
    <col min="270" max="270" width="8.140625" style="57" customWidth="1"/>
    <col min="271" max="271" width="8.28515625" style="57" customWidth="1"/>
    <col min="272" max="272" width="11.28515625" style="57" customWidth="1"/>
    <col min="273" max="273" width="9.85546875" style="57" bestFit="1" customWidth="1"/>
    <col min="274" max="512" width="9.140625" style="57"/>
    <col min="513" max="513" width="4.7109375" style="57" customWidth="1"/>
    <col min="514" max="514" width="24.28515625" style="57" customWidth="1"/>
    <col min="515" max="515" width="8" style="57" customWidth="1"/>
    <col min="516" max="516" width="12.7109375" style="57" customWidth="1"/>
    <col min="517" max="517" width="10.140625" style="57" bestFit="1" customWidth="1"/>
    <col min="518" max="519" width="8.140625" style="57" customWidth="1"/>
    <col min="520" max="522" width="8.28515625" style="57" customWidth="1"/>
    <col min="523" max="524" width="8.42578125" style="57" customWidth="1"/>
    <col min="525" max="525" width="8.28515625" style="57" customWidth="1"/>
    <col min="526" max="526" width="8.140625" style="57" customWidth="1"/>
    <col min="527" max="527" width="8.28515625" style="57" customWidth="1"/>
    <col min="528" max="528" width="11.28515625" style="57" customWidth="1"/>
    <col min="529" max="529" width="9.85546875" style="57" bestFit="1" customWidth="1"/>
    <col min="530" max="768" width="9.140625" style="57"/>
    <col min="769" max="769" width="4.7109375" style="57" customWidth="1"/>
    <col min="770" max="770" width="24.28515625" style="57" customWidth="1"/>
    <col min="771" max="771" width="8" style="57" customWidth="1"/>
    <col min="772" max="772" width="12.7109375" style="57" customWidth="1"/>
    <col min="773" max="773" width="10.140625" style="57" bestFit="1" customWidth="1"/>
    <col min="774" max="775" width="8.140625" style="57" customWidth="1"/>
    <col min="776" max="778" width="8.28515625" style="57" customWidth="1"/>
    <col min="779" max="780" width="8.42578125" style="57" customWidth="1"/>
    <col min="781" max="781" width="8.28515625" style="57" customWidth="1"/>
    <col min="782" max="782" width="8.140625" style="57" customWidth="1"/>
    <col min="783" max="783" width="8.28515625" style="57" customWidth="1"/>
    <col min="784" max="784" width="11.28515625" style="57" customWidth="1"/>
    <col min="785" max="785" width="9.85546875" style="57" bestFit="1" customWidth="1"/>
    <col min="786" max="1024" width="9.140625" style="57"/>
    <col min="1025" max="1025" width="4.7109375" style="57" customWidth="1"/>
    <col min="1026" max="1026" width="24.28515625" style="57" customWidth="1"/>
    <col min="1027" max="1027" width="8" style="57" customWidth="1"/>
    <col min="1028" max="1028" width="12.7109375" style="57" customWidth="1"/>
    <col min="1029" max="1029" width="10.140625" style="57" bestFit="1" customWidth="1"/>
    <col min="1030" max="1031" width="8.140625" style="57" customWidth="1"/>
    <col min="1032" max="1034" width="8.28515625" style="57" customWidth="1"/>
    <col min="1035" max="1036" width="8.42578125" style="57" customWidth="1"/>
    <col min="1037" max="1037" width="8.28515625" style="57" customWidth="1"/>
    <col min="1038" max="1038" width="8.140625" style="57" customWidth="1"/>
    <col min="1039" max="1039" width="8.28515625" style="57" customWidth="1"/>
    <col min="1040" max="1040" width="11.28515625" style="57" customWidth="1"/>
    <col min="1041" max="1041" width="9.85546875" style="57" bestFit="1" customWidth="1"/>
    <col min="1042" max="1280" width="9.140625" style="57"/>
    <col min="1281" max="1281" width="4.7109375" style="57" customWidth="1"/>
    <col min="1282" max="1282" width="24.28515625" style="57" customWidth="1"/>
    <col min="1283" max="1283" width="8" style="57" customWidth="1"/>
    <col min="1284" max="1284" width="12.7109375" style="57" customWidth="1"/>
    <col min="1285" max="1285" width="10.140625" style="57" bestFit="1" customWidth="1"/>
    <col min="1286" max="1287" width="8.140625" style="57" customWidth="1"/>
    <col min="1288" max="1290" width="8.28515625" style="57" customWidth="1"/>
    <col min="1291" max="1292" width="8.42578125" style="57" customWidth="1"/>
    <col min="1293" max="1293" width="8.28515625" style="57" customWidth="1"/>
    <col min="1294" max="1294" width="8.140625" style="57" customWidth="1"/>
    <col min="1295" max="1295" width="8.28515625" style="57" customWidth="1"/>
    <col min="1296" max="1296" width="11.28515625" style="57" customWidth="1"/>
    <col min="1297" max="1297" width="9.85546875" style="57" bestFit="1" customWidth="1"/>
    <col min="1298" max="1536" width="9.140625" style="57"/>
    <col min="1537" max="1537" width="4.7109375" style="57" customWidth="1"/>
    <col min="1538" max="1538" width="24.28515625" style="57" customWidth="1"/>
    <col min="1539" max="1539" width="8" style="57" customWidth="1"/>
    <col min="1540" max="1540" width="12.7109375" style="57" customWidth="1"/>
    <col min="1541" max="1541" width="10.140625" style="57" bestFit="1" customWidth="1"/>
    <col min="1542" max="1543" width="8.140625" style="57" customWidth="1"/>
    <col min="1544" max="1546" width="8.28515625" style="57" customWidth="1"/>
    <col min="1547" max="1548" width="8.42578125" style="57" customWidth="1"/>
    <col min="1549" max="1549" width="8.28515625" style="57" customWidth="1"/>
    <col min="1550" max="1550" width="8.140625" style="57" customWidth="1"/>
    <col min="1551" max="1551" width="8.28515625" style="57" customWidth="1"/>
    <col min="1552" max="1552" width="11.28515625" style="57" customWidth="1"/>
    <col min="1553" max="1553" width="9.85546875" style="57" bestFit="1" customWidth="1"/>
    <col min="1554" max="1792" width="9.140625" style="57"/>
    <col min="1793" max="1793" width="4.7109375" style="57" customWidth="1"/>
    <col min="1794" max="1794" width="24.28515625" style="57" customWidth="1"/>
    <col min="1795" max="1795" width="8" style="57" customWidth="1"/>
    <col min="1796" max="1796" width="12.7109375" style="57" customWidth="1"/>
    <col min="1797" max="1797" width="10.140625" style="57" bestFit="1" customWidth="1"/>
    <col min="1798" max="1799" width="8.140625" style="57" customWidth="1"/>
    <col min="1800" max="1802" width="8.28515625" style="57" customWidth="1"/>
    <col min="1803" max="1804" width="8.42578125" style="57" customWidth="1"/>
    <col min="1805" max="1805" width="8.28515625" style="57" customWidth="1"/>
    <col min="1806" max="1806" width="8.140625" style="57" customWidth="1"/>
    <col min="1807" max="1807" width="8.28515625" style="57" customWidth="1"/>
    <col min="1808" max="1808" width="11.28515625" style="57" customWidth="1"/>
    <col min="1809" max="1809" width="9.85546875" style="57" bestFit="1" customWidth="1"/>
    <col min="1810" max="2048" width="9.140625" style="57"/>
    <col min="2049" max="2049" width="4.7109375" style="57" customWidth="1"/>
    <col min="2050" max="2050" width="24.28515625" style="57" customWidth="1"/>
    <col min="2051" max="2051" width="8" style="57" customWidth="1"/>
    <col min="2052" max="2052" width="12.7109375" style="57" customWidth="1"/>
    <col min="2053" max="2053" width="10.140625" style="57" bestFit="1" customWidth="1"/>
    <col min="2054" max="2055" width="8.140625" style="57" customWidth="1"/>
    <col min="2056" max="2058" width="8.28515625" style="57" customWidth="1"/>
    <col min="2059" max="2060" width="8.42578125" style="57" customWidth="1"/>
    <col min="2061" max="2061" width="8.28515625" style="57" customWidth="1"/>
    <col min="2062" max="2062" width="8.140625" style="57" customWidth="1"/>
    <col min="2063" max="2063" width="8.28515625" style="57" customWidth="1"/>
    <col min="2064" max="2064" width="11.28515625" style="57" customWidth="1"/>
    <col min="2065" max="2065" width="9.85546875" style="57" bestFit="1" customWidth="1"/>
    <col min="2066" max="2304" width="9.140625" style="57"/>
    <col min="2305" max="2305" width="4.7109375" style="57" customWidth="1"/>
    <col min="2306" max="2306" width="24.28515625" style="57" customWidth="1"/>
    <col min="2307" max="2307" width="8" style="57" customWidth="1"/>
    <col min="2308" max="2308" width="12.7109375" style="57" customWidth="1"/>
    <col min="2309" max="2309" width="10.140625" style="57" bestFit="1" customWidth="1"/>
    <col min="2310" max="2311" width="8.140625" style="57" customWidth="1"/>
    <col min="2312" max="2314" width="8.28515625" style="57" customWidth="1"/>
    <col min="2315" max="2316" width="8.42578125" style="57" customWidth="1"/>
    <col min="2317" max="2317" width="8.28515625" style="57" customWidth="1"/>
    <col min="2318" max="2318" width="8.140625" style="57" customWidth="1"/>
    <col min="2319" max="2319" width="8.28515625" style="57" customWidth="1"/>
    <col min="2320" max="2320" width="11.28515625" style="57" customWidth="1"/>
    <col min="2321" max="2321" width="9.85546875" style="57" bestFit="1" customWidth="1"/>
    <col min="2322" max="2560" width="9.140625" style="57"/>
    <col min="2561" max="2561" width="4.7109375" style="57" customWidth="1"/>
    <col min="2562" max="2562" width="24.28515625" style="57" customWidth="1"/>
    <col min="2563" max="2563" width="8" style="57" customWidth="1"/>
    <col min="2564" max="2564" width="12.7109375" style="57" customWidth="1"/>
    <col min="2565" max="2565" width="10.140625" style="57" bestFit="1" customWidth="1"/>
    <col min="2566" max="2567" width="8.140625" style="57" customWidth="1"/>
    <col min="2568" max="2570" width="8.28515625" style="57" customWidth="1"/>
    <col min="2571" max="2572" width="8.42578125" style="57" customWidth="1"/>
    <col min="2573" max="2573" width="8.28515625" style="57" customWidth="1"/>
    <col min="2574" max="2574" width="8.140625" style="57" customWidth="1"/>
    <col min="2575" max="2575" width="8.28515625" style="57" customWidth="1"/>
    <col min="2576" max="2576" width="11.28515625" style="57" customWidth="1"/>
    <col min="2577" max="2577" width="9.85546875" style="57" bestFit="1" customWidth="1"/>
    <col min="2578" max="2816" width="9.140625" style="57"/>
    <col min="2817" max="2817" width="4.7109375" style="57" customWidth="1"/>
    <col min="2818" max="2818" width="24.28515625" style="57" customWidth="1"/>
    <col min="2819" max="2819" width="8" style="57" customWidth="1"/>
    <col min="2820" max="2820" width="12.7109375" style="57" customWidth="1"/>
    <col min="2821" max="2821" width="10.140625" style="57" bestFit="1" customWidth="1"/>
    <col min="2822" max="2823" width="8.140625" style="57" customWidth="1"/>
    <col min="2824" max="2826" width="8.28515625" style="57" customWidth="1"/>
    <col min="2827" max="2828" width="8.42578125" style="57" customWidth="1"/>
    <col min="2829" max="2829" width="8.28515625" style="57" customWidth="1"/>
    <col min="2830" max="2830" width="8.140625" style="57" customWidth="1"/>
    <col min="2831" max="2831" width="8.28515625" style="57" customWidth="1"/>
    <col min="2832" max="2832" width="11.28515625" style="57" customWidth="1"/>
    <col min="2833" max="2833" width="9.85546875" style="57" bestFit="1" customWidth="1"/>
    <col min="2834" max="3072" width="9.140625" style="57"/>
    <col min="3073" max="3073" width="4.7109375" style="57" customWidth="1"/>
    <col min="3074" max="3074" width="24.28515625" style="57" customWidth="1"/>
    <col min="3075" max="3075" width="8" style="57" customWidth="1"/>
    <col min="3076" max="3076" width="12.7109375" style="57" customWidth="1"/>
    <col min="3077" max="3077" width="10.140625" style="57" bestFit="1" customWidth="1"/>
    <col min="3078" max="3079" width="8.140625" style="57" customWidth="1"/>
    <col min="3080" max="3082" width="8.28515625" style="57" customWidth="1"/>
    <col min="3083" max="3084" width="8.42578125" style="57" customWidth="1"/>
    <col min="3085" max="3085" width="8.28515625" style="57" customWidth="1"/>
    <col min="3086" max="3086" width="8.140625" style="57" customWidth="1"/>
    <col min="3087" max="3087" width="8.28515625" style="57" customWidth="1"/>
    <col min="3088" max="3088" width="11.28515625" style="57" customWidth="1"/>
    <col min="3089" max="3089" width="9.85546875" style="57" bestFit="1" customWidth="1"/>
    <col min="3090" max="3328" width="9.140625" style="57"/>
    <col min="3329" max="3329" width="4.7109375" style="57" customWidth="1"/>
    <col min="3330" max="3330" width="24.28515625" style="57" customWidth="1"/>
    <col min="3331" max="3331" width="8" style="57" customWidth="1"/>
    <col min="3332" max="3332" width="12.7109375" style="57" customWidth="1"/>
    <col min="3333" max="3333" width="10.140625" style="57" bestFit="1" customWidth="1"/>
    <col min="3334" max="3335" width="8.140625" style="57" customWidth="1"/>
    <col min="3336" max="3338" width="8.28515625" style="57" customWidth="1"/>
    <col min="3339" max="3340" width="8.42578125" style="57" customWidth="1"/>
    <col min="3341" max="3341" width="8.28515625" style="57" customWidth="1"/>
    <col min="3342" max="3342" width="8.140625" style="57" customWidth="1"/>
    <col min="3343" max="3343" width="8.28515625" style="57" customWidth="1"/>
    <col min="3344" max="3344" width="11.28515625" style="57" customWidth="1"/>
    <col min="3345" max="3345" width="9.85546875" style="57" bestFit="1" customWidth="1"/>
    <col min="3346" max="3584" width="9.140625" style="57"/>
    <col min="3585" max="3585" width="4.7109375" style="57" customWidth="1"/>
    <col min="3586" max="3586" width="24.28515625" style="57" customWidth="1"/>
    <col min="3587" max="3587" width="8" style="57" customWidth="1"/>
    <col min="3588" max="3588" width="12.7109375" style="57" customWidth="1"/>
    <col min="3589" max="3589" width="10.140625" style="57" bestFit="1" customWidth="1"/>
    <col min="3590" max="3591" width="8.140625" style="57" customWidth="1"/>
    <col min="3592" max="3594" width="8.28515625" style="57" customWidth="1"/>
    <col min="3595" max="3596" width="8.42578125" style="57" customWidth="1"/>
    <col min="3597" max="3597" width="8.28515625" style="57" customWidth="1"/>
    <col min="3598" max="3598" width="8.140625" style="57" customWidth="1"/>
    <col min="3599" max="3599" width="8.28515625" style="57" customWidth="1"/>
    <col min="3600" max="3600" width="11.28515625" style="57" customWidth="1"/>
    <col min="3601" max="3601" width="9.85546875" style="57" bestFit="1" customWidth="1"/>
    <col min="3602" max="3840" width="9.140625" style="57"/>
    <col min="3841" max="3841" width="4.7109375" style="57" customWidth="1"/>
    <col min="3842" max="3842" width="24.28515625" style="57" customWidth="1"/>
    <col min="3843" max="3843" width="8" style="57" customWidth="1"/>
    <col min="3844" max="3844" width="12.7109375" style="57" customWidth="1"/>
    <col min="3845" max="3845" width="10.140625" style="57" bestFit="1" customWidth="1"/>
    <col min="3846" max="3847" width="8.140625" style="57" customWidth="1"/>
    <col min="3848" max="3850" width="8.28515625" style="57" customWidth="1"/>
    <col min="3851" max="3852" width="8.42578125" style="57" customWidth="1"/>
    <col min="3853" max="3853" width="8.28515625" style="57" customWidth="1"/>
    <col min="3854" max="3854" width="8.140625" style="57" customWidth="1"/>
    <col min="3855" max="3855" width="8.28515625" style="57" customWidth="1"/>
    <col min="3856" max="3856" width="11.28515625" style="57" customWidth="1"/>
    <col min="3857" max="3857" width="9.85546875" style="57" bestFit="1" customWidth="1"/>
    <col min="3858" max="4096" width="9.140625" style="57"/>
    <col min="4097" max="4097" width="4.7109375" style="57" customWidth="1"/>
    <col min="4098" max="4098" width="24.28515625" style="57" customWidth="1"/>
    <col min="4099" max="4099" width="8" style="57" customWidth="1"/>
    <col min="4100" max="4100" width="12.7109375" style="57" customWidth="1"/>
    <col min="4101" max="4101" width="10.140625" style="57" bestFit="1" customWidth="1"/>
    <col min="4102" max="4103" width="8.140625" style="57" customWidth="1"/>
    <col min="4104" max="4106" width="8.28515625" style="57" customWidth="1"/>
    <col min="4107" max="4108" width="8.42578125" style="57" customWidth="1"/>
    <col min="4109" max="4109" width="8.28515625" style="57" customWidth="1"/>
    <col min="4110" max="4110" width="8.140625" style="57" customWidth="1"/>
    <col min="4111" max="4111" width="8.28515625" style="57" customWidth="1"/>
    <col min="4112" max="4112" width="11.28515625" style="57" customWidth="1"/>
    <col min="4113" max="4113" width="9.85546875" style="57" bestFit="1" customWidth="1"/>
    <col min="4114" max="4352" width="9.140625" style="57"/>
    <col min="4353" max="4353" width="4.7109375" style="57" customWidth="1"/>
    <col min="4354" max="4354" width="24.28515625" style="57" customWidth="1"/>
    <col min="4355" max="4355" width="8" style="57" customWidth="1"/>
    <col min="4356" max="4356" width="12.7109375" style="57" customWidth="1"/>
    <col min="4357" max="4357" width="10.140625" style="57" bestFit="1" customWidth="1"/>
    <col min="4358" max="4359" width="8.140625" style="57" customWidth="1"/>
    <col min="4360" max="4362" width="8.28515625" style="57" customWidth="1"/>
    <col min="4363" max="4364" width="8.42578125" style="57" customWidth="1"/>
    <col min="4365" max="4365" width="8.28515625" style="57" customWidth="1"/>
    <col min="4366" max="4366" width="8.140625" style="57" customWidth="1"/>
    <col min="4367" max="4367" width="8.28515625" style="57" customWidth="1"/>
    <col min="4368" max="4368" width="11.28515625" style="57" customWidth="1"/>
    <col min="4369" max="4369" width="9.85546875" style="57" bestFit="1" customWidth="1"/>
    <col min="4370" max="4608" width="9.140625" style="57"/>
    <col min="4609" max="4609" width="4.7109375" style="57" customWidth="1"/>
    <col min="4610" max="4610" width="24.28515625" style="57" customWidth="1"/>
    <col min="4611" max="4611" width="8" style="57" customWidth="1"/>
    <col min="4612" max="4612" width="12.7109375" style="57" customWidth="1"/>
    <col min="4613" max="4613" width="10.140625" style="57" bestFit="1" customWidth="1"/>
    <col min="4614" max="4615" width="8.140625" style="57" customWidth="1"/>
    <col min="4616" max="4618" width="8.28515625" style="57" customWidth="1"/>
    <col min="4619" max="4620" width="8.42578125" style="57" customWidth="1"/>
    <col min="4621" max="4621" width="8.28515625" style="57" customWidth="1"/>
    <col min="4622" max="4622" width="8.140625" style="57" customWidth="1"/>
    <col min="4623" max="4623" width="8.28515625" style="57" customWidth="1"/>
    <col min="4624" max="4624" width="11.28515625" style="57" customWidth="1"/>
    <col min="4625" max="4625" width="9.85546875" style="57" bestFit="1" customWidth="1"/>
    <col min="4626" max="4864" width="9.140625" style="57"/>
    <col min="4865" max="4865" width="4.7109375" style="57" customWidth="1"/>
    <col min="4866" max="4866" width="24.28515625" style="57" customWidth="1"/>
    <col min="4867" max="4867" width="8" style="57" customWidth="1"/>
    <col min="4868" max="4868" width="12.7109375" style="57" customWidth="1"/>
    <col min="4869" max="4869" width="10.140625" style="57" bestFit="1" customWidth="1"/>
    <col min="4870" max="4871" width="8.140625" style="57" customWidth="1"/>
    <col min="4872" max="4874" width="8.28515625" style="57" customWidth="1"/>
    <col min="4875" max="4876" width="8.42578125" style="57" customWidth="1"/>
    <col min="4877" max="4877" width="8.28515625" style="57" customWidth="1"/>
    <col min="4878" max="4878" width="8.140625" style="57" customWidth="1"/>
    <col min="4879" max="4879" width="8.28515625" style="57" customWidth="1"/>
    <col min="4880" max="4880" width="11.28515625" style="57" customWidth="1"/>
    <col min="4881" max="4881" width="9.85546875" style="57" bestFit="1" customWidth="1"/>
    <col min="4882" max="5120" width="9.140625" style="57"/>
    <col min="5121" max="5121" width="4.7109375" style="57" customWidth="1"/>
    <col min="5122" max="5122" width="24.28515625" style="57" customWidth="1"/>
    <col min="5123" max="5123" width="8" style="57" customWidth="1"/>
    <col min="5124" max="5124" width="12.7109375" style="57" customWidth="1"/>
    <col min="5125" max="5125" width="10.140625" style="57" bestFit="1" customWidth="1"/>
    <col min="5126" max="5127" width="8.140625" style="57" customWidth="1"/>
    <col min="5128" max="5130" width="8.28515625" style="57" customWidth="1"/>
    <col min="5131" max="5132" width="8.42578125" style="57" customWidth="1"/>
    <col min="5133" max="5133" width="8.28515625" style="57" customWidth="1"/>
    <col min="5134" max="5134" width="8.140625" style="57" customWidth="1"/>
    <col min="5135" max="5135" width="8.28515625" style="57" customWidth="1"/>
    <col min="5136" max="5136" width="11.28515625" style="57" customWidth="1"/>
    <col min="5137" max="5137" width="9.85546875" style="57" bestFit="1" customWidth="1"/>
    <col min="5138" max="5376" width="9.140625" style="57"/>
    <col min="5377" max="5377" width="4.7109375" style="57" customWidth="1"/>
    <col min="5378" max="5378" width="24.28515625" style="57" customWidth="1"/>
    <col min="5379" max="5379" width="8" style="57" customWidth="1"/>
    <col min="5380" max="5380" width="12.7109375" style="57" customWidth="1"/>
    <col min="5381" max="5381" width="10.140625" style="57" bestFit="1" customWidth="1"/>
    <col min="5382" max="5383" width="8.140625" style="57" customWidth="1"/>
    <col min="5384" max="5386" width="8.28515625" style="57" customWidth="1"/>
    <col min="5387" max="5388" width="8.42578125" style="57" customWidth="1"/>
    <col min="5389" max="5389" width="8.28515625" style="57" customWidth="1"/>
    <col min="5390" max="5390" width="8.140625" style="57" customWidth="1"/>
    <col min="5391" max="5391" width="8.28515625" style="57" customWidth="1"/>
    <col min="5392" max="5392" width="11.28515625" style="57" customWidth="1"/>
    <col min="5393" max="5393" width="9.85546875" style="57" bestFit="1" customWidth="1"/>
    <col min="5394" max="5632" width="9.140625" style="57"/>
    <col min="5633" max="5633" width="4.7109375" style="57" customWidth="1"/>
    <col min="5634" max="5634" width="24.28515625" style="57" customWidth="1"/>
    <col min="5635" max="5635" width="8" style="57" customWidth="1"/>
    <col min="5636" max="5636" width="12.7109375" style="57" customWidth="1"/>
    <col min="5637" max="5637" width="10.140625" style="57" bestFit="1" customWidth="1"/>
    <col min="5638" max="5639" width="8.140625" style="57" customWidth="1"/>
    <col min="5640" max="5642" width="8.28515625" style="57" customWidth="1"/>
    <col min="5643" max="5644" width="8.42578125" style="57" customWidth="1"/>
    <col min="5645" max="5645" width="8.28515625" style="57" customWidth="1"/>
    <col min="5646" max="5646" width="8.140625" style="57" customWidth="1"/>
    <col min="5647" max="5647" width="8.28515625" style="57" customWidth="1"/>
    <col min="5648" max="5648" width="11.28515625" style="57" customWidth="1"/>
    <col min="5649" max="5649" width="9.85546875" style="57" bestFit="1" customWidth="1"/>
    <col min="5650" max="5888" width="9.140625" style="57"/>
    <col min="5889" max="5889" width="4.7109375" style="57" customWidth="1"/>
    <col min="5890" max="5890" width="24.28515625" style="57" customWidth="1"/>
    <col min="5891" max="5891" width="8" style="57" customWidth="1"/>
    <col min="5892" max="5892" width="12.7109375" style="57" customWidth="1"/>
    <col min="5893" max="5893" width="10.140625" style="57" bestFit="1" customWidth="1"/>
    <col min="5894" max="5895" width="8.140625" style="57" customWidth="1"/>
    <col min="5896" max="5898" width="8.28515625" style="57" customWidth="1"/>
    <col min="5899" max="5900" width="8.42578125" style="57" customWidth="1"/>
    <col min="5901" max="5901" width="8.28515625" style="57" customWidth="1"/>
    <col min="5902" max="5902" width="8.140625" style="57" customWidth="1"/>
    <col min="5903" max="5903" width="8.28515625" style="57" customWidth="1"/>
    <col min="5904" max="5904" width="11.28515625" style="57" customWidth="1"/>
    <col min="5905" max="5905" width="9.85546875" style="57" bestFit="1" customWidth="1"/>
    <col min="5906" max="6144" width="9.140625" style="57"/>
    <col min="6145" max="6145" width="4.7109375" style="57" customWidth="1"/>
    <col min="6146" max="6146" width="24.28515625" style="57" customWidth="1"/>
    <col min="6147" max="6147" width="8" style="57" customWidth="1"/>
    <col min="6148" max="6148" width="12.7109375" style="57" customWidth="1"/>
    <col min="6149" max="6149" width="10.140625" style="57" bestFit="1" customWidth="1"/>
    <col min="6150" max="6151" width="8.140625" style="57" customWidth="1"/>
    <col min="6152" max="6154" width="8.28515625" style="57" customWidth="1"/>
    <col min="6155" max="6156" width="8.42578125" style="57" customWidth="1"/>
    <col min="6157" max="6157" width="8.28515625" style="57" customWidth="1"/>
    <col min="6158" max="6158" width="8.140625" style="57" customWidth="1"/>
    <col min="6159" max="6159" width="8.28515625" style="57" customWidth="1"/>
    <col min="6160" max="6160" width="11.28515625" style="57" customWidth="1"/>
    <col min="6161" max="6161" width="9.85546875" style="57" bestFit="1" customWidth="1"/>
    <col min="6162" max="6400" width="9.140625" style="57"/>
    <col min="6401" max="6401" width="4.7109375" style="57" customWidth="1"/>
    <col min="6402" max="6402" width="24.28515625" style="57" customWidth="1"/>
    <col min="6403" max="6403" width="8" style="57" customWidth="1"/>
    <col min="6404" max="6404" width="12.7109375" style="57" customWidth="1"/>
    <col min="6405" max="6405" width="10.140625" style="57" bestFit="1" customWidth="1"/>
    <col min="6406" max="6407" width="8.140625" style="57" customWidth="1"/>
    <col min="6408" max="6410" width="8.28515625" style="57" customWidth="1"/>
    <col min="6411" max="6412" width="8.42578125" style="57" customWidth="1"/>
    <col min="6413" max="6413" width="8.28515625" style="57" customWidth="1"/>
    <col min="6414" max="6414" width="8.140625" style="57" customWidth="1"/>
    <col min="6415" max="6415" width="8.28515625" style="57" customWidth="1"/>
    <col min="6416" max="6416" width="11.28515625" style="57" customWidth="1"/>
    <col min="6417" max="6417" width="9.85546875" style="57" bestFit="1" customWidth="1"/>
    <col min="6418" max="6656" width="9.140625" style="57"/>
    <col min="6657" max="6657" width="4.7109375" style="57" customWidth="1"/>
    <col min="6658" max="6658" width="24.28515625" style="57" customWidth="1"/>
    <col min="6659" max="6659" width="8" style="57" customWidth="1"/>
    <col min="6660" max="6660" width="12.7109375" style="57" customWidth="1"/>
    <col min="6661" max="6661" width="10.140625" style="57" bestFit="1" customWidth="1"/>
    <col min="6662" max="6663" width="8.140625" style="57" customWidth="1"/>
    <col min="6664" max="6666" width="8.28515625" style="57" customWidth="1"/>
    <col min="6667" max="6668" width="8.42578125" style="57" customWidth="1"/>
    <col min="6669" max="6669" width="8.28515625" style="57" customWidth="1"/>
    <col min="6670" max="6670" width="8.140625" style="57" customWidth="1"/>
    <col min="6671" max="6671" width="8.28515625" style="57" customWidth="1"/>
    <col min="6672" max="6672" width="11.28515625" style="57" customWidth="1"/>
    <col min="6673" max="6673" width="9.85546875" style="57" bestFit="1" customWidth="1"/>
    <col min="6674" max="6912" width="9.140625" style="57"/>
    <col min="6913" max="6913" width="4.7109375" style="57" customWidth="1"/>
    <col min="6914" max="6914" width="24.28515625" style="57" customWidth="1"/>
    <col min="6915" max="6915" width="8" style="57" customWidth="1"/>
    <col min="6916" max="6916" width="12.7109375" style="57" customWidth="1"/>
    <col min="6917" max="6917" width="10.140625" style="57" bestFit="1" customWidth="1"/>
    <col min="6918" max="6919" width="8.140625" style="57" customWidth="1"/>
    <col min="6920" max="6922" width="8.28515625" style="57" customWidth="1"/>
    <col min="6923" max="6924" width="8.42578125" style="57" customWidth="1"/>
    <col min="6925" max="6925" width="8.28515625" style="57" customWidth="1"/>
    <col min="6926" max="6926" width="8.140625" style="57" customWidth="1"/>
    <col min="6927" max="6927" width="8.28515625" style="57" customWidth="1"/>
    <col min="6928" max="6928" width="11.28515625" style="57" customWidth="1"/>
    <col min="6929" max="6929" width="9.85546875" style="57" bestFit="1" customWidth="1"/>
    <col min="6930" max="7168" width="9.140625" style="57"/>
    <col min="7169" max="7169" width="4.7109375" style="57" customWidth="1"/>
    <col min="7170" max="7170" width="24.28515625" style="57" customWidth="1"/>
    <col min="7171" max="7171" width="8" style="57" customWidth="1"/>
    <col min="7172" max="7172" width="12.7109375" style="57" customWidth="1"/>
    <col min="7173" max="7173" width="10.140625" style="57" bestFit="1" customWidth="1"/>
    <col min="7174" max="7175" width="8.140625" style="57" customWidth="1"/>
    <col min="7176" max="7178" width="8.28515625" style="57" customWidth="1"/>
    <col min="7179" max="7180" width="8.42578125" style="57" customWidth="1"/>
    <col min="7181" max="7181" width="8.28515625" style="57" customWidth="1"/>
    <col min="7182" max="7182" width="8.140625" style="57" customWidth="1"/>
    <col min="7183" max="7183" width="8.28515625" style="57" customWidth="1"/>
    <col min="7184" max="7184" width="11.28515625" style="57" customWidth="1"/>
    <col min="7185" max="7185" width="9.85546875" style="57" bestFit="1" customWidth="1"/>
    <col min="7186" max="7424" width="9.140625" style="57"/>
    <col min="7425" max="7425" width="4.7109375" style="57" customWidth="1"/>
    <col min="7426" max="7426" width="24.28515625" style="57" customWidth="1"/>
    <col min="7427" max="7427" width="8" style="57" customWidth="1"/>
    <col min="7428" max="7428" width="12.7109375" style="57" customWidth="1"/>
    <col min="7429" max="7429" width="10.140625" style="57" bestFit="1" customWidth="1"/>
    <col min="7430" max="7431" width="8.140625" style="57" customWidth="1"/>
    <col min="7432" max="7434" width="8.28515625" style="57" customWidth="1"/>
    <col min="7435" max="7436" width="8.42578125" style="57" customWidth="1"/>
    <col min="7437" max="7437" width="8.28515625" style="57" customWidth="1"/>
    <col min="7438" max="7438" width="8.140625" style="57" customWidth="1"/>
    <col min="7439" max="7439" width="8.28515625" style="57" customWidth="1"/>
    <col min="7440" max="7440" width="11.28515625" style="57" customWidth="1"/>
    <col min="7441" max="7441" width="9.85546875" style="57" bestFit="1" customWidth="1"/>
    <col min="7442" max="7680" width="9.140625" style="57"/>
    <col min="7681" max="7681" width="4.7109375" style="57" customWidth="1"/>
    <col min="7682" max="7682" width="24.28515625" style="57" customWidth="1"/>
    <col min="7683" max="7683" width="8" style="57" customWidth="1"/>
    <col min="7684" max="7684" width="12.7109375" style="57" customWidth="1"/>
    <col min="7685" max="7685" width="10.140625" style="57" bestFit="1" customWidth="1"/>
    <col min="7686" max="7687" width="8.140625" style="57" customWidth="1"/>
    <col min="7688" max="7690" width="8.28515625" style="57" customWidth="1"/>
    <col min="7691" max="7692" width="8.42578125" style="57" customWidth="1"/>
    <col min="7693" max="7693" width="8.28515625" style="57" customWidth="1"/>
    <col min="7694" max="7694" width="8.140625" style="57" customWidth="1"/>
    <col min="7695" max="7695" width="8.28515625" style="57" customWidth="1"/>
    <col min="7696" max="7696" width="11.28515625" style="57" customWidth="1"/>
    <col min="7697" max="7697" width="9.85546875" style="57" bestFit="1" customWidth="1"/>
    <col min="7698" max="7936" width="9.140625" style="57"/>
    <col min="7937" max="7937" width="4.7109375" style="57" customWidth="1"/>
    <col min="7938" max="7938" width="24.28515625" style="57" customWidth="1"/>
    <col min="7939" max="7939" width="8" style="57" customWidth="1"/>
    <col min="7940" max="7940" width="12.7109375" style="57" customWidth="1"/>
    <col min="7941" max="7941" width="10.140625" style="57" bestFit="1" customWidth="1"/>
    <col min="7942" max="7943" width="8.140625" style="57" customWidth="1"/>
    <col min="7944" max="7946" width="8.28515625" style="57" customWidth="1"/>
    <col min="7947" max="7948" width="8.42578125" style="57" customWidth="1"/>
    <col min="7949" max="7949" width="8.28515625" style="57" customWidth="1"/>
    <col min="7950" max="7950" width="8.140625" style="57" customWidth="1"/>
    <col min="7951" max="7951" width="8.28515625" style="57" customWidth="1"/>
    <col min="7952" max="7952" width="11.28515625" style="57" customWidth="1"/>
    <col min="7953" max="7953" width="9.85546875" style="57" bestFit="1" customWidth="1"/>
    <col min="7954" max="8192" width="9.140625" style="57"/>
    <col min="8193" max="8193" width="4.7109375" style="57" customWidth="1"/>
    <col min="8194" max="8194" width="24.28515625" style="57" customWidth="1"/>
    <col min="8195" max="8195" width="8" style="57" customWidth="1"/>
    <col min="8196" max="8196" width="12.7109375" style="57" customWidth="1"/>
    <col min="8197" max="8197" width="10.140625" style="57" bestFit="1" customWidth="1"/>
    <col min="8198" max="8199" width="8.140625" style="57" customWidth="1"/>
    <col min="8200" max="8202" width="8.28515625" style="57" customWidth="1"/>
    <col min="8203" max="8204" width="8.42578125" style="57" customWidth="1"/>
    <col min="8205" max="8205" width="8.28515625" style="57" customWidth="1"/>
    <col min="8206" max="8206" width="8.140625" style="57" customWidth="1"/>
    <col min="8207" max="8207" width="8.28515625" style="57" customWidth="1"/>
    <col min="8208" max="8208" width="11.28515625" style="57" customWidth="1"/>
    <col min="8209" max="8209" width="9.85546875" style="57" bestFit="1" customWidth="1"/>
    <col min="8210" max="8448" width="9.140625" style="57"/>
    <col min="8449" max="8449" width="4.7109375" style="57" customWidth="1"/>
    <col min="8450" max="8450" width="24.28515625" style="57" customWidth="1"/>
    <col min="8451" max="8451" width="8" style="57" customWidth="1"/>
    <col min="8452" max="8452" width="12.7109375" style="57" customWidth="1"/>
    <col min="8453" max="8453" width="10.140625" style="57" bestFit="1" customWidth="1"/>
    <col min="8454" max="8455" width="8.140625" style="57" customWidth="1"/>
    <col min="8456" max="8458" width="8.28515625" style="57" customWidth="1"/>
    <col min="8459" max="8460" width="8.42578125" style="57" customWidth="1"/>
    <col min="8461" max="8461" width="8.28515625" style="57" customWidth="1"/>
    <col min="8462" max="8462" width="8.140625" style="57" customWidth="1"/>
    <col min="8463" max="8463" width="8.28515625" style="57" customWidth="1"/>
    <col min="8464" max="8464" width="11.28515625" style="57" customWidth="1"/>
    <col min="8465" max="8465" width="9.85546875" style="57" bestFit="1" customWidth="1"/>
    <col min="8466" max="8704" width="9.140625" style="57"/>
    <col min="8705" max="8705" width="4.7109375" style="57" customWidth="1"/>
    <col min="8706" max="8706" width="24.28515625" style="57" customWidth="1"/>
    <col min="8707" max="8707" width="8" style="57" customWidth="1"/>
    <col min="8708" max="8708" width="12.7109375" style="57" customWidth="1"/>
    <col min="8709" max="8709" width="10.140625" style="57" bestFit="1" customWidth="1"/>
    <col min="8710" max="8711" width="8.140625" style="57" customWidth="1"/>
    <col min="8712" max="8714" width="8.28515625" style="57" customWidth="1"/>
    <col min="8715" max="8716" width="8.42578125" style="57" customWidth="1"/>
    <col min="8717" max="8717" width="8.28515625" style="57" customWidth="1"/>
    <col min="8718" max="8718" width="8.140625" style="57" customWidth="1"/>
    <col min="8719" max="8719" width="8.28515625" style="57" customWidth="1"/>
    <col min="8720" max="8720" width="11.28515625" style="57" customWidth="1"/>
    <col min="8721" max="8721" width="9.85546875" style="57" bestFit="1" customWidth="1"/>
    <col min="8722" max="8960" width="9.140625" style="57"/>
    <col min="8961" max="8961" width="4.7109375" style="57" customWidth="1"/>
    <col min="8962" max="8962" width="24.28515625" style="57" customWidth="1"/>
    <col min="8963" max="8963" width="8" style="57" customWidth="1"/>
    <col min="8964" max="8964" width="12.7109375" style="57" customWidth="1"/>
    <col min="8965" max="8965" width="10.140625" style="57" bestFit="1" customWidth="1"/>
    <col min="8966" max="8967" width="8.140625" style="57" customWidth="1"/>
    <col min="8968" max="8970" width="8.28515625" style="57" customWidth="1"/>
    <col min="8971" max="8972" width="8.42578125" style="57" customWidth="1"/>
    <col min="8973" max="8973" width="8.28515625" style="57" customWidth="1"/>
    <col min="8974" max="8974" width="8.140625" style="57" customWidth="1"/>
    <col min="8975" max="8975" width="8.28515625" style="57" customWidth="1"/>
    <col min="8976" max="8976" width="11.28515625" style="57" customWidth="1"/>
    <col min="8977" max="8977" width="9.85546875" style="57" bestFit="1" customWidth="1"/>
    <col min="8978" max="9216" width="9.140625" style="57"/>
    <col min="9217" max="9217" width="4.7109375" style="57" customWidth="1"/>
    <col min="9218" max="9218" width="24.28515625" style="57" customWidth="1"/>
    <col min="9219" max="9219" width="8" style="57" customWidth="1"/>
    <col min="9220" max="9220" width="12.7109375" style="57" customWidth="1"/>
    <col min="9221" max="9221" width="10.140625" style="57" bestFit="1" customWidth="1"/>
    <col min="9222" max="9223" width="8.140625" style="57" customWidth="1"/>
    <col min="9224" max="9226" width="8.28515625" style="57" customWidth="1"/>
    <col min="9227" max="9228" width="8.42578125" style="57" customWidth="1"/>
    <col min="9229" max="9229" width="8.28515625" style="57" customWidth="1"/>
    <col min="9230" max="9230" width="8.140625" style="57" customWidth="1"/>
    <col min="9231" max="9231" width="8.28515625" style="57" customWidth="1"/>
    <col min="9232" max="9232" width="11.28515625" style="57" customWidth="1"/>
    <col min="9233" max="9233" width="9.85546875" style="57" bestFit="1" customWidth="1"/>
    <col min="9234" max="9472" width="9.140625" style="57"/>
    <col min="9473" max="9473" width="4.7109375" style="57" customWidth="1"/>
    <col min="9474" max="9474" width="24.28515625" style="57" customWidth="1"/>
    <col min="9475" max="9475" width="8" style="57" customWidth="1"/>
    <col min="9476" max="9476" width="12.7109375" style="57" customWidth="1"/>
    <col min="9477" max="9477" width="10.140625" style="57" bestFit="1" customWidth="1"/>
    <col min="9478" max="9479" width="8.140625" style="57" customWidth="1"/>
    <col min="9480" max="9482" width="8.28515625" style="57" customWidth="1"/>
    <col min="9483" max="9484" width="8.42578125" style="57" customWidth="1"/>
    <col min="9485" max="9485" width="8.28515625" style="57" customWidth="1"/>
    <col min="9486" max="9486" width="8.140625" style="57" customWidth="1"/>
    <col min="9487" max="9487" width="8.28515625" style="57" customWidth="1"/>
    <col min="9488" max="9488" width="11.28515625" style="57" customWidth="1"/>
    <col min="9489" max="9489" width="9.85546875" style="57" bestFit="1" customWidth="1"/>
    <col min="9490" max="9728" width="9.140625" style="57"/>
    <col min="9729" max="9729" width="4.7109375" style="57" customWidth="1"/>
    <col min="9730" max="9730" width="24.28515625" style="57" customWidth="1"/>
    <col min="9731" max="9731" width="8" style="57" customWidth="1"/>
    <col min="9732" max="9732" width="12.7109375" style="57" customWidth="1"/>
    <col min="9733" max="9733" width="10.140625" style="57" bestFit="1" customWidth="1"/>
    <col min="9734" max="9735" width="8.140625" style="57" customWidth="1"/>
    <col min="9736" max="9738" width="8.28515625" style="57" customWidth="1"/>
    <col min="9739" max="9740" width="8.42578125" style="57" customWidth="1"/>
    <col min="9741" max="9741" width="8.28515625" style="57" customWidth="1"/>
    <col min="9742" max="9742" width="8.140625" style="57" customWidth="1"/>
    <col min="9743" max="9743" width="8.28515625" style="57" customWidth="1"/>
    <col min="9744" max="9744" width="11.28515625" style="57" customWidth="1"/>
    <col min="9745" max="9745" width="9.85546875" style="57" bestFit="1" customWidth="1"/>
    <col min="9746" max="9984" width="9.140625" style="57"/>
    <col min="9985" max="9985" width="4.7109375" style="57" customWidth="1"/>
    <col min="9986" max="9986" width="24.28515625" style="57" customWidth="1"/>
    <col min="9987" max="9987" width="8" style="57" customWidth="1"/>
    <col min="9988" max="9988" width="12.7109375" style="57" customWidth="1"/>
    <col min="9989" max="9989" width="10.140625" style="57" bestFit="1" customWidth="1"/>
    <col min="9990" max="9991" width="8.140625" style="57" customWidth="1"/>
    <col min="9992" max="9994" width="8.28515625" style="57" customWidth="1"/>
    <col min="9995" max="9996" width="8.42578125" style="57" customWidth="1"/>
    <col min="9997" max="9997" width="8.28515625" style="57" customWidth="1"/>
    <col min="9998" max="9998" width="8.140625" style="57" customWidth="1"/>
    <col min="9999" max="9999" width="8.28515625" style="57" customWidth="1"/>
    <col min="10000" max="10000" width="11.28515625" style="57" customWidth="1"/>
    <col min="10001" max="10001" width="9.85546875" style="57" bestFit="1" customWidth="1"/>
    <col min="10002" max="10240" width="9.140625" style="57"/>
    <col min="10241" max="10241" width="4.7109375" style="57" customWidth="1"/>
    <col min="10242" max="10242" width="24.28515625" style="57" customWidth="1"/>
    <col min="10243" max="10243" width="8" style="57" customWidth="1"/>
    <col min="10244" max="10244" width="12.7109375" style="57" customWidth="1"/>
    <col min="10245" max="10245" width="10.140625" style="57" bestFit="1" customWidth="1"/>
    <col min="10246" max="10247" width="8.140625" style="57" customWidth="1"/>
    <col min="10248" max="10250" width="8.28515625" style="57" customWidth="1"/>
    <col min="10251" max="10252" width="8.42578125" style="57" customWidth="1"/>
    <col min="10253" max="10253" width="8.28515625" style="57" customWidth="1"/>
    <col min="10254" max="10254" width="8.140625" style="57" customWidth="1"/>
    <col min="10255" max="10255" width="8.28515625" style="57" customWidth="1"/>
    <col min="10256" max="10256" width="11.28515625" style="57" customWidth="1"/>
    <col min="10257" max="10257" width="9.85546875" style="57" bestFit="1" customWidth="1"/>
    <col min="10258" max="10496" width="9.140625" style="57"/>
    <col min="10497" max="10497" width="4.7109375" style="57" customWidth="1"/>
    <col min="10498" max="10498" width="24.28515625" style="57" customWidth="1"/>
    <col min="10499" max="10499" width="8" style="57" customWidth="1"/>
    <col min="10500" max="10500" width="12.7109375" style="57" customWidth="1"/>
    <col min="10501" max="10501" width="10.140625" style="57" bestFit="1" customWidth="1"/>
    <col min="10502" max="10503" width="8.140625" style="57" customWidth="1"/>
    <col min="10504" max="10506" width="8.28515625" style="57" customWidth="1"/>
    <col min="10507" max="10508" width="8.42578125" style="57" customWidth="1"/>
    <col min="10509" max="10509" width="8.28515625" style="57" customWidth="1"/>
    <col min="10510" max="10510" width="8.140625" style="57" customWidth="1"/>
    <col min="10511" max="10511" width="8.28515625" style="57" customWidth="1"/>
    <col min="10512" max="10512" width="11.28515625" style="57" customWidth="1"/>
    <col min="10513" max="10513" width="9.85546875" style="57" bestFit="1" customWidth="1"/>
    <col min="10514" max="10752" width="9.140625" style="57"/>
    <col min="10753" max="10753" width="4.7109375" style="57" customWidth="1"/>
    <col min="10754" max="10754" width="24.28515625" style="57" customWidth="1"/>
    <col min="10755" max="10755" width="8" style="57" customWidth="1"/>
    <col min="10756" max="10756" width="12.7109375" style="57" customWidth="1"/>
    <col min="10757" max="10757" width="10.140625" style="57" bestFit="1" customWidth="1"/>
    <col min="10758" max="10759" width="8.140625" style="57" customWidth="1"/>
    <col min="10760" max="10762" width="8.28515625" style="57" customWidth="1"/>
    <col min="10763" max="10764" width="8.42578125" style="57" customWidth="1"/>
    <col min="10765" max="10765" width="8.28515625" style="57" customWidth="1"/>
    <col min="10766" max="10766" width="8.140625" style="57" customWidth="1"/>
    <col min="10767" max="10767" width="8.28515625" style="57" customWidth="1"/>
    <col min="10768" max="10768" width="11.28515625" style="57" customWidth="1"/>
    <col min="10769" max="10769" width="9.85546875" style="57" bestFit="1" customWidth="1"/>
    <col min="10770" max="11008" width="9.140625" style="57"/>
    <col min="11009" max="11009" width="4.7109375" style="57" customWidth="1"/>
    <col min="11010" max="11010" width="24.28515625" style="57" customWidth="1"/>
    <col min="11011" max="11011" width="8" style="57" customWidth="1"/>
    <col min="11012" max="11012" width="12.7109375" style="57" customWidth="1"/>
    <col min="11013" max="11013" width="10.140625" style="57" bestFit="1" customWidth="1"/>
    <col min="11014" max="11015" width="8.140625" style="57" customWidth="1"/>
    <col min="11016" max="11018" width="8.28515625" style="57" customWidth="1"/>
    <col min="11019" max="11020" width="8.42578125" style="57" customWidth="1"/>
    <col min="11021" max="11021" width="8.28515625" style="57" customWidth="1"/>
    <col min="11022" max="11022" width="8.140625" style="57" customWidth="1"/>
    <col min="11023" max="11023" width="8.28515625" style="57" customWidth="1"/>
    <col min="11024" max="11024" width="11.28515625" style="57" customWidth="1"/>
    <col min="11025" max="11025" width="9.85546875" style="57" bestFit="1" customWidth="1"/>
    <col min="11026" max="11264" width="9.140625" style="57"/>
    <col min="11265" max="11265" width="4.7109375" style="57" customWidth="1"/>
    <col min="11266" max="11266" width="24.28515625" style="57" customWidth="1"/>
    <col min="11267" max="11267" width="8" style="57" customWidth="1"/>
    <col min="11268" max="11268" width="12.7109375" style="57" customWidth="1"/>
    <col min="11269" max="11269" width="10.140625" style="57" bestFit="1" customWidth="1"/>
    <col min="11270" max="11271" width="8.140625" style="57" customWidth="1"/>
    <col min="11272" max="11274" width="8.28515625" style="57" customWidth="1"/>
    <col min="11275" max="11276" width="8.42578125" style="57" customWidth="1"/>
    <col min="11277" max="11277" width="8.28515625" style="57" customWidth="1"/>
    <col min="11278" max="11278" width="8.140625" style="57" customWidth="1"/>
    <col min="11279" max="11279" width="8.28515625" style="57" customWidth="1"/>
    <col min="11280" max="11280" width="11.28515625" style="57" customWidth="1"/>
    <col min="11281" max="11281" width="9.85546875" style="57" bestFit="1" customWidth="1"/>
    <col min="11282" max="11520" width="9.140625" style="57"/>
    <col min="11521" max="11521" width="4.7109375" style="57" customWidth="1"/>
    <col min="11522" max="11522" width="24.28515625" style="57" customWidth="1"/>
    <col min="11523" max="11523" width="8" style="57" customWidth="1"/>
    <col min="11524" max="11524" width="12.7109375" style="57" customWidth="1"/>
    <col min="11525" max="11525" width="10.140625" style="57" bestFit="1" customWidth="1"/>
    <col min="11526" max="11527" width="8.140625" style="57" customWidth="1"/>
    <col min="11528" max="11530" width="8.28515625" style="57" customWidth="1"/>
    <col min="11531" max="11532" width="8.42578125" style="57" customWidth="1"/>
    <col min="11533" max="11533" width="8.28515625" style="57" customWidth="1"/>
    <col min="11534" max="11534" width="8.140625" style="57" customWidth="1"/>
    <col min="11535" max="11535" width="8.28515625" style="57" customWidth="1"/>
    <col min="11536" max="11536" width="11.28515625" style="57" customWidth="1"/>
    <col min="11537" max="11537" width="9.85546875" style="57" bestFit="1" customWidth="1"/>
    <col min="11538" max="11776" width="9.140625" style="57"/>
    <col min="11777" max="11777" width="4.7109375" style="57" customWidth="1"/>
    <col min="11778" max="11778" width="24.28515625" style="57" customWidth="1"/>
    <col min="11779" max="11779" width="8" style="57" customWidth="1"/>
    <col min="11780" max="11780" width="12.7109375" style="57" customWidth="1"/>
    <col min="11781" max="11781" width="10.140625" style="57" bestFit="1" customWidth="1"/>
    <col min="11782" max="11783" width="8.140625" style="57" customWidth="1"/>
    <col min="11784" max="11786" width="8.28515625" style="57" customWidth="1"/>
    <col min="11787" max="11788" width="8.42578125" style="57" customWidth="1"/>
    <col min="11789" max="11789" width="8.28515625" style="57" customWidth="1"/>
    <col min="11790" max="11790" width="8.140625" style="57" customWidth="1"/>
    <col min="11791" max="11791" width="8.28515625" style="57" customWidth="1"/>
    <col min="11792" max="11792" width="11.28515625" style="57" customWidth="1"/>
    <col min="11793" max="11793" width="9.85546875" style="57" bestFit="1" customWidth="1"/>
    <col min="11794" max="12032" width="9.140625" style="57"/>
    <col min="12033" max="12033" width="4.7109375" style="57" customWidth="1"/>
    <col min="12034" max="12034" width="24.28515625" style="57" customWidth="1"/>
    <col min="12035" max="12035" width="8" style="57" customWidth="1"/>
    <col min="12036" max="12036" width="12.7109375" style="57" customWidth="1"/>
    <col min="12037" max="12037" width="10.140625" style="57" bestFit="1" customWidth="1"/>
    <col min="12038" max="12039" width="8.140625" style="57" customWidth="1"/>
    <col min="12040" max="12042" width="8.28515625" style="57" customWidth="1"/>
    <col min="12043" max="12044" width="8.42578125" style="57" customWidth="1"/>
    <col min="12045" max="12045" width="8.28515625" style="57" customWidth="1"/>
    <col min="12046" max="12046" width="8.140625" style="57" customWidth="1"/>
    <col min="12047" max="12047" width="8.28515625" style="57" customWidth="1"/>
    <col min="12048" max="12048" width="11.28515625" style="57" customWidth="1"/>
    <col min="12049" max="12049" width="9.85546875" style="57" bestFit="1" customWidth="1"/>
    <col min="12050" max="12288" width="9.140625" style="57"/>
    <col min="12289" max="12289" width="4.7109375" style="57" customWidth="1"/>
    <col min="12290" max="12290" width="24.28515625" style="57" customWidth="1"/>
    <col min="12291" max="12291" width="8" style="57" customWidth="1"/>
    <col min="12292" max="12292" width="12.7109375" style="57" customWidth="1"/>
    <col min="12293" max="12293" width="10.140625" style="57" bestFit="1" customWidth="1"/>
    <col min="12294" max="12295" width="8.140625" style="57" customWidth="1"/>
    <col min="12296" max="12298" width="8.28515625" style="57" customWidth="1"/>
    <col min="12299" max="12300" width="8.42578125" style="57" customWidth="1"/>
    <col min="12301" max="12301" width="8.28515625" style="57" customWidth="1"/>
    <col min="12302" max="12302" width="8.140625" style="57" customWidth="1"/>
    <col min="12303" max="12303" width="8.28515625" style="57" customWidth="1"/>
    <col min="12304" max="12304" width="11.28515625" style="57" customWidth="1"/>
    <col min="12305" max="12305" width="9.85546875" style="57" bestFit="1" customWidth="1"/>
    <col min="12306" max="12544" width="9.140625" style="57"/>
    <col min="12545" max="12545" width="4.7109375" style="57" customWidth="1"/>
    <col min="12546" max="12546" width="24.28515625" style="57" customWidth="1"/>
    <col min="12547" max="12547" width="8" style="57" customWidth="1"/>
    <col min="12548" max="12548" width="12.7109375" style="57" customWidth="1"/>
    <col min="12549" max="12549" width="10.140625" style="57" bestFit="1" customWidth="1"/>
    <col min="12550" max="12551" width="8.140625" style="57" customWidth="1"/>
    <col min="12552" max="12554" width="8.28515625" style="57" customWidth="1"/>
    <col min="12555" max="12556" width="8.42578125" style="57" customWidth="1"/>
    <col min="12557" max="12557" width="8.28515625" style="57" customWidth="1"/>
    <col min="12558" max="12558" width="8.140625" style="57" customWidth="1"/>
    <col min="12559" max="12559" width="8.28515625" style="57" customWidth="1"/>
    <col min="12560" max="12560" width="11.28515625" style="57" customWidth="1"/>
    <col min="12561" max="12561" width="9.85546875" style="57" bestFit="1" customWidth="1"/>
    <col min="12562" max="12800" width="9.140625" style="57"/>
    <col min="12801" max="12801" width="4.7109375" style="57" customWidth="1"/>
    <col min="12802" max="12802" width="24.28515625" style="57" customWidth="1"/>
    <col min="12803" max="12803" width="8" style="57" customWidth="1"/>
    <col min="12804" max="12804" width="12.7109375" style="57" customWidth="1"/>
    <col min="12805" max="12805" width="10.140625" style="57" bestFit="1" customWidth="1"/>
    <col min="12806" max="12807" width="8.140625" style="57" customWidth="1"/>
    <col min="12808" max="12810" width="8.28515625" style="57" customWidth="1"/>
    <col min="12811" max="12812" width="8.42578125" style="57" customWidth="1"/>
    <col min="12813" max="12813" width="8.28515625" style="57" customWidth="1"/>
    <col min="12814" max="12814" width="8.140625" style="57" customWidth="1"/>
    <col min="12815" max="12815" width="8.28515625" style="57" customWidth="1"/>
    <col min="12816" max="12816" width="11.28515625" style="57" customWidth="1"/>
    <col min="12817" max="12817" width="9.85546875" style="57" bestFit="1" customWidth="1"/>
    <col min="12818" max="13056" width="9.140625" style="57"/>
    <col min="13057" max="13057" width="4.7109375" style="57" customWidth="1"/>
    <col min="13058" max="13058" width="24.28515625" style="57" customWidth="1"/>
    <col min="13059" max="13059" width="8" style="57" customWidth="1"/>
    <col min="13060" max="13060" width="12.7109375" style="57" customWidth="1"/>
    <col min="13061" max="13061" width="10.140625" style="57" bestFit="1" customWidth="1"/>
    <col min="13062" max="13063" width="8.140625" style="57" customWidth="1"/>
    <col min="13064" max="13066" width="8.28515625" style="57" customWidth="1"/>
    <col min="13067" max="13068" width="8.42578125" style="57" customWidth="1"/>
    <col min="13069" max="13069" width="8.28515625" style="57" customWidth="1"/>
    <col min="13070" max="13070" width="8.140625" style="57" customWidth="1"/>
    <col min="13071" max="13071" width="8.28515625" style="57" customWidth="1"/>
    <col min="13072" max="13072" width="11.28515625" style="57" customWidth="1"/>
    <col min="13073" max="13073" width="9.85546875" style="57" bestFit="1" customWidth="1"/>
    <col min="13074" max="13312" width="9.140625" style="57"/>
    <col min="13313" max="13313" width="4.7109375" style="57" customWidth="1"/>
    <col min="13314" max="13314" width="24.28515625" style="57" customWidth="1"/>
    <col min="13315" max="13315" width="8" style="57" customWidth="1"/>
    <col min="13316" max="13316" width="12.7109375" style="57" customWidth="1"/>
    <col min="13317" max="13317" width="10.140625" style="57" bestFit="1" customWidth="1"/>
    <col min="13318" max="13319" width="8.140625" style="57" customWidth="1"/>
    <col min="13320" max="13322" width="8.28515625" style="57" customWidth="1"/>
    <col min="13323" max="13324" width="8.42578125" style="57" customWidth="1"/>
    <col min="13325" max="13325" width="8.28515625" style="57" customWidth="1"/>
    <col min="13326" max="13326" width="8.140625" style="57" customWidth="1"/>
    <col min="13327" max="13327" width="8.28515625" style="57" customWidth="1"/>
    <col min="13328" max="13328" width="11.28515625" style="57" customWidth="1"/>
    <col min="13329" max="13329" width="9.85546875" style="57" bestFit="1" customWidth="1"/>
    <col min="13330" max="13568" width="9.140625" style="57"/>
    <col min="13569" max="13569" width="4.7109375" style="57" customWidth="1"/>
    <col min="13570" max="13570" width="24.28515625" style="57" customWidth="1"/>
    <col min="13571" max="13571" width="8" style="57" customWidth="1"/>
    <col min="13572" max="13572" width="12.7109375" style="57" customWidth="1"/>
    <col min="13573" max="13573" width="10.140625" style="57" bestFit="1" customWidth="1"/>
    <col min="13574" max="13575" width="8.140625" style="57" customWidth="1"/>
    <col min="13576" max="13578" width="8.28515625" style="57" customWidth="1"/>
    <col min="13579" max="13580" width="8.42578125" style="57" customWidth="1"/>
    <col min="13581" max="13581" width="8.28515625" style="57" customWidth="1"/>
    <col min="13582" max="13582" width="8.140625" style="57" customWidth="1"/>
    <col min="13583" max="13583" width="8.28515625" style="57" customWidth="1"/>
    <col min="13584" max="13584" width="11.28515625" style="57" customWidth="1"/>
    <col min="13585" max="13585" width="9.85546875" style="57" bestFit="1" customWidth="1"/>
    <col min="13586" max="13824" width="9.140625" style="57"/>
    <col min="13825" max="13825" width="4.7109375" style="57" customWidth="1"/>
    <col min="13826" max="13826" width="24.28515625" style="57" customWidth="1"/>
    <col min="13827" max="13827" width="8" style="57" customWidth="1"/>
    <col min="13828" max="13828" width="12.7109375" style="57" customWidth="1"/>
    <col min="13829" max="13829" width="10.140625" style="57" bestFit="1" customWidth="1"/>
    <col min="13830" max="13831" width="8.140625" style="57" customWidth="1"/>
    <col min="13832" max="13834" width="8.28515625" style="57" customWidth="1"/>
    <col min="13835" max="13836" width="8.42578125" style="57" customWidth="1"/>
    <col min="13837" max="13837" width="8.28515625" style="57" customWidth="1"/>
    <col min="13838" max="13838" width="8.140625" style="57" customWidth="1"/>
    <col min="13839" max="13839" width="8.28515625" style="57" customWidth="1"/>
    <col min="13840" max="13840" width="11.28515625" style="57" customWidth="1"/>
    <col min="13841" max="13841" width="9.85546875" style="57" bestFit="1" customWidth="1"/>
    <col min="13842" max="14080" width="9.140625" style="57"/>
    <col min="14081" max="14081" width="4.7109375" style="57" customWidth="1"/>
    <col min="14082" max="14082" width="24.28515625" style="57" customWidth="1"/>
    <col min="14083" max="14083" width="8" style="57" customWidth="1"/>
    <col min="14084" max="14084" width="12.7109375" style="57" customWidth="1"/>
    <col min="14085" max="14085" width="10.140625" style="57" bestFit="1" customWidth="1"/>
    <col min="14086" max="14087" width="8.140625" style="57" customWidth="1"/>
    <col min="14088" max="14090" width="8.28515625" style="57" customWidth="1"/>
    <col min="14091" max="14092" width="8.42578125" style="57" customWidth="1"/>
    <col min="14093" max="14093" width="8.28515625" style="57" customWidth="1"/>
    <col min="14094" max="14094" width="8.140625" style="57" customWidth="1"/>
    <col min="14095" max="14095" width="8.28515625" style="57" customWidth="1"/>
    <col min="14096" max="14096" width="11.28515625" style="57" customWidth="1"/>
    <col min="14097" max="14097" width="9.85546875" style="57" bestFit="1" customWidth="1"/>
    <col min="14098" max="14336" width="9.140625" style="57"/>
    <col min="14337" max="14337" width="4.7109375" style="57" customWidth="1"/>
    <col min="14338" max="14338" width="24.28515625" style="57" customWidth="1"/>
    <col min="14339" max="14339" width="8" style="57" customWidth="1"/>
    <col min="14340" max="14340" width="12.7109375" style="57" customWidth="1"/>
    <col min="14341" max="14341" width="10.140625" style="57" bestFit="1" customWidth="1"/>
    <col min="14342" max="14343" width="8.140625" style="57" customWidth="1"/>
    <col min="14344" max="14346" width="8.28515625" style="57" customWidth="1"/>
    <col min="14347" max="14348" width="8.42578125" style="57" customWidth="1"/>
    <col min="14349" max="14349" width="8.28515625" style="57" customWidth="1"/>
    <col min="14350" max="14350" width="8.140625" style="57" customWidth="1"/>
    <col min="14351" max="14351" width="8.28515625" style="57" customWidth="1"/>
    <col min="14352" max="14352" width="11.28515625" style="57" customWidth="1"/>
    <col min="14353" max="14353" width="9.85546875" style="57" bestFit="1" customWidth="1"/>
    <col min="14354" max="14592" width="9.140625" style="57"/>
    <col min="14593" max="14593" width="4.7109375" style="57" customWidth="1"/>
    <col min="14594" max="14594" width="24.28515625" style="57" customWidth="1"/>
    <col min="14595" max="14595" width="8" style="57" customWidth="1"/>
    <col min="14596" max="14596" width="12.7109375" style="57" customWidth="1"/>
    <col min="14597" max="14597" width="10.140625" style="57" bestFit="1" customWidth="1"/>
    <col min="14598" max="14599" width="8.140625" style="57" customWidth="1"/>
    <col min="14600" max="14602" width="8.28515625" style="57" customWidth="1"/>
    <col min="14603" max="14604" width="8.42578125" style="57" customWidth="1"/>
    <col min="14605" max="14605" width="8.28515625" style="57" customWidth="1"/>
    <col min="14606" max="14606" width="8.140625" style="57" customWidth="1"/>
    <col min="14607" max="14607" width="8.28515625" style="57" customWidth="1"/>
    <col min="14608" max="14608" width="11.28515625" style="57" customWidth="1"/>
    <col min="14609" max="14609" width="9.85546875" style="57" bestFit="1" customWidth="1"/>
    <col min="14610" max="14848" width="9.140625" style="57"/>
    <col min="14849" max="14849" width="4.7109375" style="57" customWidth="1"/>
    <col min="14850" max="14850" width="24.28515625" style="57" customWidth="1"/>
    <col min="14851" max="14851" width="8" style="57" customWidth="1"/>
    <col min="14852" max="14852" width="12.7109375" style="57" customWidth="1"/>
    <col min="14853" max="14853" width="10.140625" style="57" bestFit="1" customWidth="1"/>
    <col min="14854" max="14855" width="8.140625" style="57" customWidth="1"/>
    <col min="14856" max="14858" width="8.28515625" style="57" customWidth="1"/>
    <col min="14859" max="14860" width="8.42578125" style="57" customWidth="1"/>
    <col min="14861" max="14861" width="8.28515625" style="57" customWidth="1"/>
    <col min="14862" max="14862" width="8.140625" style="57" customWidth="1"/>
    <col min="14863" max="14863" width="8.28515625" style="57" customWidth="1"/>
    <col min="14864" max="14864" width="11.28515625" style="57" customWidth="1"/>
    <col min="14865" max="14865" width="9.85546875" style="57" bestFit="1" customWidth="1"/>
    <col min="14866" max="15104" width="9.140625" style="57"/>
    <col min="15105" max="15105" width="4.7109375" style="57" customWidth="1"/>
    <col min="15106" max="15106" width="24.28515625" style="57" customWidth="1"/>
    <col min="15107" max="15107" width="8" style="57" customWidth="1"/>
    <col min="15108" max="15108" width="12.7109375" style="57" customWidth="1"/>
    <col min="15109" max="15109" width="10.140625" style="57" bestFit="1" customWidth="1"/>
    <col min="15110" max="15111" width="8.140625" style="57" customWidth="1"/>
    <col min="15112" max="15114" width="8.28515625" style="57" customWidth="1"/>
    <col min="15115" max="15116" width="8.42578125" style="57" customWidth="1"/>
    <col min="15117" max="15117" width="8.28515625" style="57" customWidth="1"/>
    <col min="15118" max="15118" width="8.140625" style="57" customWidth="1"/>
    <col min="15119" max="15119" width="8.28515625" style="57" customWidth="1"/>
    <col min="15120" max="15120" width="11.28515625" style="57" customWidth="1"/>
    <col min="15121" max="15121" width="9.85546875" style="57" bestFit="1" customWidth="1"/>
    <col min="15122" max="15360" width="9.140625" style="57"/>
    <col min="15361" max="15361" width="4.7109375" style="57" customWidth="1"/>
    <col min="15362" max="15362" width="24.28515625" style="57" customWidth="1"/>
    <col min="15363" max="15363" width="8" style="57" customWidth="1"/>
    <col min="15364" max="15364" width="12.7109375" style="57" customWidth="1"/>
    <col min="15365" max="15365" width="10.140625" style="57" bestFit="1" customWidth="1"/>
    <col min="15366" max="15367" width="8.140625" style="57" customWidth="1"/>
    <col min="15368" max="15370" width="8.28515625" style="57" customWidth="1"/>
    <col min="15371" max="15372" width="8.42578125" style="57" customWidth="1"/>
    <col min="15373" max="15373" width="8.28515625" style="57" customWidth="1"/>
    <col min="15374" max="15374" width="8.140625" style="57" customWidth="1"/>
    <col min="15375" max="15375" width="8.28515625" style="57" customWidth="1"/>
    <col min="15376" max="15376" width="11.28515625" style="57" customWidth="1"/>
    <col min="15377" max="15377" width="9.85546875" style="57" bestFit="1" customWidth="1"/>
    <col min="15378" max="15616" width="9.140625" style="57"/>
    <col min="15617" max="15617" width="4.7109375" style="57" customWidth="1"/>
    <col min="15618" max="15618" width="24.28515625" style="57" customWidth="1"/>
    <col min="15619" max="15619" width="8" style="57" customWidth="1"/>
    <col min="15620" max="15620" width="12.7109375" style="57" customWidth="1"/>
    <col min="15621" max="15621" width="10.140625" style="57" bestFit="1" customWidth="1"/>
    <col min="15622" max="15623" width="8.140625" style="57" customWidth="1"/>
    <col min="15624" max="15626" width="8.28515625" style="57" customWidth="1"/>
    <col min="15627" max="15628" width="8.42578125" style="57" customWidth="1"/>
    <col min="15629" max="15629" width="8.28515625" style="57" customWidth="1"/>
    <col min="15630" max="15630" width="8.140625" style="57" customWidth="1"/>
    <col min="15631" max="15631" width="8.28515625" style="57" customWidth="1"/>
    <col min="15632" max="15632" width="11.28515625" style="57" customWidth="1"/>
    <col min="15633" max="15633" width="9.85546875" style="57" bestFit="1" customWidth="1"/>
    <col min="15634" max="15872" width="9.140625" style="57"/>
    <col min="15873" max="15873" width="4.7109375" style="57" customWidth="1"/>
    <col min="15874" max="15874" width="24.28515625" style="57" customWidth="1"/>
    <col min="15875" max="15875" width="8" style="57" customWidth="1"/>
    <col min="15876" max="15876" width="12.7109375" style="57" customWidth="1"/>
    <col min="15877" max="15877" width="10.140625" style="57" bestFit="1" customWidth="1"/>
    <col min="15878" max="15879" width="8.140625" style="57" customWidth="1"/>
    <col min="15880" max="15882" width="8.28515625" style="57" customWidth="1"/>
    <col min="15883" max="15884" width="8.42578125" style="57" customWidth="1"/>
    <col min="15885" max="15885" width="8.28515625" style="57" customWidth="1"/>
    <col min="15886" max="15886" width="8.140625" style="57" customWidth="1"/>
    <col min="15887" max="15887" width="8.28515625" style="57" customWidth="1"/>
    <col min="15888" max="15888" width="11.28515625" style="57" customWidth="1"/>
    <col min="15889" max="15889" width="9.85546875" style="57" bestFit="1" customWidth="1"/>
    <col min="15890" max="16128" width="9.140625" style="57"/>
    <col min="16129" max="16129" width="4.7109375" style="57" customWidth="1"/>
    <col min="16130" max="16130" width="24.28515625" style="57" customWidth="1"/>
    <col min="16131" max="16131" width="8" style="57" customWidth="1"/>
    <col min="16132" max="16132" width="12.7109375" style="57" customWidth="1"/>
    <col min="16133" max="16133" width="10.140625" style="57" bestFit="1" customWidth="1"/>
    <col min="16134" max="16135" width="8.140625" style="57" customWidth="1"/>
    <col min="16136" max="16138" width="8.28515625" style="57" customWidth="1"/>
    <col min="16139" max="16140" width="8.42578125" style="57" customWidth="1"/>
    <col min="16141" max="16141" width="8.28515625" style="57" customWidth="1"/>
    <col min="16142" max="16142" width="8.140625" style="57" customWidth="1"/>
    <col min="16143" max="16143" width="8.28515625" style="57" customWidth="1"/>
    <col min="16144" max="16144" width="11.28515625" style="57" customWidth="1"/>
    <col min="16145" max="16145" width="9.85546875" style="57" bestFit="1" customWidth="1"/>
    <col min="16146" max="16384" width="9.140625" style="57"/>
  </cols>
  <sheetData>
    <row r="1" spans="1:19" s="22" customFormat="1" ht="11.25">
      <c r="A1" s="368" t="s">
        <v>0</v>
      </c>
      <c r="B1" s="368"/>
      <c r="C1" s="368"/>
      <c r="D1" s="368"/>
      <c r="E1" s="368"/>
      <c r="F1" s="368"/>
      <c r="G1" s="368"/>
      <c r="H1" s="368"/>
      <c r="I1" s="368"/>
      <c r="J1" s="368"/>
      <c r="K1" s="368"/>
      <c r="L1" s="368"/>
      <c r="M1" s="368"/>
      <c r="N1" s="368"/>
      <c r="O1" s="368"/>
      <c r="P1" s="368"/>
    </row>
    <row r="2" spans="1:19" s="22" customFormat="1" ht="11.25">
      <c r="A2" s="369" t="s">
        <v>91</v>
      </c>
      <c r="B2" s="369"/>
      <c r="C2" s="369"/>
      <c r="D2" s="369"/>
      <c r="E2" s="369"/>
      <c r="F2" s="369"/>
      <c r="G2" s="369"/>
      <c r="H2" s="369"/>
      <c r="I2" s="369"/>
      <c r="J2" s="369"/>
      <c r="K2" s="369"/>
      <c r="L2" s="369"/>
      <c r="M2" s="369"/>
      <c r="N2" s="369"/>
      <c r="O2" s="369"/>
      <c r="P2" s="369"/>
    </row>
    <row r="3" spans="1:19" s="22" customFormat="1" ht="12.75" customHeight="1">
      <c r="A3" s="370">
        <v>46022</v>
      </c>
      <c r="B3" s="370"/>
      <c r="C3" s="370"/>
      <c r="D3" s="370"/>
      <c r="E3" s="370"/>
      <c r="F3" s="370"/>
      <c r="G3" s="370"/>
      <c r="H3" s="370"/>
      <c r="I3" s="370"/>
      <c r="J3" s="370"/>
      <c r="K3" s="370"/>
      <c r="L3" s="370"/>
      <c r="M3" s="370"/>
      <c r="N3" s="370"/>
      <c r="O3" s="370"/>
      <c r="P3" s="370"/>
    </row>
    <row r="4" spans="1:19">
      <c r="A4" s="313"/>
      <c r="B4" s="161"/>
      <c r="C4" s="314"/>
      <c r="D4" s="313"/>
      <c r="E4" s="313"/>
      <c r="F4" s="313"/>
      <c r="G4" s="313"/>
      <c r="H4" s="313"/>
      <c r="I4" s="313"/>
      <c r="J4" s="313"/>
      <c r="K4" s="313"/>
      <c r="L4" s="313"/>
      <c r="M4" s="313"/>
      <c r="N4" s="313"/>
      <c r="O4" s="313"/>
      <c r="P4" s="313"/>
    </row>
    <row r="5" spans="1:19">
      <c r="A5" s="316">
        <v>1</v>
      </c>
      <c r="B5" s="313"/>
      <c r="C5" s="317">
        <f>+EOMONTH(A3,-12)</f>
        <v>45657</v>
      </c>
      <c r="D5" s="317">
        <f t="shared" ref="D5:O5" si="0">EOMONTH(C5,1)</f>
        <v>45688</v>
      </c>
      <c r="E5" s="317">
        <f t="shared" si="0"/>
        <v>45716</v>
      </c>
      <c r="F5" s="317">
        <f t="shared" si="0"/>
        <v>45747</v>
      </c>
      <c r="G5" s="317">
        <f t="shared" si="0"/>
        <v>45777</v>
      </c>
      <c r="H5" s="317">
        <f t="shared" si="0"/>
        <v>45808</v>
      </c>
      <c r="I5" s="317">
        <f t="shared" si="0"/>
        <v>45838</v>
      </c>
      <c r="J5" s="317">
        <f t="shared" si="0"/>
        <v>45869</v>
      </c>
      <c r="K5" s="317">
        <f t="shared" si="0"/>
        <v>45900</v>
      </c>
      <c r="L5" s="317">
        <f t="shared" si="0"/>
        <v>45930</v>
      </c>
      <c r="M5" s="317">
        <f t="shared" si="0"/>
        <v>45961</v>
      </c>
      <c r="N5" s="317">
        <f t="shared" si="0"/>
        <v>45991</v>
      </c>
      <c r="O5" s="317">
        <f t="shared" si="0"/>
        <v>46022</v>
      </c>
      <c r="P5" s="318" t="s">
        <v>85</v>
      </c>
    </row>
    <row r="6" spans="1:19" s="39" customFormat="1">
      <c r="A6" s="316">
        <f>+A5+1</f>
        <v>2</v>
      </c>
      <c r="B6" s="316" t="s">
        <v>92</v>
      </c>
      <c r="C6" s="316" t="s">
        <v>93</v>
      </c>
      <c r="D6" s="316" t="s">
        <v>94</v>
      </c>
      <c r="E6" s="316" t="s">
        <v>95</v>
      </c>
      <c r="F6" s="316" t="s">
        <v>96</v>
      </c>
      <c r="G6" s="316" t="s">
        <v>97</v>
      </c>
      <c r="H6" s="316" t="s">
        <v>98</v>
      </c>
      <c r="I6" s="316" t="s">
        <v>99</v>
      </c>
      <c r="J6" s="316" t="s">
        <v>100</v>
      </c>
      <c r="K6" s="316" t="s">
        <v>101</v>
      </c>
      <c r="L6" s="316" t="s">
        <v>102</v>
      </c>
      <c r="M6" s="316" t="s">
        <v>103</v>
      </c>
      <c r="N6" s="316" t="s">
        <v>104</v>
      </c>
      <c r="O6" s="316" t="s">
        <v>105</v>
      </c>
      <c r="P6" s="316" t="s">
        <v>106</v>
      </c>
    </row>
    <row r="7" spans="1:19">
      <c r="A7" s="316">
        <f t="shared" ref="A7:A19" si="1">+A6+1</f>
        <v>3</v>
      </c>
      <c r="B7" s="313" t="s">
        <v>143</v>
      </c>
      <c r="C7" s="319">
        <v>100000000</v>
      </c>
      <c r="D7" s="319">
        <v>100000000</v>
      </c>
      <c r="E7" s="319">
        <v>100000000</v>
      </c>
      <c r="F7" s="319">
        <v>100000000</v>
      </c>
      <c r="G7" s="319">
        <v>100000000</v>
      </c>
      <c r="H7" s="319">
        <v>100000000</v>
      </c>
      <c r="I7" s="319">
        <v>100000000</v>
      </c>
      <c r="J7" s="319">
        <v>100000000</v>
      </c>
      <c r="K7" s="319">
        <v>100000000</v>
      </c>
      <c r="L7" s="319">
        <v>100000000</v>
      </c>
      <c r="M7" s="319">
        <v>100000000</v>
      </c>
      <c r="N7" s="319">
        <v>100000000</v>
      </c>
      <c r="O7" s="319">
        <v>100000000</v>
      </c>
      <c r="P7" s="320">
        <f>ROUND(((C7+O7)+(SUM(D7:N7)*2))/24,3)</f>
        <v>100000000</v>
      </c>
      <c r="Q7" s="58"/>
      <c r="R7" s="58"/>
    </row>
    <row r="8" spans="1:19">
      <c r="A8" s="316">
        <f t="shared" si="1"/>
        <v>4</v>
      </c>
      <c r="B8" s="313"/>
      <c r="C8" s="315"/>
      <c r="D8" s="322"/>
      <c r="E8" s="322"/>
      <c r="F8" s="322"/>
      <c r="G8" s="322"/>
      <c r="H8" s="322"/>
      <c r="I8" s="322"/>
      <c r="J8" s="322"/>
      <c r="K8" s="322"/>
      <c r="L8" s="322"/>
      <c r="M8" s="322"/>
      <c r="N8" s="322"/>
      <c r="O8" s="322"/>
      <c r="P8" s="323"/>
      <c r="R8" s="58"/>
      <c r="S8" s="68"/>
    </row>
    <row r="9" spans="1:19">
      <c r="A9" s="316">
        <f t="shared" si="1"/>
        <v>5</v>
      </c>
      <c r="B9" s="313" t="s">
        <v>89</v>
      </c>
      <c r="C9" s="313">
        <v>31</v>
      </c>
      <c r="D9" s="50">
        <f t="shared" ref="D9:O9" si="2">+D5-C5</f>
        <v>31</v>
      </c>
      <c r="E9" s="313">
        <f t="shared" si="2"/>
        <v>28</v>
      </c>
      <c r="F9" s="313">
        <f t="shared" si="2"/>
        <v>31</v>
      </c>
      <c r="G9" s="313">
        <f t="shared" si="2"/>
        <v>30</v>
      </c>
      <c r="H9" s="313">
        <f t="shared" si="2"/>
        <v>31</v>
      </c>
      <c r="I9" s="313">
        <f t="shared" si="2"/>
        <v>30</v>
      </c>
      <c r="J9" s="313">
        <f t="shared" si="2"/>
        <v>31</v>
      </c>
      <c r="K9" s="313">
        <f t="shared" si="2"/>
        <v>31</v>
      </c>
      <c r="L9" s="313">
        <f t="shared" si="2"/>
        <v>30</v>
      </c>
      <c r="M9" s="313">
        <f t="shared" si="2"/>
        <v>31</v>
      </c>
      <c r="N9" s="313">
        <f t="shared" si="2"/>
        <v>30</v>
      </c>
      <c r="O9" s="313">
        <f t="shared" si="2"/>
        <v>31</v>
      </c>
      <c r="P9" s="313">
        <f>SUM(C9:O9)</f>
        <v>396</v>
      </c>
    </row>
    <row r="10" spans="1:19">
      <c r="A10" s="316">
        <f t="shared" si="1"/>
        <v>6</v>
      </c>
      <c r="B10" s="313"/>
      <c r="C10" s="313"/>
      <c r="D10" s="50"/>
      <c r="E10" s="313"/>
      <c r="F10" s="313"/>
      <c r="G10" s="313"/>
      <c r="H10" s="313"/>
      <c r="I10" s="313"/>
      <c r="J10" s="313"/>
      <c r="K10" s="313"/>
      <c r="L10" s="313"/>
      <c r="M10" s="313"/>
      <c r="N10" s="313"/>
      <c r="O10" s="313"/>
      <c r="P10" s="313"/>
      <c r="R10" s="58"/>
    </row>
    <row r="11" spans="1:19">
      <c r="A11" s="316">
        <f t="shared" si="1"/>
        <v>7</v>
      </c>
      <c r="B11" s="313" t="s">
        <v>168</v>
      </c>
      <c r="C11" s="324">
        <v>5.8500000000000003E-2</v>
      </c>
      <c r="D11" s="226">
        <v>5.5199999999999999E-2</v>
      </c>
      <c r="E11" s="226">
        <v>5.5199999999999999E-2</v>
      </c>
      <c r="F11" s="226">
        <v>5.5199999999999999E-2</v>
      </c>
      <c r="G11" s="226">
        <v>5.2400000000000002E-2</v>
      </c>
      <c r="H11" s="226">
        <v>5.2400000000000002E-2</v>
      </c>
      <c r="I11" s="226">
        <v>5.2400000000000002E-2</v>
      </c>
      <c r="J11" s="226">
        <v>5.1400000000000001E-2</v>
      </c>
      <c r="K11" s="226">
        <v>5.1400000000000001E-2</v>
      </c>
      <c r="L11" s="226">
        <v>5.1400000000000001E-2</v>
      </c>
      <c r="M11" s="226">
        <v>5.0500000000000003E-2</v>
      </c>
      <c r="N11" s="226">
        <v>5.0500000000000003E-2</v>
      </c>
      <c r="O11" s="226">
        <v>5.0500000000000003E-2</v>
      </c>
      <c r="P11" s="313"/>
    </row>
    <row r="12" spans="1:19" s="36" customFormat="1" ht="11.25">
      <c r="A12" s="316">
        <f t="shared" si="1"/>
        <v>8</v>
      </c>
      <c r="B12" s="313"/>
      <c r="C12" s="313"/>
      <c r="D12" s="313"/>
      <c r="E12" s="313"/>
      <c r="F12" s="313"/>
      <c r="G12" s="313"/>
      <c r="H12" s="313"/>
      <c r="I12" s="313"/>
      <c r="J12" s="313"/>
      <c r="K12" s="313"/>
      <c r="L12" s="313"/>
      <c r="M12" s="313"/>
      <c r="N12" s="313"/>
      <c r="O12" s="313"/>
      <c r="P12" s="313"/>
    </row>
    <row r="13" spans="1:19">
      <c r="A13" s="316">
        <f t="shared" si="1"/>
        <v>9</v>
      </c>
      <c r="B13" s="325" t="s">
        <v>107</v>
      </c>
      <c r="C13" s="326">
        <f>+C7*C11/365*C9</f>
        <v>496849.31506849313</v>
      </c>
      <c r="D13" s="326">
        <f>+(D7+C7)/2*(LEFT(D11,7))/360*D9</f>
        <v>475333.33333333337</v>
      </c>
      <c r="E13" s="326">
        <f t="shared" ref="E13:J13" si="3">+(E7+D7)/2*(LEFT(E11,7))/360*E9</f>
        <v>429333.33333333337</v>
      </c>
      <c r="F13" s="326">
        <f t="shared" si="3"/>
        <v>475333.33333333337</v>
      </c>
      <c r="G13" s="326">
        <f t="shared" si="3"/>
        <v>436666.66666666663</v>
      </c>
      <c r="H13" s="326">
        <f t="shared" si="3"/>
        <v>451222.22222222219</v>
      </c>
      <c r="I13" s="326">
        <f t="shared" si="3"/>
        <v>436666.66666666663</v>
      </c>
      <c r="J13" s="326">
        <f t="shared" si="3"/>
        <v>442611.11111111112</v>
      </c>
      <c r="K13" s="326">
        <f>+(K7+J7)/2*(LEFT(K11,7))/360*K9</f>
        <v>442611.11111111112</v>
      </c>
      <c r="L13" s="326">
        <f>+(L7+K7)/2*(LEFT(L11,7))/360*L9</f>
        <v>428333.33333333331</v>
      </c>
      <c r="M13" s="326">
        <f>+(M7+L7)/2*(LEFT(M11,7))/360*M9</f>
        <v>434861.11111111112</v>
      </c>
      <c r="N13" s="326">
        <f>+(N7+M7)/2*(LEFT(N11,7))/360*N9</f>
        <v>420833.33333333331</v>
      </c>
      <c r="O13" s="326">
        <f>+(O7+N7)/2*(LEFT(O11,7))/360*O9</f>
        <v>434861.11111111112</v>
      </c>
      <c r="P13" s="327">
        <f>SUM(D13:O13)</f>
        <v>5308666.666666666</v>
      </c>
    </row>
    <row r="14" spans="1:19">
      <c r="A14" s="316">
        <f t="shared" si="1"/>
        <v>10</v>
      </c>
      <c r="B14" s="313" t="s">
        <v>208</v>
      </c>
      <c r="C14" s="227">
        <f>100000000*0.00125/12</f>
        <v>10416.666666666666</v>
      </c>
      <c r="D14" s="227">
        <f t="shared" ref="D14:O14" si="4">100000000*0.00125/12</f>
        <v>10416.666666666666</v>
      </c>
      <c r="E14" s="227">
        <f t="shared" si="4"/>
        <v>10416.666666666666</v>
      </c>
      <c r="F14" s="227">
        <f t="shared" si="4"/>
        <v>10416.666666666666</v>
      </c>
      <c r="G14" s="227">
        <f t="shared" si="4"/>
        <v>10416.666666666666</v>
      </c>
      <c r="H14" s="227">
        <f t="shared" si="4"/>
        <v>10416.666666666666</v>
      </c>
      <c r="I14" s="227">
        <f t="shared" si="4"/>
        <v>10416.666666666666</v>
      </c>
      <c r="J14" s="227">
        <f t="shared" si="4"/>
        <v>10416.666666666666</v>
      </c>
      <c r="K14" s="227">
        <f t="shared" si="4"/>
        <v>10416.666666666666</v>
      </c>
      <c r="L14" s="227">
        <f t="shared" si="4"/>
        <v>10416.666666666666</v>
      </c>
      <c r="M14" s="227">
        <f t="shared" si="4"/>
        <v>10416.666666666666</v>
      </c>
      <c r="N14" s="227">
        <f t="shared" si="4"/>
        <v>10416.666666666666</v>
      </c>
      <c r="O14" s="227">
        <f t="shared" si="4"/>
        <v>10416.666666666666</v>
      </c>
      <c r="P14" s="328">
        <f>SUM(D14:O14)</f>
        <v>125000.00000000001</v>
      </c>
    </row>
    <row r="15" spans="1:19">
      <c r="A15" s="316">
        <f t="shared" si="1"/>
        <v>11</v>
      </c>
      <c r="B15" s="313" t="s">
        <v>209</v>
      </c>
      <c r="C15" s="329">
        <f>59721*(0.2)</f>
        <v>11944.2</v>
      </c>
      <c r="D15" s="329">
        <f t="shared" ref="D15:O15" si="5">59721*(0.2)</f>
        <v>11944.2</v>
      </c>
      <c r="E15" s="329">
        <f t="shared" si="5"/>
        <v>11944.2</v>
      </c>
      <c r="F15" s="329">
        <f t="shared" si="5"/>
        <v>11944.2</v>
      </c>
      <c r="G15" s="329">
        <f t="shared" si="5"/>
        <v>11944.2</v>
      </c>
      <c r="H15" s="329">
        <f t="shared" si="5"/>
        <v>11944.2</v>
      </c>
      <c r="I15" s="329">
        <f t="shared" si="5"/>
        <v>11944.2</v>
      </c>
      <c r="J15" s="329">
        <f t="shared" si="5"/>
        <v>11944.2</v>
      </c>
      <c r="K15" s="329">
        <f t="shared" si="5"/>
        <v>11944.2</v>
      </c>
      <c r="L15" s="329">
        <f t="shared" si="5"/>
        <v>11944.2</v>
      </c>
      <c r="M15" s="329">
        <f t="shared" si="5"/>
        <v>11944.2</v>
      </c>
      <c r="N15" s="329">
        <f t="shared" si="5"/>
        <v>11944.2</v>
      </c>
      <c r="O15" s="329">
        <f t="shared" si="5"/>
        <v>11944.2</v>
      </c>
      <c r="P15" s="330">
        <f>SUM(D15:O15)</f>
        <v>143330.4</v>
      </c>
    </row>
    <row r="16" spans="1:19" ht="13.5" thickBot="1">
      <c r="A16" s="316">
        <f t="shared" si="1"/>
        <v>12</v>
      </c>
      <c r="B16" s="313" t="s">
        <v>108</v>
      </c>
      <c r="C16" s="331">
        <f t="shared" ref="C16:O16" si="6">+SUM(C13:C15)</f>
        <v>519210.18173515983</v>
      </c>
      <c r="D16" s="331">
        <f t="shared" si="6"/>
        <v>497694.20000000007</v>
      </c>
      <c r="E16" s="331">
        <f t="shared" si="6"/>
        <v>451694.20000000007</v>
      </c>
      <c r="F16" s="331">
        <f t="shared" si="6"/>
        <v>497694.20000000007</v>
      </c>
      <c r="G16" s="331">
        <f t="shared" si="6"/>
        <v>459027.53333333333</v>
      </c>
      <c r="H16" s="331">
        <f t="shared" si="6"/>
        <v>473583.08888888889</v>
      </c>
      <c r="I16" s="331">
        <f t="shared" si="6"/>
        <v>459027.53333333333</v>
      </c>
      <c r="J16" s="331">
        <f t="shared" si="6"/>
        <v>464971.97777777782</v>
      </c>
      <c r="K16" s="331">
        <f t="shared" si="6"/>
        <v>464971.97777777782</v>
      </c>
      <c r="L16" s="331">
        <f t="shared" si="6"/>
        <v>450694.2</v>
      </c>
      <c r="M16" s="331">
        <f t="shared" si="6"/>
        <v>457221.97777777782</v>
      </c>
      <c r="N16" s="331">
        <f t="shared" si="6"/>
        <v>443194.2</v>
      </c>
      <c r="O16" s="331">
        <f t="shared" si="6"/>
        <v>457221.97777777782</v>
      </c>
      <c r="P16" s="332">
        <f>SUM(P13:P15)</f>
        <v>5576997.0666666664</v>
      </c>
    </row>
    <row r="17" spans="1:18" ht="13.5" thickTop="1">
      <c r="A17" s="316">
        <f t="shared" si="1"/>
        <v>13</v>
      </c>
      <c r="B17" s="333"/>
      <c r="C17" s="334"/>
      <c r="D17" s="334"/>
      <c r="E17" s="334"/>
      <c r="F17" s="334"/>
      <c r="G17" s="334"/>
      <c r="H17" s="313"/>
      <c r="I17" s="313"/>
      <c r="J17" s="313"/>
      <c r="K17" s="313"/>
      <c r="L17" s="313"/>
      <c r="M17" s="313"/>
      <c r="N17" s="313"/>
      <c r="O17" s="313"/>
      <c r="P17" s="313"/>
    </row>
    <row r="18" spans="1:18">
      <c r="A18" s="316">
        <f t="shared" si="1"/>
        <v>14</v>
      </c>
      <c r="B18" s="315"/>
      <c r="C18" s="315"/>
      <c r="D18" s="315"/>
      <c r="E18" s="315"/>
      <c r="F18" s="315"/>
      <c r="G18" s="315"/>
      <c r="H18" s="315"/>
      <c r="I18" s="315"/>
      <c r="J18" s="315"/>
      <c r="K18" s="315"/>
      <c r="L18" s="315"/>
      <c r="M18" s="315"/>
      <c r="N18" s="325"/>
      <c r="O18" s="335" t="s">
        <v>109</v>
      </c>
      <c r="P18" s="336">
        <f>+P16</f>
        <v>5576997.0666666664</v>
      </c>
    </row>
    <row r="19" spans="1:18">
      <c r="A19" s="316">
        <f t="shared" si="1"/>
        <v>15</v>
      </c>
      <c r="B19" s="313" t="s">
        <v>158</v>
      </c>
      <c r="C19" s="315"/>
      <c r="D19" s="337"/>
      <c r="E19" s="337"/>
      <c r="F19" s="337"/>
      <c r="G19" s="337"/>
      <c r="H19" s="337"/>
      <c r="I19" s="337"/>
      <c r="J19" s="337"/>
      <c r="K19" s="337"/>
      <c r="L19" s="337"/>
      <c r="M19" s="337"/>
      <c r="N19" s="325"/>
      <c r="O19" s="335" t="s">
        <v>110</v>
      </c>
      <c r="P19" s="338">
        <f>+P7</f>
        <v>100000000</v>
      </c>
    </row>
    <row r="20" spans="1:18">
      <c r="A20" s="316"/>
      <c r="B20" s="315"/>
      <c r="C20" s="334"/>
      <c r="D20" s="62"/>
      <c r="E20" s="63"/>
      <c r="F20" s="63"/>
      <c r="G20" s="63"/>
      <c r="H20" s="63"/>
      <c r="I20" s="63"/>
      <c r="J20" s="63"/>
      <c r="K20" s="63"/>
      <c r="L20" s="63"/>
      <c r="M20" s="64"/>
      <c r="N20" s="315"/>
      <c r="O20" s="335" t="s">
        <v>111</v>
      </c>
      <c r="P20" s="339">
        <f>+P18/P19</f>
        <v>5.5769970666666661E-2</v>
      </c>
      <c r="R20" s="65"/>
    </row>
    <row r="21" spans="1:18" ht="15.75">
      <c r="A21" s="341"/>
      <c r="B21" s="315" t="s">
        <v>210</v>
      </c>
      <c r="C21" s="315"/>
      <c r="D21" s="315"/>
      <c r="E21" s="315"/>
      <c r="F21" s="315"/>
      <c r="G21" s="315"/>
      <c r="H21" s="315"/>
      <c r="I21" s="315"/>
      <c r="J21" s="315"/>
      <c r="K21" s="315"/>
      <c r="L21" s="315"/>
      <c r="M21" s="315"/>
      <c r="N21" s="371"/>
      <c r="O21" s="371"/>
      <c r="P21" s="371"/>
    </row>
    <row r="22" spans="1:18">
      <c r="A22" s="315"/>
      <c r="B22" s="315"/>
      <c r="C22" s="342"/>
      <c r="D22" s="342"/>
      <c r="E22" s="342"/>
      <c r="F22" s="342"/>
      <c r="G22" s="342"/>
      <c r="H22" s="342"/>
      <c r="I22" s="342"/>
      <c r="J22" s="342"/>
      <c r="K22" s="342"/>
      <c r="L22" s="342"/>
      <c r="M22" s="342"/>
      <c r="N22" s="342"/>
      <c r="O22" s="342"/>
      <c r="P22" s="321"/>
    </row>
    <row r="23" spans="1:18">
      <c r="C23" s="68"/>
      <c r="D23" s="68"/>
      <c r="E23" s="68"/>
      <c r="F23" s="68"/>
      <c r="G23" s="68"/>
      <c r="H23" s="68"/>
      <c r="I23" s="68"/>
      <c r="J23" s="68"/>
      <c r="K23" s="68"/>
      <c r="L23" s="68"/>
      <c r="M23" s="68"/>
      <c r="N23" s="68"/>
      <c r="O23" s="68"/>
    </row>
    <row r="24" spans="1:18">
      <c r="C24" s="281"/>
      <c r="D24" s="281"/>
      <c r="E24" s="281"/>
      <c r="F24" s="281"/>
      <c r="G24" s="281"/>
      <c r="H24" s="281"/>
      <c r="I24" s="281"/>
      <c r="J24" s="281"/>
      <c r="K24" s="281"/>
      <c r="L24" s="281"/>
      <c r="M24" s="281"/>
      <c r="N24" s="281"/>
      <c r="O24" s="281"/>
    </row>
    <row r="25" spans="1:18">
      <c r="D25" s="301"/>
    </row>
    <row r="47" spans="2:2" ht="15.75">
      <c r="B47" s="21"/>
    </row>
  </sheetData>
  <mergeCells count="4">
    <mergeCell ref="A1:P1"/>
    <mergeCell ref="A2:P2"/>
    <mergeCell ref="A3:P3"/>
    <mergeCell ref="N21:P21"/>
  </mergeCells>
  <pageMargins left="0.48" right="0.48" top="0.5" bottom="0.5" header="0.5" footer="0.5"/>
  <pageSetup scale="65" orientation="landscape" r:id="rId1"/>
  <headerFooter alignWithMargins="0">
    <oddHeader>&amp;R Exh. KJC-2</oddHeader>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tabSelected="1" zoomScaleNormal="100" workbookViewId="0">
      <selection activeCell="R20" sqref="R20"/>
    </sheetView>
    <sheetView workbookViewId="1">
      <selection sqref="A1:P1"/>
    </sheetView>
  </sheetViews>
  <sheetFormatPr defaultRowHeight="12.75"/>
  <cols>
    <col min="1" max="1" width="4.7109375" style="39" customWidth="1"/>
    <col min="2" max="2" width="24.28515625" style="39" customWidth="1"/>
    <col min="3" max="3" width="10.140625" style="67" bestFit="1" customWidth="1"/>
    <col min="4" max="6" width="10.140625" style="39" bestFit="1" customWidth="1"/>
    <col min="7" max="7" width="10.7109375" style="39" bestFit="1" customWidth="1"/>
    <col min="8" max="8" width="10.140625" style="39" bestFit="1" customWidth="1"/>
    <col min="9" max="9" width="10.42578125" style="39" bestFit="1" customWidth="1"/>
    <col min="10" max="10" width="10.7109375" style="39" bestFit="1" customWidth="1"/>
    <col min="11" max="11" width="10.140625" style="39" bestFit="1" customWidth="1"/>
    <col min="12" max="12" width="10.7109375" style="39" bestFit="1" customWidth="1"/>
    <col min="13" max="13" width="10.140625" style="39" bestFit="1" customWidth="1"/>
    <col min="14" max="14" width="10.7109375" style="39" customWidth="1"/>
    <col min="15" max="15" width="10.140625" style="39" bestFit="1" customWidth="1"/>
    <col min="16" max="16" width="12.7109375" style="39" customWidth="1"/>
    <col min="17" max="256" width="9.140625" style="39"/>
    <col min="257" max="257" width="4.7109375" style="39" customWidth="1"/>
    <col min="258" max="258" width="24.28515625" style="39" customWidth="1"/>
    <col min="259" max="259" width="10.140625" style="39" bestFit="1" customWidth="1"/>
    <col min="260" max="268" width="10.7109375" style="39" bestFit="1" customWidth="1"/>
    <col min="269" max="269" width="10.7109375" style="39" customWidth="1"/>
    <col min="270" max="270" width="10.7109375" style="39" bestFit="1" customWidth="1"/>
    <col min="271" max="271" width="10.7109375" style="39" customWidth="1"/>
    <col min="272" max="272" width="12.7109375" style="39" customWidth="1"/>
    <col min="273" max="512" width="9.140625" style="39"/>
    <col min="513" max="513" width="4.7109375" style="39" customWidth="1"/>
    <col min="514" max="514" width="24.28515625" style="39" customWidth="1"/>
    <col min="515" max="515" width="10.140625" style="39" bestFit="1" customWidth="1"/>
    <col min="516" max="524" width="10.7109375" style="39" bestFit="1" customWidth="1"/>
    <col min="525" max="525" width="10.7109375" style="39" customWidth="1"/>
    <col min="526" max="526" width="10.7109375" style="39" bestFit="1" customWidth="1"/>
    <col min="527" max="527" width="10.7109375" style="39" customWidth="1"/>
    <col min="528" max="528" width="12.7109375" style="39" customWidth="1"/>
    <col min="529" max="768" width="9.140625" style="39"/>
    <col min="769" max="769" width="4.7109375" style="39" customWidth="1"/>
    <col min="770" max="770" width="24.28515625" style="39" customWidth="1"/>
    <col min="771" max="771" width="10.140625" style="39" bestFit="1" customWidth="1"/>
    <col min="772" max="780" width="10.7109375" style="39" bestFit="1" customWidth="1"/>
    <col min="781" max="781" width="10.7109375" style="39" customWidth="1"/>
    <col min="782" max="782" width="10.7109375" style="39" bestFit="1" customWidth="1"/>
    <col min="783" max="783" width="10.7109375" style="39" customWidth="1"/>
    <col min="784" max="784" width="12.7109375" style="39" customWidth="1"/>
    <col min="785" max="1024" width="9.140625" style="39"/>
    <col min="1025" max="1025" width="4.7109375" style="39" customWidth="1"/>
    <col min="1026" max="1026" width="24.28515625" style="39" customWidth="1"/>
    <col min="1027" max="1027" width="10.140625" style="39" bestFit="1" customWidth="1"/>
    <col min="1028" max="1036" width="10.7109375" style="39" bestFit="1" customWidth="1"/>
    <col min="1037" max="1037" width="10.7109375" style="39" customWidth="1"/>
    <col min="1038" max="1038" width="10.7109375" style="39" bestFit="1" customWidth="1"/>
    <col min="1039" max="1039" width="10.7109375" style="39" customWidth="1"/>
    <col min="1040" max="1040" width="12.7109375" style="39" customWidth="1"/>
    <col min="1041" max="1280" width="9.140625" style="39"/>
    <col min="1281" max="1281" width="4.7109375" style="39" customWidth="1"/>
    <col min="1282" max="1282" width="24.28515625" style="39" customWidth="1"/>
    <col min="1283" max="1283" width="10.140625" style="39" bestFit="1" customWidth="1"/>
    <col min="1284" max="1292" width="10.7109375" style="39" bestFit="1" customWidth="1"/>
    <col min="1293" max="1293" width="10.7109375" style="39" customWidth="1"/>
    <col min="1294" max="1294" width="10.7109375" style="39" bestFit="1" customWidth="1"/>
    <col min="1295" max="1295" width="10.7109375" style="39" customWidth="1"/>
    <col min="1296" max="1296" width="12.7109375" style="39" customWidth="1"/>
    <col min="1297" max="1536" width="9.140625" style="39"/>
    <col min="1537" max="1537" width="4.7109375" style="39" customWidth="1"/>
    <col min="1538" max="1538" width="24.28515625" style="39" customWidth="1"/>
    <col min="1539" max="1539" width="10.140625" style="39" bestFit="1" customWidth="1"/>
    <col min="1540" max="1548" width="10.7109375" style="39" bestFit="1" customWidth="1"/>
    <col min="1549" max="1549" width="10.7109375" style="39" customWidth="1"/>
    <col min="1550" max="1550" width="10.7109375" style="39" bestFit="1" customWidth="1"/>
    <col min="1551" max="1551" width="10.7109375" style="39" customWidth="1"/>
    <col min="1552" max="1552" width="12.7109375" style="39" customWidth="1"/>
    <col min="1553" max="1792" width="9.140625" style="39"/>
    <col min="1793" max="1793" width="4.7109375" style="39" customWidth="1"/>
    <col min="1794" max="1794" width="24.28515625" style="39" customWidth="1"/>
    <col min="1795" max="1795" width="10.140625" style="39" bestFit="1" customWidth="1"/>
    <col min="1796" max="1804" width="10.7109375" style="39" bestFit="1" customWidth="1"/>
    <col min="1805" max="1805" width="10.7109375" style="39" customWidth="1"/>
    <col min="1806" max="1806" width="10.7109375" style="39" bestFit="1" customWidth="1"/>
    <col min="1807" max="1807" width="10.7109375" style="39" customWidth="1"/>
    <col min="1808" max="1808" width="12.7109375" style="39" customWidth="1"/>
    <col min="1809" max="2048" width="9.140625" style="39"/>
    <col min="2049" max="2049" width="4.7109375" style="39" customWidth="1"/>
    <col min="2050" max="2050" width="24.28515625" style="39" customWidth="1"/>
    <col min="2051" max="2051" width="10.140625" style="39" bestFit="1" customWidth="1"/>
    <col min="2052" max="2060" width="10.7109375" style="39" bestFit="1" customWidth="1"/>
    <col min="2061" max="2061" width="10.7109375" style="39" customWidth="1"/>
    <col min="2062" max="2062" width="10.7109375" style="39" bestFit="1" customWidth="1"/>
    <col min="2063" max="2063" width="10.7109375" style="39" customWidth="1"/>
    <col min="2064" max="2064" width="12.7109375" style="39" customWidth="1"/>
    <col min="2065" max="2304" width="9.140625" style="39"/>
    <col min="2305" max="2305" width="4.7109375" style="39" customWidth="1"/>
    <col min="2306" max="2306" width="24.28515625" style="39" customWidth="1"/>
    <col min="2307" max="2307" width="10.140625" style="39" bestFit="1" customWidth="1"/>
    <col min="2308" max="2316" width="10.7109375" style="39" bestFit="1" customWidth="1"/>
    <col min="2317" max="2317" width="10.7109375" style="39" customWidth="1"/>
    <col min="2318" max="2318" width="10.7109375" style="39" bestFit="1" customWidth="1"/>
    <col min="2319" max="2319" width="10.7109375" style="39" customWidth="1"/>
    <col min="2320" max="2320" width="12.7109375" style="39" customWidth="1"/>
    <col min="2321" max="2560" width="9.140625" style="39"/>
    <col min="2561" max="2561" width="4.7109375" style="39" customWidth="1"/>
    <col min="2562" max="2562" width="24.28515625" style="39" customWidth="1"/>
    <col min="2563" max="2563" width="10.140625" style="39" bestFit="1" customWidth="1"/>
    <col min="2564" max="2572" width="10.7109375" style="39" bestFit="1" customWidth="1"/>
    <col min="2573" max="2573" width="10.7109375" style="39" customWidth="1"/>
    <col min="2574" max="2574" width="10.7109375" style="39" bestFit="1" customWidth="1"/>
    <col min="2575" max="2575" width="10.7109375" style="39" customWidth="1"/>
    <col min="2576" max="2576" width="12.7109375" style="39" customWidth="1"/>
    <col min="2577" max="2816" width="9.140625" style="39"/>
    <col min="2817" max="2817" width="4.7109375" style="39" customWidth="1"/>
    <col min="2818" max="2818" width="24.28515625" style="39" customWidth="1"/>
    <col min="2819" max="2819" width="10.140625" style="39" bestFit="1" customWidth="1"/>
    <col min="2820" max="2828" width="10.7109375" style="39" bestFit="1" customWidth="1"/>
    <col min="2829" max="2829" width="10.7109375" style="39" customWidth="1"/>
    <col min="2830" max="2830" width="10.7109375" style="39" bestFit="1" customWidth="1"/>
    <col min="2831" max="2831" width="10.7109375" style="39" customWidth="1"/>
    <col min="2832" max="2832" width="12.7109375" style="39" customWidth="1"/>
    <col min="2833" max="3072" width="9.140625" style="39"/>
    <col min="3073" max="3073" width="4.7109375" style="39" customWidth="1"/>
    <col min="3074" max="3074" width="24.28515625" style="39" customWidth="1"/>
    <col min="3075" max="3075" width="10.140625" style="39" bestFit="1" customWidth="1"/>
    <col min="3076" max="3084" width="10.7109375" style="39" bestFit="1" customWidth="1"/>
    <col min="3085" max="3085" width="10.7109375" style="39" customWidth="1"/>
    <col min="3086" max="3086" width="10.7109375" style="39" bestFit="1" customWidth="1"/>
    <col min="3087" max="3087" width="10.7109375" style="39" customWidth="1"/>
    <col min="3088" max="3088" width="12.7109375" style="39" customWidth="1"/>
    <col min="3089" max="3328" width="9.140625" style="39"/>
    <col min="3329" max="3329" width="4.7109375" style="39" customWidth="1"/>
    <col min="3330" max="3330" width="24.28515625" style="39" customWidth="1"/>
    <col min="3331" max="3331" width="10.140625" style="39" bestFit="1" customWidth="1"/>
    <col min="3332" max="3340" width="10.7109375" style="39" bestFit="1" customWidth="1"/>
    <col min="3341" max="3341" width="10.7109375" style="39" customWidth="1"/>
    <col min="3342" max="3342" width="10.7109375" style="39" bestFit="1" customWidth="1"/>
    <col min="3343" max="3343" width="10.7109375" style="39" customWidth="1"/>
    <col min="3344" max="3344" width="12.7109375" style="39" customWidth="1"/>
    <col min="3345" max="3584" width="9.140625" style="39"/>
    <col min="3585" max="3585" width="4.7109375" style="39" customWidth="1"/>
    <col min="3586" max="3586" width="24.28515625" style="39" customWidth="1"/>
    <col min="3587" max="3587" width="10.140625" style="39" bestFit="1" customWidth="1"/>
    <col min="3588" max="3596" width="10.7109375" style="39" bestFit="1" customWidth="1"/>
    <col min="3597" max="3597" width="10.7109375" style="39" customWidth="1"/>
    <col min="3598" max="3598" width="10.7109375" style="39" bestFit="1" customWidth="1"/>
    <col min="3599" max="3599" width="10.7109375" style="39" customWidth="1"/>
    <col min="3600" max="3600" width="12.7109375" style="39" customWidth="1"/>
    <col min="3601" max="3840" width="9.140625" style="39"/>
    <col min="3841" max="3841" width="4.7109375" style="39" customWidth="1"/>
    <col min="3842" max="3842" width="24.28515625" style="39" customWidth="1"/>
    <col min="3843" max="3843" width="10.140625" style="39" bestFit="1" customWidth="1"/>
    <col min="3844" max="3852" width="10.7109375" style="39" bestFit="1" customWidth="1"/>
    <col min="3853" max="3853" width="10.7109375" style="39" customWidth="1"/>
    <col min="3854" max="3854" width="10.7109375" style="39" bestFit="1" customWidth="1"/>
    <col min="3855" max="3855" width="10.7109375" style="39" customWidth="1"/>
    <col min="3856" max="3856" width="12.7109375" style="39" customWidth="1"/>
    <col min="3857" max="4096" width="9.140625" style="39"/>
    <col min="4097" max="4097" width="4.7109375" style="39" customWidth="1"/>
    <col min="4098" max="4098" width="24.28515625" style="39" customWidth="1"/>
    <col min="4099" max="4099" width="10.140625" style="39" bestFit="1" customWidth="1"/>
    <col min="4100" max="4108" width="10.7109375" style="39" bestFit="1" customWidth="1"/>
    <col min="4109" max="4109" width="10.7109375" style="39" customWidth="1"/>
    <col min="4110" max="4110" width="10.7109375" style="39" bestFit="1" customWidth="1"/>
    <col min="4111" max="4111" width="10.7109375" style="39" customWidth="1"/>
    <col min="4112" max="4112" width="12.7109375" style="39" customWidth="1"/>
    <col min="4113" max="4352" width="9.140625" style="39"/>
    <col min="4353" max="4353" width="4.7109375" style="39" customWidth="1"/>
    <col min="4354" max="4354" width="24.28515625" style="39" customWidth="1"/>
    <col min="4355" max="4355" width="10.140625" style="39" bestFit="1" customWidth="1"/>
    <col min="4356" max="4364" width="10.7109375" style="39" bestFit="1" customWidth="1"/>
    <col min="4365" max="4365" width="10.7109375" style="39" customWidth="1"/>
    <col min="4366" max="4366" width="10.7109375" style="39" bestFit="1" customWidth="1"/>
    <col min="4367" max="4367" width="10.7109375" style="39" customWidth="1"/>
    <col min="4368" max="4368" width="12.7109375" style="39" customWidth="1"/>
    <col min="4369" max="4608" width="9.140625" style="39"/>
    <col min="4609" max="4609" width="4.7109375" style="39" customWidth="1"/>
    <col min="4610" max="4610" width="24.28515625" style="39" customWidth="1"/>
    <col min="4611" max="4611" width="10.140625" style="39" bestFit="1" customWidth="1"/>
    <col min="4612" max="4620" width="10.7109375" style="39" bestFit="1" customWidth="1"/>
    <col min="4621" max="4621" width="10.7109375" style="39" customWidth="1"/>
    <col min="4622" max="4622" width="10.7109375" style="39" bestFit="1" customWidth="1"/>
    <col min="4623" max="4623" width="10.7109375" style="39" customWidth="1"/>
    <col min="4624" max="4624" width="12.7109375" style="39" customWidth="1"/>
    <col min="4625" max="4864" width="9.140625" style="39"/>
    <col min="4865" max="4865" width="4.7109375" style="39" customWidth="1"/>
    <col min="4866" max="4866" width="24.28515625" style="39" customWidth="1"/>
    <col min="4867" max="4867" width="10.140625" style="39" bestFit="1" customWidth="1"/>
    <col min="4868" max="4876" width="10.7109375" style="39" bestFit="1" customWidth="1"/>
    <col min="4877" max="4877" width="10.7109375" style="39" customWidth="1"/>
    <col min="4878" max="4878" width="10.7109375" style="39" bestFit="1" customWidth="1"/>
    <col min="4879" max="4879" width="10.7109375" style="39" customWidth="1"/>
    <col min="4880" max="4880" width="12.7109375" style="39" customWidth="1"/>
    <col min="4881" max="5120" width="9.140625" style="39"/>
    <col min="5121" max="5121" width="4.7109375" style="39" customWidth="1"/>
    <col min="5122" max="5122" width="24.28515625" style="39" customWidth="1"/>
    <col min="5123" max="5123" width="10.140625" style="39" bestFit="1" customWidth="1"/>
    <col min="5124" max="5132" width="10.7109375" style="39" bestFit="1" customWidth="1"/>
    <col min="5133" max="5133" width="10.7109375" style="39" customWidth="1"/>
    <col min="5134" max="5134" width="10.7109375" style="39" bestFit="1" customWidth="1"/>
    <col min="5135" max="5135" width="10.7109375" style="39" customWidth="1"/>
    <col min="5136" max="5136" width="12.7109375" style="39" customWidth="1"/>
    <col min="5137" max="5376" width="9.140625" style="39"/>
    <col min="5377" max="5377" width="4.7109375" style="39" customWidth="1"/>
    <col min="5378" max="5378" width="24.28515625" style="39" customWidth="1"/>
    <col min="5379" max="5379" width="10.140625" style="39" bestFit="1" customWidth="1"/>
    <col min="5380" max="5388" width="10.7109375" style="39" bestFit="1" customWidth="1"/>
    <col min="5389" max="5389" width="10.7109375" style="39" customWidth="1"/>
    <col min="5390" max="5390" width="10.7109375" style="39" bestFit="1" customWidth="1"/>
    <col min="5391" max="5391" width="10.7109375" style="39" customWidth="1"/>
    <col min="5392" max="5392" width="12.7109375" style="39" customWidth="1"/>
    <col min="5393" max="5632" width="9.140625" style="39"/>
    <col min="5633" max="5633" width="4.7109375" style="39" customWidth="1"/>
    <col min="5634" max="5634" width="24.28515625" style="39" customWidth="1"/>
    <col min="5635" max="5635" width="10.140625" style="39" bestFit="1" customWidth="1"/>
    <col min="5636" max="5644" width="10.7109375" style="39" bestFit="1" customWidth="1"/>
    <col min="5645" max="5645" width="10.7109375" style="39" customWidth="1"/>
    <col min="5646" max="5646" width="10.7109375" style="39" bestFit="1" customWidth="1"/>
    <col min="5647" max="5647" width="10.7109375" style="39" customWidth="1"/>
    <col min="5648" max="5648" width="12.7109375" style="39" customWidth="1"/>
    <col min="5649" max="5888" width="9.140625" style="39"/>
    <col min="5889" max="5889" width="4.7109375" style="39" customWidth="1"/>
    <col min="5890" max="5890" width="24.28515625" style="39" customWidth="1"/>
    <col min="5891" max="5891" width="10.140625" style="39" bestFit="1" customWidth="1"/>
    <col min="5892" max="5900" width="10.7109375" style="39" bestFit="1" customWidth="1"/>
    <col min="5901" max="5901" width="10.7109375" style="39" customWidth="1"/>
    <col min="5902" max="5902" width="10.7109375" style="39" bestFit="1" customWidth="1"/>
    <col min="5903" max="5903" width="10.7109375" style="39" customWidth="1"/>
    <col min="5904" max="5904" width="12.7109375" style="39" customWidth="1"/>
    <col min="5905" max="6144" width="9.140625" style="39"/>
    <col min="6145" max="6145" width="4.7109375" style="39" customWidth="1"/>
    <col min="6146" max="6146" width="24.28515625" style="39" customWidth="1"/>
    <col min="6147" max="6147" width="10.140625" style="39" bestFit="1" customWidth="1"/>
    <col min="6148" max="6156" width="10.7109375" style="39" bestFit="1" customWidth="1"/>
    <col min="6157" max="6157" width="10.7109375" style="39" customWidth="1"/>
    <col min="6158" max="6158" width="10.7109375" style="39" bestFit="1" customWidth="1"/>
    <col min="6159" max="6159" width="10.7109375" style="39" customWidth="1"/>
    <col min="6160" max="6160" width="12.7109375" style="39" customWidth="1"/>
    <col min="6161" max="6400" width="9.140625" style="39"/>
    <col min="6401" max="6401" width="4.7109375" style="39" customWidth="1"/>
    <col min="6402" max="6402" width="24.28515625" style="39" customWidth="1"/>
    <col min="6403" max="6403" width="10.140625" style="39" bestFit="1" customWidth="1"/>
    <col min="6404" max="6412" width="10.7109375" style="39" bestFit="1" customWidth="1"/>
    <col min="6413" max="6413" width="10.7109375" style="39" customWidth="1"/>
    <col min="6414" max="6414" width="10.7109375" style="39" bestFit="1" customWidth="1"/>
    <col min="6415" max="6415" width="10.7109375" style="39" customWidth="1"/>
    <col min="6416" max="6416" width="12.7109375" style="39" customWidth="1"/>
    <col min="6417" max="6656" width="9.140625" style="39"/>
    <col min="6657" max="6657" width="4.7109375" style="39" customWidth="1"/>
    <col min="6658" max="6658" width="24.28515625" style="39" customWidth="1"/>
    <col min="6659" max="6659" width="10.140625" style="39" bestFit="1" customWidth="1"/>
    <col min="6660" max="6668" width="10.7109375" style="39" bestFit="1" customWidth="1"/>
    <col min="6669" max="6669" width="10.7109375" style="39" customWidth="1"/>
    <col min="6670" max="6670" width="10.7109375" style="39" bestFit="1" customWidth="1"/>
    <col min="6671" max="6671" width="10.7109375" style="39" customWidth="1"/>
    <col min="6672" max="6672" width="12.7109375" style="39" customWidth="1"/>
    <col min="6673" max="6912" width="9.140625" style="39"/>
    <col min="6913" max="6913" width="4.7109375" style="39" customWidth="1"/>
    <col min="6914" max="6914" width="24.28515625" style="39" customWidth="1"/>
    <col min="6915" max="6915" width="10.140625" style="39" bestFit="1" customWidth="1"/>
    <col min="6916" max="6924" width="10.7109375" style="39" bestFit="1" customWidth="1"/>
    <col min="6925" max="6925" width="10.7109375" style="39" customWidth="1"/>
    <col min="6926" max="6926" width="10.7109375" style="39" bestFit="1" customWidth="1"/>
    <col min="6927" max="6927" width="10.7109375" style="39" customWidth="1"/>
    <col min="6928" max="6928" width="12.7109375" style="39" customWidth="1"/>
    <col min="6929" max="7168" width="9.140625" style="39"/>
    <col min="7169" max="7169" width="4.7109375" style="39" customWidth="1"/>
    <col min="7170" max="7170" width="24.28515625" style="39" customWidth="1"/>
    <col min="7171" max="7171" width="10.140625" style="39" bestFit="1" customWidth="1"/>
    <col min="7172" max="7180" width="10.7109375" style="39" bestFit="1" customWidth="1"/>
    <col min="7181" max="7181" width="10.7109375" style="39" customWidth="1"/>
    <col min="7182" max="7182" width="10.7109375" style="39" bestFit="1" customWidth="1"/>
    <col min="7183" max="7183" width="10.7109375" style="39" customWidth="1"/>
    <col min="7184" max="7184" width="12.7109375" style="39" customWidth="1"/>
    <col min="7185" max="7424" width="9.140625" style="39"/>
    <col min="7425" max="7425" width="4.7109375" style="39" customWidth="1"/>
    <col min="7426" max="7426" width="24.28515625" style="39" customWidth="1"/>
    <col min="7427" max="7427" width="10.140625" style="39" bestFit="1" customWidth="1"/>
    <col min="7428" max="7436" width="10.7109375" style="39" bestFit="1" customWidth="1"/>
    <col min="7437" max="7437" width="10.7109375" style="39" customWidth="1"/>
    <col min="7438" max="7438" width="10.7109375" style="39" bestFit="1" customWidth="1"/>
    <col min="7439" max="7439" width="10.7109375" style="39" customWidth="1"/>
    <col min="7440" max="7440" width="12.7109375" style="39" customWidth="1"/>
    <col min="7441" max="7680" width="9.140625" style="39"/>
    <col min="7681" max="7681" width="4.7109375" style="39" customWidth="1"/>
    <col min="7682" max="7682" width="24.28515625" style="39" customWidth="1"/>
    <col min="7683" max="7683" width="10.140625" style="39" bestFit="1" customWidth="1"/>
    <col min="7684" max="7692" width="10.7109375" style="39" bestFit="1" customWidth="1"/>
    <col min="7693" max="7693" width="10.7109375" style="39" customWidth="1"/>
    <col min="7694" max="7694" width="10.7109375" style="39" bestFit="1" customWidth="1"/>
    <col min="7695" max="7695" width="10.7109375" style="39" customWidth="1"/>
    <col min="7696" max="7696" width="12.7109375" style="39" customWidth="1"/>
    <col min="7697" max="7936" width="9.140625" style="39"/>
    <col min="7937" max="7937" width="4.7109375" style="39" customWidth="1"/>
    <col min="7938" max="7938" width="24.28515625" style="39" customWidth="1"/>
    <col min="7939" max="7939" width="10.140625" style="39" bestFit="1" customWidth="1"/>
    <col min="7940" max="7948" width="10.7109375" style="39" bestFit="1" customWidth="1"/>
    <col min="7949" max="7949" width="10.7109375" style="39" customWidth="1"/>
    <col min="7950" max="7950" width="10.7109375" style="39" bestFit="1" customWidth="1"/>
    <col min="7951" max="7951" width="10.7109375" style="39" customWidth="1"/>
    <col min="7952" max="7952" width="12.7109375" style="39" customWidth="1"/>
    <col min="7953" max="8192" width="9.140625" style="39"/>
    <col min="8193" max="8193" width="4.7109375" style="39" customWidth="1"/>
    <col min="8194" max="8194" width="24.28515625" style="39" customWidth="1"/>
    <col min="8195" max="8195" width="10.140625" style="39" bestFit="1" customWidth="1"/>
    <col min="8196" max="8204" width="10.7109375" style="39" bestFit="1" customWidth="1"/>
    <col min="8205" max="8205" width="10.7109375" style="39" customWidth="1"/>
    <col min="8206" max="8206" width="10.7109375" style="39" bestFit="1" customWidth="1"/>
    <col min="8207" max="8207" width="10.7109375" style="39" customWidth="1"/>
    <col min="8208" max="8208" width="12.7109375" style="39" customWidth="1"/>
    <col min="8209" max="8448" width="9.140625" style="39"/>
    <col min="8449" max="8449" width="4.7109375" style="39" customWidth="1"/>
    <col min="8450" max="8450" width="24.28515625" style="39" customWidth="1"/>
    <col min="8451" max="8451" width="10.140625" style="39" bestFit="1" customWidth="1"/>
    <col min="8452" max="8460" width="10.7109375" style="39" bestFit="1" customWidth="1"/>
    <col min="8461" max="8461" width="10.7109375" style="39" customWidth="1"/>
    <col min="8462" max="8462" width="10.7109375" style="39" bestFit="1" customWidth="1"/>
    <col min="8463" max="8463" width="10.7109375" style="39" customWidth="1"/>
    <col min="8464" max="8464" width="12.7109375" style="39" customWidth="1"/>
    <col min="8465" max="8704" width="9.140625" style="39"/>
    <col min="8705" max="8705" width="4.7109375" style="39" customWidth="1"/>
    <col min="8706" max="8706" width="24.28515625" style="39" customWidth="1"/>
    <col min="8707" max="8707" width="10.140625" style="39" bestFit="1" customWidth="1"/>
    <col min="8708" max="8716" width="10.7109375" style="39" bestFit="1" customWidth="1"/>
    <col min="8717" max="8717" width="10.7109375" style="39" customWidth="1"/>
    <col min="8718" max="8718" width="10.7109375" style="39" bestFit="1" customWidth="1"/>
    <col min="8719" max="8719" width="10.7109375" style="39" customWidth="1"/>
    <col min="8720" max="8720" width="12.7109375" style="39" customWidth="1"/>
    <col min="8721" max="8960" width="9.140625" style="39"/>
    <col min="8961" max="8961" width="4.7109375" style="39" customWidth="1"/>
    <col min="8962" max="8962" width="24.28515625" style="39" customWidth="1"/>
    <col min="8963" max="8963" width="10.140625" style="39" bestFit="1" customWidth="1"/>
    <col min="8964" max="8972" width="10.7109375" style="39" bestFit="1" customWidth="1"/>
    <col min="8973" max="8973" width="10.7109375" style="39" customWidth="1"/>
    <col min="8974" max="8974" width="10.7109375" style="39" bestFit="1" customWidth="1"/>
    <col min="8975" max="8975" width="10.7109375" style="39" customWidth="1"/>
    <col min="8976" max="8976" width="12.7109375" style="39" customWidth="1"/>
    <col min="8977" max="9216" width="9.140625" style="39"/>
    <col min="9217" max="9217" width="4.7109375" style="39" customWidth="1"/>
    <col min="9218" max="9218" width="24.28515625" style="39" customWidth="1"/>
    <col min="9219" max="9219" width="10.140625" style="39" bestFit="1" customWidth="1"/>
    <col min="9220" max="9228" width="10.7109375" style="39" bestFit="1" customWidth="1"/>
    <col min="9229" max="9229" width="10.7109375" style="39" customWidth="1"/>
    <col min="9230" max="9230" width="10.7109375" style="39" bestFit="1" customWidth="1"/>
    <col min="9231" max="9231" width="10.7109375" style="39" customWidth="1"/>
    <col min="9232" max="9232" width="12.7109375" style="39" customWidth="1"/>
    <col min="9233" max="9472" width="9.140625" style="39"/>
    <col min="9473" max="9473" width="4.7109375" style="39" customWidth="1"/>
    <col min="9474" max="9474" width="24.28515625" style="39" customWidth="1"/>
    <col min="9475" max="9475" width="10.140625" style="39" bestFit="1" customWidth="1"/>
    <col min="9476" max="9484" width="10.7109375" style="39" bestFit="1" customWidth="1"/>
    <col min="9485" max="9485" width="10.7109375" style="39" customWidth="1"/>
    <col min="9486" max="9486" width="10.7109375" style="39" bestFit="1" customWidth="1"/>
    <col min="9487" max="9487" width="10.7109375" style="39" customWidth="1"/>
    <col min="9488" max="9488" width="12.7109375" style="39" customWidth="1"/>
    <col min="9489" max="9728" width="9.140625" style="39"/>
    <col min="9729" max="9729" width="4.7109375" style="39" customWidth="1"/>
    <col min="9730" max="9730" width="24.28515625" style="39" customWidth="1"/>
    <col min="9731" max="9731" width="10.140625" style="39" bestFit="1" customWidth="1"/>
    <col min="9732" max="9740" width="10.7109375" style="39" bestFit="1" customWidth="1"/>
    <col min="9741" max="9741" width="10.7109375" style="39" customWidth="1"/>
    <col min="9742" max="9742" width="10.7109375" style="39" bestFit="1" customWidth="1"/>
    <col min="9743" max="9743" width="10.7109375" style="39" customWidth="1"/>
    <col min="9744" max="9744" width="12.7109375" style="39" customWidth="1"/>
    <col min="9745" max="9984" width="9.140625" style="39"/>
    <col min="9985" max="9985" width="4.7109375" style="39" customWidth="1"/>
    <col min="9986" max="9986" width="24.28515625" style="39" customWidth="1"/>
    <col min="9987" max="9987" width="10.140625" style="39" bestFit="1" customWidth="1"/>
    <col min="9988" max="9996" width="10.7109375" style="39" bestFit="1" customWidth="1"/>
    <col min="9997" max="9997" width="10.7109375" style="39" customWidth="1"/>
    <col min="9998" max="9998" width="10.7109375" style="39" bestFit="1" customWidth="1"/>
    <col min="9999" max="9999" width="10.7109375" style="39" customWidth="1"/>
    <col min="10000" max="10000" width="12.7109375" style="39" customWidth="1"/>
    <col min="10001" max="10240" width="9.140625" style="39"/>
    <col min="10241" max="10241" width="4.7109375" style="39" customWidth="1"/>
    <col min="10242" max="10242" width="24.28515625" style="39" customWidth="1"/>
    <col min="10243" max="10243" width="10.140625" style="39" bestFit="1" customWidth="1"/>
    <col min="10244" max="10252" width="10.7109375" style="39" bestFit="1" customWidth="1"/>
    <col min="10253" max="10253" width="10.7109375" style="39" customWidth="1"/>
    <col min="10254" max="10254" width="10.7109375" style="39" bestFit="1" customWidth="1"/>
    <col min="10255" max="10255" width="10.7109375" style="39" customWidth="1"/>
    <col min="10256" max="10256" width="12.7109375" style="39" customWidth="1"/>
    <col min="10257" max="10496" width="9.140625" style="39"/>
    <col min="10497" max="10497" width="4.7109375" style="39" customWidth="1"/>
    <col min="10498" max="10498" width="24.28515625" style="39" customWidth="1"/>
    <col min="10499" max="10499" width="10.140625" style="39" bestFit="1" customWidth="1"/>
    <col min="10500" max="10508" width="10.7109375" style="39" bestFit="1" customWidth="1"/>
    <col min="10509" max="10509" width="10.7109375" style="39" customWidth="1"/>
    <col min="10510" max="10510" width="10.7109375" style="39" bestFit="1" customWidth="1"/>
    <col min="10511" max="10511" width="10.7109375" style="39" customWidth="1"/>
    <col min="10512" max="10512" width="12.7109375" style="39" customWidth="1"/>
    <col min="10513" max="10752" width="9.140625" style="39"/>
    <col min="10753" max="10753" width="4.7109375" style="39" customWidth="1"/>
    <col min="10754" max="10754" width="24.28515625" style="39" customWidth="1"/>
    <col min="10755" max="10755" width="10.140625" style="39" bestFit="1" customWidth="1"/>
    <col min="10756" max="10764" width="10.7109375" style="39" bestFit="1" customWidth="1"/>
    <col min="10765" max="10765" width="10.7109375" style="39" customWidth="1"/>
    <col min="10766" max="10766" width="10.7109375" style="39" bestFit="1" customWidth="1"/>
    <col min="10767" max="10767" width="10.7109375" style="39" customWidth="1"/>
    <col min="10768" max="10768" width="12.7109375" style="39" customWidth="1"/>
    <col min="10769" max="11008" width="9.140625" style="39"/>
    <col min="11009" max="11009" width="4.7109375" style="39" customWidth="1"/>
    <col min="11010" max="11010" width="24.28515625" style="39" customWidth="1"/>
    <col min="11011" max="11011" width="10.140625" style="39" bestFit="1" customWidth="1"/>
    <col min="11012" max="11020" width="10.7109375" style="39" bestFit="1" customWidth="1"/>
    <col min="11021" max="11021" width="10.7109375" style="39" customWidth="1"/>
    <col min="11022" max="11022" width="10.7109375" style="39" bestFit="1" customWidth="1"/>
    <col min="11023" max="11023" width="10.7109375" style="39" customWidth="1"/>
    <col min="11024" max="11024" width="12.7109375" style="39" customWidth="1"/>
    <col min="11025" max="11264" width="9.140625" style="39"/>
    <col min="11265" max="11265" width="4.7109375" style="39" customWidth="1"/>
    <col min="11266" max="11266" width="24.28515625" style="39" customWidth="1"/>
    <col min="11267" max="11267" width="10.140625" style="39" bestFit="1" customWidth="1"/>
    <col min="11268" max="11276" width="10.7109375" style="39" bestFit="1" customWidth="1"/>
    <col min="11277" max="11277" width="10.7109375" style="39" customWidth="1"/>
    <col min="11278" max="11278" width="10.7109375" style="39" bestFit="1" customWidth="1"/>
    <col min="11279" max="11279" width="10.7109375" style="39" customWidth="1"/>
    <col min="11280" max="11280" width="12.7109375" style="39" customWidth="1"/>
    <col min="11281" max="11520" width="9.140625" style="39"/>
    <col min="11521" max="11521" width="4.7109375" style="39" customWidth="1"/>
    <col min="11522" max="11522" width="24.28515625" style="39" customWidth="1"/>
    <col min="11523" max="11523" width="10.140625" style="39" bestFit="1" customWidth="1"/>
    <col min="11524" max="11532" width="10.7109375" style="39" bestFit="1" customWidth="1"/>
    <col min="11533" max="11533" width="10.7109375" style="39" customWidth="1"/>
    <col min="11534" max="11534" width="10.7109375" style="39" bestFit="1" customWidth="1"/>
    <col min="11535" max="11535" width="10.7109375" style="39" customWidth="1"/>
    <col min="11536" max="11536" width="12.7109375" style="39" customWidth="1"/>
    <col min="11537" max="11776" width="9.140625" style="39"/>
    <col min="11777" max="11777" width="4.7109375" style="39" customWidth="1"/>
    <col min="11778" max="11778" width="24.28515625" style="39" customWidth="1"/>
    <col min="11779" max="11779" width="10.140625" style="39" bestFit="1" customWidth="1"/>
    <col min="11780" max="11788" width="10.7109375" style="39" bestFit="1" customWidth="1"/>
    <col min="11789" max="11789" width="10.7109375" style="39" customWidth="1"/>
    <col min="11790" max="11790" width="10.7109375" style="39" bestFit="1" customWidth="1"/>
    <col min="11791" max="11791" width="10.7109375" style="39" customWidth="1"/>
    <col min="11792" max="11792" width="12.7109375" style="39" customWidth="1"/>
    <col min="11793" max="12032" width="9.140625" style="39"/>
    <col min="12033" max="12033" width="4.7109375" style="39" customWidth="1"/>
    <col min="12034" max="12034" width="24.28515625" style="39" customWidth="1"/>
    <col min="12035" max="12035" width="10.140625" style="39" bestFit="1" customWidth="1"/>
    <col min="12036" max="12044" width="10.7109375" style="39" bestFit="1" customWidth="1"/>
    <col min="12045" max="12045" width="10.7109375" style="39" customWidth="1"/>
    <col min="12046" max="12046" width="10.7109375" style="39" bestFit="1" customWidth="1"/>
    <col min="12047" max="12047" width="10.7109375" style="39" customWidth="1"/>
    <col min="12048" max="12048" width="12.7109375" style="39" customWidth="1"/>
    <col min="12049" max="12288" width="9.140625" style="39"/>
    <col min="12289" max="12289" width="4.7109375" style="39" customWidth="1"/>
    <col min="12290" max="12290" width="24.28515625" style="39" customWidth="1"/>
    <col min="12291" max="12291" width="10.140625" style="39" bestFit="1" customWidth="1"/>
    <col min="12292" max="12300" width="10.7109375" style="39" bestFit="1" customWidth="1"/>
    <col min="12301" max="12301" width="10.7109375" style="39" customWidth="1"/>
    <col min="12302" max="12302" width="10.7109375" style="39" bestFit="1" customWidth="1"/>
    <col min="12303" max="12303" width="10.7109375" style="39" customWidth="1"/>
    <col min="12304" max="12304" width="12.7109375" style="39" customWidth="1"/>
    <col min="12305" max="12544" width="9.140625" style="39"/>
    <col min="12545" max="12545" width="4.7109375" style="39" customWidth="1"/>
    <col min="12546" max="12546" width="24.28515625" style="39" customWidth="1"/>
    <col min="12547" max="12547" width="10.140625" style="39" bestFit="1" customWidth="1"/>
    <col min="12548" max="12556" width="10.7109375" style="39" bestFit="1" customWidth="1"/>
    <col min="12557" max="12557" width="10.7109375" style="39" customWidth="1"/>
    <col min="12558" max="12558" width="10.7109375" style="39" bestFit="1" customWidth="1"/>
    <col min="12559" max="12559" width="10.7109375" style="39" customWidth="1"/>
    <col min="12560" max="12560" width="12.7109375" style="39" customWidth="1"/>
    <col min="12561" max="12800" width="9.140625" style="39"/>
    <col min="12801" max="12801" width="4.7109375" style="39" customWidth="1"/>
    <col min="12802" max="12802" width="24.28515625" style="39" customWidth="1"/>
    <col min="12803" max="12803" width="10.140625" style="39" bestFit="1" customWidth="1"/>
    <col min="12804" max="12812" width="10.7109375" style="39" bestFit="1" customWidth="1"/>
    <col min="12813" max="12813" width="10.7109375" style="39" customWidth="1"/>
    <col min="12814" max="12814" width="10.7109375" style="39" bestFit="1" customWidth="1"/>
    <col min="12815" max="12815" width="10.7109375" style="39" customWidth="1"/>
    <col min="12816" max="12816" width="12.7109375" style="39" customWidth="1"/>
    <col min="12817" max="13056" width="9.140625" style="39"/>
    <col min="13057" max="13057" width="4.7109375" style="39" customWidth="1"/>
    <col min="13058" max="13058" width="24.28515625" style="39" customWidth="1"/>
    <col min="13059" max="13059" width="10.140625" style="39" bestFit="1" customWidth="1"/>
    <col min="13060" max="13068" width="10.7109375" style="39" bestFit="1" customWidth="1"/>
    <col min="13069" max="13069" width="10.7109375" style="39" customWidth="1"/>
    <col min="13070" max="13070" width="10.7109375" style="39" bestFit="1" customWidth="1"/>
    <col min="13071" max="13071" width="10.7109375" style="39" customWidth="1"/>
    <col min="13072" max="13072" width="12.7109375" style="39" customWidth="1"/>
    <col min="13073" max="13312" width="9.140625" style="39"/>
    <col min="13313" max="13313" width="4.7109375" style="39" customWidth="1"/>
    <col min="13314" max="13314" width="24.28515625" style="39" customWidth="1"/>
    <col min="13315" max="13315" width="10.140625" style="39" bestFit="1" customWidth="1"/>
    <col min="13316" max="13324" width="10.7109375" style="39" bestFit="1" customWidth="1"/>
    <col min="13325" max="13325" width="10.7109375" style="39" customWidth="1"/>
    <col min="13326" max="13326" width="10.7109375" style="39" bestFit="1" customWidth="1"/>
    <col min="13327" max="13327" width="10.7109375" style="39" customWidth="1"/>
    <col min="13328" max="13328" width="12.7109375" style="39" customWidth="1"/>
    <col min="13329" max="13568" width="9.140625" style="39"/>
    <col min="13569" max="13569" width="4.7109375" style="39" customWidth="1"/>
    <col min="13570" max="13570" width="24.28515625" style="39" customWidth="1"/>
    <col min="13571" max="13571" width="10.140625" style="39" bestFit="1" customWidth="1"/>
    <col min="13572" max="13580" width="10.7109375" style="39" bestFit="1" customWidth="1"/>
    <col min="13581" max="13581" width="10.7109375" style="39" customWidth="1"/>
    <col min="13582" max="13582" width="10.7109375" style="39" bestFit="1" customWidth="1"/>
    <col min="13583" max="13583" width="10.7109375" style="39" customWidth="1"/>
    <col min="13584" max="13584" width="12.7109375" style="39" customWidth="1"/>
    <col min="13585" max="13824" width="9.140625" style="39"/>
    <col min="13825" max="13825" width="4.7109375" style="39" customWidth="1"/>
    <col min="13826" max="13826" width="24.28515625" style="39" customWidth="1"/>
    <col min="13827" max="13827" width="10.140625" style="39" bestFit="1" customWidth="1"/>
    <col min="13828" max="13836" width="10.7109375" style="39" bestFit="1" customWidth="1"/>
    <col min="13837" max="13837" width="10.7109375" style="39" customWidth="1"/>
    <col min="13838" max="13838" width="10.7109375" style="39" bestFit="1" customWidth="1"/>
    <col min="13839" max="13839" width="10.7109375" style="39" customWidth="1"/>
    <col min="13840" max="13840" width="12.7109375" style="39" customWidth="1"/>
    <col min="13841" max="14080" width="9.140625" style="39"/>
    <col min="14081" max="14081" width="4.7109375" style="39" customWidth="1"/>
    <col min="14082" max="14082" width="24.28515625" style="39" customWidth="1"/>
    <col min="14083" max="14083" width="10.140625" style="39" bestFit="1" customWidth="1"/>
    <col min="14084" max="14092" width="10.7109375" style="39" bestFit="1" customWidth="1"/>
    <col min="14093" max="14093" width="10.7109375" style="39" customWidth="1"/>
    <col min="14094" max="14094" width="10.7109375" style="39" bestFit="1" customWidth="1"/>
    <col min="14095" max="14095" width="10.7109375" style="39" customWidth="1"/>
    <col min="14096" max="14096" width="12.7109375" style="39" customWidth="1"/>
    <col min="14097" max="14336" width="9.140625" style="39"/>
    <col min="14337" max="14337" width="4.7109375" style="39" customWidth="1"/>
    <col min="14338" max="14338" width="24.28515625" style="39" customWidth="1"/>
    <col min="14339" max="14339" width="10.140625" style="39" bestFit="1" customWidth="1"/>
    <col min="14340" max="14348" width="10.7109375" style="39" bestFit="1" customWidth="1"/>
    <col min="14349" max="14349" width="10.7109375" style="39" customWidth="1"/>
    <col min="14350" max="14350" width="10.7109375" style="39" bestFit="1" customWidth="1"/>
    <col min="14351" max="14351" width="10.7109375" style="39" customWidth="1"/>
    <col min="14352" max="14352" width="12.7109375" style="39" customWidth="1"/>
    <col min="14353" max="14592" width="9.140625" style="39"/>
    <col min="14593" max="14593" width="4.7109375" style="39" customWidth="1"/>
    <col min="14594" max="14594" width="24.28515625" style="39" customWidth="1"/>
    <col min="14595" max="14595" width="10.140625" style="39" bestFit="1" customWidth="1"/>
    <col min="14596" max="14604" width="10.7109375" style="39" bestFit="1" customWidth="1"/>
    <col min="14605" max="14605" width="10.7109375" style="39" customWidth="1"/>
    <col min="14606" max="14606" width="10.7109375" style="39" bestFit="1" customWidth="1"/>
    <col min="14607" max="14607" width="10.7109375" style="39" customWidth="1"/>
    <col min="14608" max="14608" width="12.7109375" style="39" customWidth="1"/>
    <col min="14609" max="14848" width="9.140625" style="39"/>
    <col min="14849" max="14849" width="4.7109375" style="39" customWidth="1"/>
    <col min="14850" max="14850" width="24.28515625" style="39" customWidth="1"/>
    <col min="14851" max="14851" width="10.140625" style="39" bestFit="1" customWidth="1"/>
    <col min="14852" max="14860" width="10.7109375" style="39" bestFit="1" customWidth="1"/>
    <col min="14861" max="14861" width="10.7109375" style="39" customWidth="1"/>
    <col min="14862" max="14862" width="10.7109375" style="39" bestFit="1" customWidth="1"/>
    <col min="14863" max="14863" width="10.7109375" style="39" customWidth="1"/>
    <col min="14864" max="14864" width="12.7109375" style="39" customWidth="1"/>
    <col min="14865" max="15104" width="9.140625" style="39"/>
    <col min="15105" max="15105" width="4.7109375" style="39" customWidth="1"/>
    <col min="15106" max="15106" width="24.28515625" style="39" customWidth="1"/>
    <col min="15107" max="15107" width="10.140625" style="39" bestFit="1" customWidth="1"/>
    <col min="15108" max="15116" width="10.7109375" style="39" bestFit="1" customWidth="1"/>
    <col min="15117" max="15117" width="10.7109375" style="39" customWidth="1"/>
    <col min="15118" max="15118" width="10.7109375" style="39" bestFit="1" customWidth="1"/>
    <col min="15119" max="15119" width="10.7109375" style="39" customWidth="1"/>
    <col min="15120" max="15120" width="12.7109375" style="39" customWidth="1"/>
    <col min="15121" max="15360" width="9.140625" style="39"/>
    <col min="15361" max="15361" width="4.7109375" style="39" customWidth="1"/>
    <col min="15362" max="15362" width="24.28515625" style="39" customWidth="1"/>
    <col min="15363" max="15363" width="10.140625" style="39" bestFit="1" customWidth="1"/>
    <col min="15364" max="15372" width="10.7109375" style="39" bestFit="1" customWidth="1"/>
    <col min="15373" max="15373" width="10.7109375" style="39" customWidth="1"/>
    <col min="15374" max="15374" width="10.7109375" style="39" bestFit="1" customWidth="1"/>
    <col min="15375" max="15375" width="10.7109375" style="39" customWidth="1"/>
    <col min="15376" max="15376" width="12.7109375" style="39" customWidth="1"/>
    <col min="15377" max="15616" width="9.140625" style="39"/>
    <col min="15617" max="15617" width="4.7109375" style="39" customWidth="1"/>
    <col min="15618" max="15618" width="24.28515625" style="39" customWidth="1"/>
    <col min="15619" max="15619" width="10.140625" style="39" bestFit="1" customWidth="1"/>
    <col min="15620" max="15628" width="10.7109375" style="39" bestFit="1" customWidth="1"/>
    <col min="15629" max="15629" width="10.7109375" style="39" customWidth="1"/>
    <col min="15630" max="15630" width="10.7109375" style="39" bestFit="1" customWidth="1"/>
    <col min="15631" max="15631" width="10.7109375" style="39" customWidth="1"/>
    <col min="15632" max="15632" width="12.7109375" style="39" customWidth="1"/>
    <col min="15633" max="15872" width="9.140625" style="39"/>
    <col min="15873" max="15873" width="4.7109375" style="39" customWidth="1"/>
    <col min="15874" max="15874" width="24.28515625" style="39" customWidth="1"/>
    <col min="15875" max="15875" width="10.140625" style="39" bestFit="1" customWidth="1"/>
    <col min="15876" max="15884" width="10.7109375" style="39" bestFit="1" customWidth="1"/>
    <col min="15885" max="15885" width="10.7109375" style="39" customWidth="1"/>
    <col min="15886" max="15886" width="10.7109375" style="39" bestFit="1" customWidth="1"/>
    <col min="15887" max="15887" width="10.7109375" style="39" customWidth="1"/>
    <col min="15888" max="15888" width="12.7109375" style="39" customWidth="1"/>
    <col min="15889" max="16128" width="9.140625" style="39"/>
    <col min="16129" max="16129" width="4.7109375" style="39" customWidth="1"/>
    <col min="16130" max="16130" width="24.28515625" style="39" customWidth="1"/>
    <col min="16131" max="16131" width="10.140625" style="39" bestFit="1" customWidth="1"/>
    <col min="16132" max="16140" width="10.7109375" style="39" bestFit="1" customWidth="1"/>
    <col min="16141" max="16141" width="10.7109375" style="39" customWidth="1"/>
    <col min="16142" max="16142" width="10.7109375" style="39" bestFit="1" customWidth="1"/>
    <col min="16143" max="16143" width="10.7109375" style="39" customWidth="1"/>
    <col min="16144" max="16144" width="12.7109375" style="39" customWidth="1"/>
    <col min="16145" max="16384" width="9.140625" style="39"/>
  </cols>
  <sheetData>
    <row r="1" spans="1:16" s="22" customFormat="1" ht="11.25">
      <c r="A1" s="372" t="s">
        <v>0</v>
      </c>
      <c r="B1" s="372"/>
      <c r="C1" s="372"/>
      <c r="D1" s="372"/>
      <c r="E1" s="372"/>
      <c r="F1" s="372"/>
      <c r="G1" s="372"/>
      <c r="H1" s="372"/>
      <c r="I1" s="372"/>
      <c r="J1" s="372"/>
      <c r="K1" s="372"/>
      <c r="L1" s="372"/>
      <c r="M1" s="372"/>
      <c r="N1" s="372"/>
      <c r="O1" s="372"/>
      <c r="P1" s="372"/>
    </row>
    <row r="2" spans="1:16" s="22" customFormat="1" ht="11.25">
      <c r="A2" s="373" t="s">
        <v>84</v>
      </c>
      <c r="B2" s="373"/>
      <c r="C2" s="373"/>
      <c r="D2" s="373"/>
      <c r="E2" s="373"/>
      <c r="F2" s="373"/>
      <c r="G2" s="373"/>
      <c r="H2" s="373"/>
      <c r="I2" s="373"/>
      <c r="J2" s="373"/>
      <c r="K2" s="373"/>
      <c r="L2" s="373"/>
      <c r="M2" s="373"/>
      <c r="N2" s="373"/>
      <c r="O2" s="373"/>
      <c r="P2" s="373"/>
    </row>
    <row r="3" spans="1:16" s="22" customFormat="1" ht="12.75" customHeight="1">
      <c r="A3" s="374">
        <f>'Exhibit No.  KJC-2 Page 3'!A3:AC3</f>
        <v>46022</v>
      </c>
      <c r="B3" s="374"/>
      <c r="C3" s="374"/>
      <c r="D3" s="374"/>
      <c r="E3" s="374"/>
      <c r="F3" s="374"/>
      <c r="G3" s="374"/>
      <c r="H3" s="374"/>
      <c r="I3" s="374"/>
      <c r="J3" s="374"/>
      <c r="K3" s="374"/>
      <c r="L3" s="374"/>
      <c r="M3" s="374"/>
      <c r="N3" s="374"/>
      <c r="O3" s="374"/>
      <c r="P3" s="374"/>
    </row>
    <row r="4" spans="1:16">
      <c r="A4" s="36"/>
      <c r="B4" s="37"/>
      <c r="C4" s="71"/>
      <c r="D4" s="38"/>
      <c r="E4" s="36"/>
      <c r="F4" s="36"/>
      <c r="G4" s="36"/>
      <c r="H4" s="36"/>
      <c r="I4" s="36"/>
      <c r="J4" s="36"/>
      <c r="K4" s="36"/>
      <c r="L4" s="36"/>
      <c r="M4" s="36"/>
      <c r="N4" s="36"/>
      <c r="O4" s="36"/>
      <c r="P4" s="36"/>
    </row>
    <row r="5" spans="1:16">
      <c r="A5" s="40">
        <v>1</v>
      </c>
      <c r="B5" s="36"/>
      <c r="C5" s="41">
        <f>EOMONTH(A3,-12)</f>
        <v>45657</v>
      </c>
      <c r="D5" s="41">
        <f t="shared" ref="D5:O5" si="0">EOMONTH(C5,1)</f>
        <v>45688</v>
      </c>
      <c r="E5" s="41">
        <f t="shared" si="0"/>
        <v>45716</v>
      </c>
      <c r="F5" s="41">
        <f t="shared" si="0"/>
        <v>45747</v>
      </c>
      <c r="G5" s="41">
        <f t="shared" si="0"/>
        <v>45777</v>
      </c>
      <c r="H5" s="41">
        <f t="shared" si="0"/>
        <v>45808</v>
      </c>
      <c r="I5" s="41">
        <f t="shared" si="0"/>
        <v>45838</v>
      </c>
      <c r="J5" s="41">
        <f t="shared" si="0"/>
        <v>45869</v>
      </c>
      <c r="K5" s="41">
        <f t="shared" si="0"/>
        <v>45900</v>
      </c>
      <c r="L5" s="41">
        <f t="shared" si="0"/>
        <v>45930</v>
      </c>
      <c r="M5" s="41">
        <f t="shared" si="0"/>
        <v>45961</v>
      </c>
      <c r="N5" s="41">
        <f t="shared" si="0"/>
        <v>45991</v>
      </c>
      <c r="O5" s="41">
        <f t="shared" si="0"/>
        <v>46022</v>
      </c>
      <c r="P5" s="42" t="s">
        <v>85</v>
      </c>
    </row>
    <row r="6" spans="1:16">
      <c r="A6" s="40">
        <f>+A5+1</f>
        <v>2</v>
      </c>
      <c r="B6" s="307" t="s">
        <v>67</v>
      </c>
      <c r="C6" s="23" t="s">
        <v>68</v>
      </c>
      <c r="D6" s="23" t="s">
        <v>68</v>
      </c>
      <c r="E6" s="31" t="s">
        <v>69</v>
      </c>
      <c r="F6" s="23" t="s">
        <v>70</v>
      </c>
      <c r="G6" s="23" t="s">
        <v>71</v>
      </c>
      <c r="H6" s="23" t="s">
        <v>72</v>
      </c>
      <c r="I6" s="23" t="s">
        <v>73</v>
      </c>
      <c r="J6" s="23" t="s">
        <v>74</v>
      </c>
      <c r="K6" s="25" t="s">
        <v>75</v>
      </c>
      <c r="L6" s="23" t="s">
        <v>76</v>
      </c>
      <c r="M6" s="23" t="s">
        <v>77</v>
      </c>
      <c r="N6" s="43" t="s">
        <v>78</v>
      </c>
      <c r="O6" s="43" t="s">
        <v>86</v>
      </c>
      <c r="P6" s="43" t="s">
        <v>87</v>
      </c>
    </row>
    <row r="7" spans="1:16">
      <c r="A7" s="40">
        <f t="shared" ref="A7:A20" si="1">+A6+1</f>
        <v>3</v>
      </c>
      <c r="B7" s="44" t="s">
        <v>165</v>
      </c>
      <c r="C7" s="72">
        <v>40000000</v>
      </c>
      <c r="D7" s="45">
        <v>40000000</v>
      </c>
      <c r="E7" s="45">
        <v>40000000</v>
      </c>
      <c r="F7" s="45">
        <v>40000000</v>
      </c>
      <c r="G7" s="45">
        <v>40000000</v>
      </c>
      <c r="H7" s="45">
        <v>40000000</v>
      </c>
      <c r="I7" s="45">
        <v>40000000</v>
      </c>
      <c r="J7" s="45">
        <v>40000000</v>
      </c>
      <c r="K7" s="45">
        <v>40000000</v>
      </c>
      <c r="L7" s="45">
        <v>40000000</v>
      </c>
      <c r="M7" s="45">
        <v>40000000</v>
      </c>
      <c r="N7" s="45">
        <v>40000000</v>
      </c>
      <c r="O7" s="45">
        <v>40000000</v>
      </c>
      <c r="P7" s="81">
        <f>ROUND(((C7+O7)+(SUM(D7:N7)*2))/24,3)</f>
        <v>40000000</v>
      </c>
    </row>
    <row r="8" spans="1:16">
      <c r="A8" s="40">
        <f t="shared" si="1"/>
        <v>4</v>
      </c>
      <c r="B8" s="46"/>
      <c r="C8" s="73"/>
      <c r="D8" s="47"/>
      <c r="E8" s="48"/>
      <c r="F8" s="48"/>
      <c r="G8" s="48"/>
      <c r="H8" s="48"/>
      <c r="I8" s="48"/>
      <c r="J8" s="48"/>
      <c r="K8" s="48"/>
      <c r="L8" s="48"/>
      <c r="M8" s="48"/>
      <c r="N8" s="48"/>
      <c r="O8" s="48"/>
      <c r="P8" s="49"/>
    </row>
    <row r="9" spans="1:16">
      <c r="A9" s="40">
        <f t="shared" si="1"/>
        <v>5</v>
      </c>
      <c r="B9" s="46" t="s">
        <v>89</v>
      </c>
      <c r="C9" s="50">
        <f>+C5-(C5-31)</f>
        <v>31</v>
      </c>
      <c r="D9" s="50">
        <f>+D5-(D5-31)</f>
        <v>31</v>
      </c>
      <c r="E9" s="46">
        <f t="shared" ref="E9:O9" si="2">+E5-D5</f>
        <v>28</v>
      </c>
      <c r="F9" s="46">
        <f t="shared" si="2"/>
        <v>31</v>
      </c>
      <c r="G9" s="46">
        <f t="shared" si="2"/>
        <v>30</v>
      </c>
      <c r="H9" s="46">
        <f t="shared" si="2"/>
        <v>31</v>
      </c>
      <c r="I9" s="46">
        <f t="shared" si="2"/>
        <v>30</v>
      </c>
      <c r="J9" s="46">
        <f t="shared" si="2"/>
        <v>31</v>
      </c>
      <c r="K9" s="46">
        <f t="shared" si="2"/>
        <v>31</v>
      </c>
      <c r="L9" s="46">
        <f t="shared" si="2"/>
        <v>30</v>
      </c>
      <c r="M9" s="46">
        <f t="shared" si="2"/>
        <v>31</v>
      </c>
      <c r="N9" s="46">
        <f t="shared" si="2"/>
        <v>30</v>
      </c>
      <c r="O9" s="46">
        <f t="shared" si="2"/>
        <v>31</v>
      </c>
      <c r="P9" s="77"/>
    </row>
    <row r="10" spans="1:16">
      <c r="A10" s="40">
        <f t="shared" si="1"/>
        <v>6</v>
      </c>
      <c r="B10" s="51" t="s">
        <v>164</v>
      </c>
      <c r="C10" s="218">
        <v>5.8623000000000001E-2</v>
      </c>
      <c r="D10" s="218">
        <v>5.5282999999999999E-2</v>
      </c>
      <c r="E10" s="218">
        <v>5.5282999999999999E-2</v>
      </c>
      <c r="F10" s="218">
        <v>5.5282999999999999E-2</v>
      </c>
      <c r="G10" s="219">
        <v>5.2504000000000002E-2</v>
      </c>
      <c r="H10" s="219">
        <v>5.2504000000000002E-2</v>
      </c>
      <c r="I10" s="219">
        <v>5.2504000000000002E-2</v>
      </c>
      <c r="J10" s="220">
        <v>5.1499999999999997E-2</v>
      </c>
      <c r="K10" s="220">
        <v>5.1499999999999997E-2</v>
      </c>
      <c r="L10" s="220">
        <v>5.1499999999999997E-2</v>
      </c>
      <c r="M10" s="219">
        <v>5.0659999999999997E-2</v>
      </c>
      <c r="N10" s="219">
        <v>5.0659999999999997E-2</v>
      </c>
      <c r="O10" s="219">
        <v>5.0659999999999997E-2</v>
      </c>
      <c r="P10" s="52"/>
    </row>
    <row r="11" spans="1:16">
      <c r="A11" s="40">
        <f t="shared" si="1"/>
        <v>7</v>
      </c>
      <c r="B11" s="45" t="s">
        <v>90</v>
      </c>
      <c r="C11" s="78">
        <f>C7*(C10*C9/360)</f>
        <v>201923.66666666666</v>
      </c>
      <c r="D11" s="78">
        <f t="shared" ref="D11:J11" si="3">(D7+C7)/2*(D10*D9/360)</f>
        <v>190419.22222222222</v>
      </c>
      <c r="E11" s="78">
        <f t="shared" si="3"/>
        <v>171991.55555555556</v>
      </c>
      <c r="F11" s="78">
        <f t="shared" si="3"/>
        <v>190419.22222222222</v>
      </c>
      <c r="G11" s="78">
        <f t="shared" si="3"/>
        <v>175013.33333333334</v>
      </c>
      <c r="H11" s="78">
        <f t="shared" si="3"/>
        <v>180847.11111111109</v>
      </c>
      <c r="I11" s="78">
        <f t="shared" si="3"/>
        <v>175013.33333333334</v>
      </c>
      <c r="J11" s="78">
        <f t="shared" si="3"/>
        <v>177388.88888888888</v>
      </c>
      <c r="K11" s="78">
        <f t="shared" ref="K11" si="4">(K7+J7)/2*(K10*K9/360)</f>
        <v>177388.88888888888</v>
      </c>
      <c r="L11" s="78">
        <f>(L7+K7)/2*((L10)*L9/360)</f>
        <v>171666.66666666666</v>
      </c>
      <c r="M11" s="78">
        <f t="shared" ref="M11:O11" si="5">(M7+L7)/2*((M10)*M9/360)</f>
        <v>174495.55555555556</v>
      </c>
      <c r="N11" s="78">
        <f t="shared" si="5"/>
        <v>168866.66666666666</v>
      </c>
      <c r="O11" s="78">
        <f t="shared" si="5"/>
        <v>174495.55555555556</v>
      </c>
      <c r="P11" s="82">
        <f>SUM(C11:O11)</f>
        <v>2329929.666666667</v>
      </c>
    </row>
    <row r="12" spans="1:16">
      <c r="A12" s="40">
        <f t="shared" si="1"/>
        <v>8</v>
      </c>
      <c r="B12" s="36"/>
      <c r="C12" s="36"/>
      <c r="D12" s="36"/>
      <c r="E12" s="53"/>
      <c r="F12" s="53"/>
      <c r="G12" s="53"/>
      <c r="H12" s="53"/>
      <c r="I12" s="53"/>
      <c r="J12" s="66"/>
      <c r="K12" s="53"/>
      <c r="O12" s="36"/>
      <c r="P12" s="53"/>
    </row>
    <row r="13" spans="1:16">
      <c r="A13" s="40">
        <f t="shared" si="1"/>
        <v>9</v>
      </c>
      <c r="B13" s="36"/>
      <c r="C13" s="36"/>
      <c r="D13" s="36"/>
      <c r="E13" s="53"/>
      <c r="F13" s="53"/>
      <c r="G13" s="53"/>
      <c r="H13" s="53"/>
      <c r="I13" s="53"/>
      <c r="J13" s="53"/>
      <c r="K13" s="53"/>
      <c r="L13" s="53"/>
      <c r="M13" s="53"/>
      <c r="N13" s="53"/>
      <c r="O13" s="36"/>
      <c r="P13" s="66"/>
    </row>
    <row r="14" spans="1:16">
      <c r="A14" s="40">
        <f t="shared" si="1"/>
        <v>10</v>
      </c>
      <c r="B14" s="307"/>
      <c r="C14" s="23"/>
      <c r="D14" s="23" t="s">
        <v>47</v>
      </c>
      <c r="E14" s="24" t="s">
        <v>48</v>
      </c>
      <c r="F14" s="23" t="s">
        <v>49</v>
      </c>
      <c r="G14" s="23" t="s">
        <v>45</v>
      </c>
      <c r="H14" s="23" t="s">
        <v>50</v>
      </c>
      <c r="I14" s="307" t="s">
        <v>53</v>
      </c>
      <c r="J14" s="23" t="s">
        <v>54</v>
      </c>
      <c r="K14" s="25" t="s">
        <v>55</v>
      </c>
      <c r="L14" s="23" t="s">
        <v>56</v>
      </c>
      <c r="M14" s="23" t="s">
        <v>57</v>
      </c>
      <c r="N14" s="54"/>
    </row>
    <row r="15" spans="1:16">
      <c r="A15" s="40">
        <f t="shared" si="1"/>
        <v>11</v>
      </c>
      <c r="B15" s="26" t="s">
        <v>59</v>
      </c>
      <c r="C15" s="27"/>
      <c r="D15" s="27" t="s">
        <v>60</v>
      </c>
      <c r="E15" s="28" t="s">
        <v>61</v>
      </c>
      <c r="F15" s="27" t="s">
        <v>61</v>
      </c>
      <c r="G15" s="27" t="s">
        <v>38</v>
      </c>
      <c r="H15" s="27" t="s">
        <v>62</v>
      </c>
      <c r="I15" s="26" t="s">
        <v>65</v>
      </c>
      <c r="J15" s="27" t="s">
        <v>66</v>
      </c>
      <c r="K15" s="29" t="s">
        <v>48</v>
      </c>
      <c r="L15" s="30">
        <f>+A3</f>
        <v>46022</v>
      </c>
      <c r="M15" s="27" t="s">
        <v>40</v>
      </c>
      <c r="N15" s="54"/>
    </row>
    <row r="16" spans="1:16" ht="13.5" customHeight="1">
      <c r="A16" s="40">
        <f t="shared" si="1"/>
        <v>12</v>
      </c>
      <c r="B16" s="307" t="s">
        <v>67</v>
      </c>
      <c r="C16" s="23"/>
      <c r="D16" s="23" t="s">
        <v>68</v>
      </c>
      <c r="E16" s="31" t="s">
        <v>69</v>
      </c>
      <c r="F16" s="23" t="s">
        <v>70</v>
      </c>
      <c r="G16" s="23" t="s">
        <v>71</v>
      </c>
      <c r="H16" s="23" t="s">
        <v>72</v>
      </c>
      <c r="I16" s="23" t="s">
        <v>73</v>
      </c>
      <c r="J16" s="23" t="s">
        <v>74</v>
      </c>
      <c r="K16" s="25" t="s">
        <v>75</v>
      </c>
      <c r="L16" s="23" t="s">
        <v>76</v>
      </c>
      <c r="M16" s="23" t="s">
        <v>77</v>
      </c>
      <c r="N16" s="34"/>
    </row>
    <row r="17" spans="1:15">
      <c r="A17" s="40">
        <f t="shared" si="1"/>
        <v>13</v>
      </c>
      <c r="B17" s="44" t="s">
        <v>88</v>
      </c>
      <c r="C17" s="87"/>
      <c r="D17" s="87">
        <f>+P11/P7</f>
        <v>5.8248241666666672E-2</v>
      </c>
      <c r="E17" s="32">
        <v>50192</v>
      </c>
      <c r="F17" s="32">
        <v>35584</v>
      </c>
      <c r="G17" s="79">
        <v>40000000</v>
      </c>
      <c r="H17" s="79">
        <v>1296086</v>
      </c>
      <c r="I17" s="79">
        <v>-1769125</v>
      </c>
      <c r="J17" s="79">
        <f>G17-H17-I17</f>
        <v>40473039</v>
      </c>
      <c r="K17" s="221">
        <f>YIELD(F17,E17,D17,J17/G17*100,100,2,0)</f>
        <v>5.7489474625907991E-2</v>
      </c>
      <c r="L17" s="78">
        <f>G17</f>
        <v>40000000</v>
      </c>
      <c r="M17" s="78">
        <f>K17*L17</f>
        <v>2299578.9850363196</v>
      </c>
      <c r="N17" s="34"/>
    </row>
    <row r="18" spans="1:15">
      <c r="A18" s="40">
        <f t="shared" si="1"/>
        <v>14</v>
      </c>
      <c r="B18" s="52"/>
      <c r="C18" s="74"/>
      <c r="D18" s="52"/>
      <c r="F18" s="33"/>
      <c r="G18" s="32"/>
      <c r="H18" s="36"/>
      <c r="I18" s="36"/>
      <c r="J18" s="36"/>
      <c r="K18" s="36"/>
      <c r="L18" s="36"/>
      <c r="M18" s="36"/>
      <c r="N18" s="36"/>
      <c r="O18" s="36"/>
    </row>
    <row r="19" spans="1:15">
      <c r="A19" s="40">
        <f t="shared" si="1"/>
        <v>15</v>
      </c>
      <c r="B19" s="170" t="s">
        <v>151</v>
      </c>
      <c r="C19" s="307"/>
      <c r="I19" s="86"/>
      <c r="J19" s="85"/>
      <c r="K19" s="86"/>
    </row>
    <row r="20" spans="1:15">
      <c r="A20" s="40">
        <f t="shared" si="1"/>
        <v>16</v>
      </c>
      <c r="B20" s="170" t="s">
        <v>152</v>
      </c>
      <c r="C20" s="308"/>
      <c r="F20" s="55"/>
      <c r="H20" s="56"/>
      <c r="I20" s="86"/>
      <c r="J20" s="86"/>
    </row>
    <row r="21" spans="1:15">
      <c r="C21" s="75"/>
    </row>
    <row r="22" spans="1:15">
      <c r="D22" s="167"/>
      <c r="E22" s="167"/>
      <c r="F22" s="167"/>
      <c r="G22" s="167"/>
      <c r="H22" s="167"/>
      <c r="I22" s="167"/>
      <c r="J22" s="167"/>
      <c r="K22" s="167"/>
      <c r="L22" s="167"/>
      <c r="M22" s="167"/>
      <c r="N22" s="167"/>
      <c r="O22" s="167"/>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alignWithMargins="0">
    <oddHeader>&amp;R Exh. KJC-2</oddHeader>
    <oddFooter>&amp;R&amp;8Page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2"/>
  <sheetViews>
    <sheetView tabSelected="1" zoomScale="90" zoomScaleNormal="90" zoomScaleSheetLayoutView="110" workbookViewId="0">
      <selection activeCell="R20" sqref="R20"/>
    </sheetView>
    <sheetView workbookViewId="1"/>
  </sheetViews>
  <sheetFormatPr defaultColWidth="8.85546875" defaultRowHeight="12.75"/>
  <cols>
    <col min="1" max="1" width="3" style="173" customWidth="1"/>
    <col min="2" max="2" width="3" style="57" customWidth="1"/>
    <col min="3" max="3" width="45.7109375" style="57" customWidth="1"/>
    <col min="4" max="4" width="12.28515625" style="57" customWidth="1"/>
    <col min="5" max="5" width="13.42578125" style="57" customWidth="1"/>
    <col min="6" max="6" width="2.5703125" style="57" customWidth="1"/>
    <col min="7" max="7" width="14" style="57" bestFit="1" customWidth="1"/>
    <col min="8" max="8" width="1.28515625" style="57" customWidth="1"/>
    <col min="9" max="9" width="17.28515625" style="57" customWidth="1"/>
    <col min="10" max="10" width="2.28515625" style="57" customWidth="1"/>
    <col min="11" max="11" width="15.7109375" style="57" customWidth="1"/>
    <col min="12" max="12" width="18.7109375" style="57" bestFit="1" customWidth="1"/>
    <col min="13" max="13" width="3.140625" style="57" customWidth="1"/>
    <col min="14" max="14" width="16" style="57" bestFit="1" customWidth="1"/>
    <col min="15" max="15" width="3.28515625" style="57" customWidth="1"/>
    <col min="16" max="16" width="14.7109375" style="57" customWidth="1"/>
    <col min="17" max="17" width="2.42578125" style="57" customWidth="1"/>
    <col min="18" max="18" width="21.7109375" style="57" customWidth="1"/>
    <col min="19" max="19" width="18.7109375" style="57" bestFit="1" customWidth="1"/>
    <col min="20" max="20" width="12.140625" style="57" customWidth="1"/>
    <col min="21" max="21" width="10.5703125" style="57" bestFit="1" customWidth="1"/>
    <col min="22" max="22" width="8.85546875" style="57"/>
    <col min="23" max="23" width="10.5703125" style="57" bestFit="1" customWidth="1"/>
    <col min="24" max="16384" width="8.85546875" style="57"/>
  </cols>
  <sheetData>
    <row r="1" spans="1:16">
      <c r="A1" s="85"/>
      <c r="B1" s="375" t="s">
        <v>0</v>
      </c>
      <c r="C1" s="375"/>
      <c r="D1" s="375"/>
      <c r="E1" s="375"/>
      <c r="F1" s="375"/>
      <c r="G1" s="375"/>
      <c r="H1" s="375"/>
      <c r="I1" s="375"/>
      <c r="J1" s="375"/>
      <c r="K1" s="375"/>
    </row>
    <row r="2" spans="1:16">
      <c r="A2" s="85"/>
      <c r="B2" s="377" t="s">
        <v>131</v>
      </c>
      <c r="C2" s="377"/>
      <c r="D2" s="377"/>
      <c r="E2" s="377"/>
      <c r="F2" s="377"/>
      <c r="G2" s="377"/>
      <c r="H2" s="377"/>
      <c r="I2" s="377"/>
      <c r="J2" s="377"/>
      <c r="K2" s="377"/>
    </row>
    <row r="3" spans="1:16">
      <c r="B3" s="378" t="s">
        <v>129</v>
      </c>
      <c r="C3" s="378"/>
      <c r="D3" s="378"/>
      <c r="E3" s="378"/>
      <c r="F3" s="378"/>
      <c r="G3" s="378"/>
      <c r="H3" s="378"/>
      <c r="I3" s="378"/>
      <c r="J3" s="378"/>
      <c r="K3" s="378"/>
    </row>
    <row r="4" spans="1:16" ht="6.75" customHeight="1">
      <c r="B4" s="174"/>
      <c r="C4" s="174"/>
      <c r="D4" s="174"/>
      <c r="E4" s="174"/>
      <c r="F4" s="174"/>
      <c r="G4" s="174"/>
      <c r="H4" s="174"/>
    </row>
    <row r="5" spans="1:16" ht="54.75" customHeight="1">
      <c r="A5" s="175"/>
      <c r="C5" s="176"/>
      <c r="D5" s="177" t="s">
        <v>205</v>
      </c>
      <c r="E5" s="177" t="s">
        <v>115</v>
      </c>
      <c r="F5" s="177"/>
      <c r="G5" s="177" t="s">
        <v>206</v>
      </c>
      <c r="H5" s="177"/>
      <c r="I5" s="177" t="s">
        <v>147</v>
      </c>
      <c r="J5" s="177"/>
      <c r="K5" s="177" t="s">
        <v>207</v>
      </c>
    </row>
    <row r="6" spans="1:16">
      <c r="A6" s="175" t="s">
        <v>113</v>
      </c>
      <c r="C6" s="178"/>
      <c r="D6" s="177"/>
      <c r="E6" s="179"/>
      <c r="F6" s="180"/>
      <c r="G6" s="177"/>
      <c r="H6" s="177"/>
      <c r="I6" s="181"/>
      <c r="J6" s="181"/>
      <c r="K6" s="177"/>
    </row>
    <row r="7" spans="1:16" ht="3.75" customHeight="1">
      <c r="A7" s="175"/>
      <c r="C7" s="178"/>
      <c r="D7" s="177"/>
      <c r="E7" s="179"/>
      <c r="F7" s="180"/>
      <c r="G7" s="177"/>
      <c r="H7" s="177"/>
      <c r="I7" s="181"/>
      <c r="J7" s="182"/>
      <c r="K7" s="177"/>
    </row>
    <row r="8" spans="1:16">
      <c r="C8" s="57" t="s">
        <v>135</v>
      </c>
      <c r="D8" s="183">
        <v>203000</v>
      </c>
      <c r="E8" s="183">
        <v>-103000</v>
      </c>
      <c r="F8" s="184" t="s">
        <v>116</v>
      </c>
      <c r="G8" s="183">
        <f>+D8+E8</f>
        <v>100000</v>
      </c>
      <c r="H8" s="183"/>
      <c r="I8" s="183">
        <f>+K8-G8</f>
        <v>0</v>
      </c>
      <c r="J8" s="184" t="s">
        <v>116</v>
      </c>
      <c r="K8" s="183">
        <f>+'Exhibit No.  KJC-2 Page 5'!P19/1000</f>
        <v>100000</v>
      </c>
    </row>
    <row r="9" spans="1:16">
      <c r="C9" s="57" t="s">
        <v>136</v>
      </c>
      <c r="D9" s="185"/>
      <c r="E9" s="185"/>
      <c r="F9" s="184" t="s">
        <v>117</v>
      </c>
      <c r="G9" s="185"/>
      <c r="H9" s="185"/>
      <c r="I9" s="185"/>
      <c r="J9" s="186"/>
      <c r="K9" s="185"/>
    </row>
    <row r="10" spans="1:16" ht="13.5" thickBot="1">
      <c r="C10" s="57" t="s">
        <v>137</v>
      </c>
      <c r="D10" s="187">
        <f>SUM(D8:D9)</f>
        <v>203000</v>
      </c>
      <c r="E10" s="187">
        <f>SUM(E8:E9)</f>
        <v>-103000</v>
      </c>
      <c r="F10" s="184"/>
      <c r="G10" s="187">
        <f>SUM(G8:G9)</f>
        <v>100000</v>
      </c>
      <c r="H10" s="187"/>
      <c r="I10" s="187">
        <f>SUM(I8:I9)</f>
        <v>0</v>
      </c>
      <c r="J10" s="184"/>
      <c r="K10" s="187">
        <f>SUM(K8:K9)</f>
        <v>100000</v>
      </c>
    </row>
    <row r="11" spans="1:16" ht="13.5" thickTop="1">
      <c r="D11" s="185"/>
      <c r="E11" s="185"/>
      <c r="F11" s="186"/>
      <c r="G11" s="185"/>
      <c r="H11" s="185"/>
      <c r="I11" s="185"/>
      <c r="J11" s="185"/>
      <c r="K11" s="185"/>
    </row>
    <row r="12" spans="1:16">
      <c r="A12" s="380" t="s">
        <v>112</v>
      </c>
      <c r="B12" s="380"/>
      <c r="C12" s="380"/>
      <c r="D12" s="380"/>
      <c r="E12" s="380"/>
      <c r="F12" s="380"/>
      <c r="G12" s="380"/>
      <c r="H12" s="188"/>
      <c r="I12" s="185"/>
      <c r="J12" s="185"/>
      <c r="K12" s="185"/>
    </row>
    <row r="13" spans="1:16" ht="6" customHeight="1">
      <c r="D13" s="181"/>
      <c r="E13" s="174"/>
      <c r="F13" s="174"/>
      <c r="G13" s="181"/>
      <c r="H13" s="181"/>
      <c r="I13" s="185"/>
      <c r="J13" s="185"/>
      <c r="K13" s="185"/>
    </row>
    <row r="14" spans="1:16">
      <c r="C14" s="57" t="s">
        <v>114</v>
      </c>
      <c r="D14" s="183">
        <v>2703674</v>
      </c>
      <c r="E14" s="189">
        <v>-243674</v>
      </c>
      <c r="F14" s="184" t="s">
        <v>119</v>
      </c>
      <c r="G14" s="183">
        <f>+D14+E14</f>
        <v>2460000</v>
      </c>
      <c r="H14" s="183"/>
      <c r="I14" s="183">
        <f>83700+60000</f>
        <v>143700</v>
      </c>
      <c r="J14" s="57" t="s">
        <v>123</v>
      </c>
      <c r="K14" s="183">
        <f>+G14+I14</f>
        <v>2603700</v>
      </c>
      <c r="P14" s="195"/>
    </row>
    <row r="15" spans="1:16">
      <c r="C15" s="57" t="s">
        <v>159</v>
      </c>
      <c r="D15" s="185">
        <v>7000</v>
      </c>
      <c r="E15" s="185">
        <v>0</v>
      </c>
      <c r="F15" s="184" t="s">
        <v>119</v>
      </c>
      <c r="G15" s="185">
        <f>+D15+E15</f>
        <v>7000</v>
      </c>
      <c r="H15" s="185"/>
      <c r="I15" s="185">
        <v>-7000</v>
      </c>
      <c r="J15" s="57" t="s">
        <v>125</v>
      </c>
      <c r="K15" s="183">
        <f>+G15+I15</f>
        <v>0</v>
      </c>
      <c r="P15" s="195"/>
    </row>
    <row r="16" spans="1:16">
      <c r="C16" s="57" t="s">
        <v>118</v>
      </c>
      <c r="D16" s="185">
        <v>51547</v>
      </c>
      <c r="E16" s="185">
        <v>-11547</v>
      </c>
      <c r="F16" s="186" t="s">
        <v>121</v>
      </c>
      <c r="G16" s="185">
        <f>+D16+E16</f>
        <v>40000</v>
      </c>
      <c r="H16" s="185"/>
      <c r="I16" s="185"/>
      <c r="J16" s="186"/>
      <c r="K16" s="183">
        <f>+G16+I16</f>
        <v>40000</v>
      </c>
    </row>
    <row r="17" spans="1:20" ht="13.5" thickBot="1">
      <c r="C17" s="57" t="s">
        <v>120</v>
      </c>
      <c r="D17" s="187">
        <f>SUM(D14:D16)</f>
        <v>2762221</v>
      </c>
      <c r="E17" s="187">
        <f>SUM(E14:E16)</f>
        <v>-255221</v>
      </c>
      <c r="F17" s="184"/>
      <c r="G17" s="187">
        <f>SUM(G14:G16)</f>
        <v>2507000</v>
      </c>
      <c r="H17" s="187"/>
      <c r="I17" s="187">
        <f>SUM(I14:I16)</f>
        <v>136700</v>
      </c>
      <c r="J17" s="184"/>
      <c r="K17" s="187">
        <f>SUM(K14:K16)</f>
        <v>2643700</v>
      </c>
      <c r="N17" s="214"/>
    </row>
    <row r="18" spans="1:20" ht="13.5" thickTop="1">
      <c r="D18" s="186"/>
      <c r="E18" s="186"/>
      <c r="F18" s="186"/>
      <c r="G18" s="186"/>
      <c r="H18" s="186"/>
      <c r="N18" s="61"/>
    </row>
    <row r="19" spans="1:20">
      <c r="A19" s="380" t="s">
        <v>132</v>
      </c>
      <c r="B19" s="380"/>
      <c r="C19" s="380"/>
      <c r="D19" s="380"/>
      <c r="E19" s="380"/>
      <c r="F19" s="380"/>
      <c r="G19" s="380"/>
      <c r="H19" s="188"/>
      <c r="N19" s="61"/>
    </row>
    <row r="20" spans="1:20" ht="6.75" customHeight="1">
      <c r="C20" s="179"/>
      <c r="D20" s="174"/>
      <c r="E20" s="174"/>
      <c r="F20" s="190"/>
      <c r="G20" s="181"/>
      <c r="H20" s="181"/>
    </row>
    <row r="21" spans="1:20" ht="13.5" thickBot="1">
      <c r="C21" s="57" t="s">
        <v>126</v>
      </c>
      <c r="D21" s="191">
        <v>2400421</v>
      </c>
      <c r="E21" s="191">
        <f>+D36</f>
        <v>-91604</v>
      </c>
      <c r="F21" s="184" t="s">
        <v>122</v>
      </c>
      <c r="G21" s="209">
        <f>+D21+E21</f>
        <v>2308817</v>
      </c>
      <c r="H21" s="209"/>
      <c r="I21" s="209">
        <f>D45</f>
        <v>280083</v>
      </c>
      <c r="J21" s="210" t="s">
        <v>160</v>
      </c>
      <c r="K21" s="209">
        <f>G21+I21</f>
        <v>2588900</v>
      </c>
    </row>
    <row r="22" spans="1:20" ht="13.5" thickTop="1">
      <c r="B22" s="192"/>
      <c r="D22" s="186"/>
      <c r="E22" s="186"/>
      <c r="F22" s="186"/>
      <c r="G22" s="186"/>
      <c r="H22" s="186"/>
      <c r="I22" s="193"/>
      <c r="J22" s="193"/>
      <c r="K22" s="59"/>
    </row>
    <row r="23" spans="1:20" ht="12.75" customHeight="1">
      <c r="B23" s="192" t="s">
        <v>116</v>
      </c>
      <c r="C23" s="379" t="s">
        <v>133</v>
      </c>
      <c r="D23" s="379"/>
      <c r="E23" s="379"/>
      <c r="F23" s="379"/>
      <c r="G23" s="379"/>
      <c r="H23" s="379"/>
      <c r="I23" s="379"/>
      <c r="J23" s="379"/>
      <c r="K23" s="379"/>
      <c r="N23" s="195"/>
      <c r="T23" s="68"/>
    </row>
    <row r="24" spans="1:20" ht="3.75" customHeight="1">
      <c r="B24" s="192"/>
      <c r="C24" s="194"/>
      <c r="D24" s="194"/>
      <c r="E24" s="194"/>
      <c r="F24" s="194"/>
      <c r="G24" s="194"/>
      <c r="H24" s="194"/>
      <c r="I24" s="193"/>
      <c r="J24" s="193"/>
      <c r="K24" s="59"/>
    </row>
    <row r="25" spans="1:20" ht="12.75" customHeight="1">
      <c r="B25" s="192" t="s">
        <v>117</v>
      </c>
      <c r="C25" s="379" t="s">
        <v>149</v>
      </c>
      <c r="D25" s="379"/>
      <c r="E25" s="379"/>
      <c r="F25" s="379"/>
      <c r="G25" s="379"/>
      <c r="H25" s="379"/>
      <c r="I25" s="379"/>
      <c r="J25" s="379"/>
      <c r="K25" s="379"/>
      <c r="N25" s="195"/>
      <c r="T25" s="195"/>
    </row>
    <row r="26" spans="1:20" ht="3.75" customHeight="1">
      <c r="B26" s="192"/>
      <c r="C26" s="194"/>
      <c r="D26" s="194"/>
      <c r="E26" s="194"/>
      <c r="F26" s="194"/>
      <c r="G26" s="194"/>
      <c r="H26" s="194"/>
      <c r="I26" s="193"/>
      <c r="J26" s="193"/>
      <c r="K26" s="59"/>
    </row>
    <row r="27" spans="1:20" ht="42" customHeight="1">
      <c r="A27" s="196"/>
      <c r="B27" s="196" t="s">
        <v>119</v>
      </c>
      <c r="C27" s="376" t="s">
        <v>154</v>
      </c>
      <c r="D27" s="376"/>
      <c r="E27" s="376"/>
      <c r="F27" s="376"/>
      <c r="G27" s="376"/>
      <c r="H27" s="376"/>
      <c r="I27" s="376"/>
      <c r="J27" s="376"/>
      <c r="K27" s="376"/>
    </row>
    <row r="28" spans="1:20" ht="5.25" customHeight="1">
      <c r="A28" s="196"/>
      <c r="B28" s="196"/>
      <c r="C28" s="197"/>
      <c r="D28" s="197"/>
      <c r="E28" s="197"/>
      <c r="F28" s="197"/>
      <c r="G28" s="197"/>
      <c r="H28" s="197"/>
      <c r="I28" s="59"/>
      <c r="J28" s="59"/>
      <c r="K28" s="59"/>
    </row>
    <row r="29" spans="1:20" ht="28.5" customHeight="1">
      <c r="A29" s="196"/>
      <c r="B29" s="196" t="s">
        <v>121</v>
      </c>
      <c r="C29" s="376" t="s">
        <v>150</v>
      </c>
      <c r="D29" s="376"/>
      <c r="E29" s="376"/>
      <c r="F29" s="376"/>
      <c r="G29" s="376"/>
      <c r="H29" s="376"/>
      <c r="I29" s="376"/>
      <c r="J29" s="376"/>
      <c r="K29" s="376"/>
    </row>
    <row r="30" spans="1:20" ht="6.75" customHeight="1">
      <c r="A30" s="196"/>
      <c r="B30" s="196"/>
      <c r="C30" s="197"/>
      <c r="D30" s="197"/>
      <c r="E30" s="197"/>
      <c r="F30" s="197"/>
      <c r="G30" s="197"/>
      <c r="H30" s="197"/>
    </row>
    <row r="31" spans="1:20" ht="32.25" customHeight="1">
      <c r="A31" s="196"/>
      <c r="B31" s="196" t="s">
        <v>122</v>
      </c>
      <c r="C31" s="376" t="s">
        <v>161</v>
      </c>
      <c r="D31" s="376"/>
      <c r="E31" s="376"/>
      <c r="F31" s="376"/>
      <c r="G31" s="376"/>
      <c r="H31" s="376"/>
      <c r="I31" s="376"/>
      <c r="J31" s="376"/>
      <c r="K31" s="376"/>
    </row>
    <row r="32" spans="1:20">
      <c r="C32" s="198" t="s">
        <v>146</v>
      </c>
    </row>
    <row r="33" spans="1:23">
      <c r="A33" s="57"/>
      <c r="C33" s="199" t="s">
        <v>134</v>
      </c>
      <c r="D33" s="183">
        <v>22493</v>
      </c>
    </row>
    <row r="34" spans="1:23">
      <c r="A34" s="57"/>
      <c r="C34" s="199" t="s">
        <v>124</v>
      </c>
      <c r="D34" s="183">
        <v>2095</v>
      </c>
      <c r="G34" s="195"/>
      <c r="H34" s="195"/>
    </row>
    <row r="35" spans="1:23">
      <c r="A35" s="57"/>
      <c r="C35" s="200" t="s">
        <v>162</v>
      </c>
      <c r="D35" s="183">
        <v>-116192</v>
      </c>
      <c r="R35" s="57" t="s">
        <v>155</v>
      </c>
      <c r="T35" s="183">
        <f>-117953</f>
        <v>-117953</v>
      </c>
      <c r="V35" s="201" t="s">
        <v>214</v>
      </c>
    </row>
    <row r="36" spans="1:23" ht="13.5" thickBot="1">
      <c r="A36" s="57"/>
      <c r="C36" s="202" t="s">
        <v>145</v>
      </c>
      <c r="D36" s="203">
        <f>SUM(D33:D35)</f>
        <v>-91604</v>
      </c>
    </row>
    <row r="37" spans="1:23" ht="12" customHeight="1">
      <c r="A37" s="57"/>
    </row>
    <row r="38" spans="1:23" ht="29.25" customHeight="1">
      <c r="A38" s="57"/>
      <c r="B38" s="196" t="s">
        <v>123</v>
      </c>
      <c r="C38" s="376" t="s">
        <v>212</v>
      </c>
      <c r="D38" s="376"/>
      <c r="E38" s="376"/>
      <c r="F38" s="376"/>
      <c r="G38" s="376"/>
      <c r="H38" s="376"/>
      <c r="I38" s="376"/>
      <c r="J38" s="376"/>
      <c r="K38" s="376"/>
    </row>
    <row r="39" spans="1:23" ht="6" customHeight="1">
      <c r="A39" s="57"/>
      <c r="B39" s="196"/>
      <c r="I39" s="204"/>
    </row>
    <row r="40" spans="1:23">
      <c r="A40" s="57"/>
      <c r="B40" s="57" t="s">
        <v>125</v>
      </c>
      <c r="C40" s="57" t="s">
        <v>213</v>
      </c>
      <c r="O40" s="205"/>
    </row>
    <row r="41" spans="1:23" ht="6.75" customHeight="1">
      <c r="A41" s="57"/>
      <c r="E41" s="206"/>
      <c r="G41" s="57" t="s">
        <v>163</v>
      </c>
      <c r="K41" s="59"/>
      <c r="L41" s="59"/>
      <c r="S41" s="59"/>
      <c r="T41" s="59"/>
      <c r="U41" s="59"/>
    </row>
    <row r="42" spans="1:23">
      <c r="A42" s="57"/>
      <c r="B42" s="196" t="s">
        <v>160</v>
      </c>
      <c r="C42" s="198" t="s">
        <v>144</v>
      </c>
      <c r="E42" s="206"/>
      <c r="K42" s="59"/>
      <c r="L42" s="59"/>
      <c r="S42" s="59"/>
      <c r="T42" s="59"/>
      <c r="U42" s="59"/>
    </row>
    <row r="43" spans="1:23">
      <c r="A43" s="57"/>
      <c r="B43" s="196"/>
      <c r="C43" s="199" t="s">
        <v>148</v>
      </c>
      <c r="D43" s="183">
        <f>+SUM(S59:W59)</f>
        <v>281844</v>
      </c>
      <c r="E43" s="206"/>
      <c r="K43" s="59"/>
      <c r="L43" s="59"/>
      <c r="S43" s="59"/>
      <c r="T43" s="59"/>
      <c r="U43" s="59"/>
    </row>
    <row r="44" spans="1:23">
      <c r="A44" s="57"/>
      <c r="C44" s="200" t="s">
        <v>156</v>
      </c>
      <c r="D44" s="222">
        <f>T35-D35</f>
        <v>-1761</v>
      </c>
      <c r="E44" s="206"/>
      <c r="K44"/>
      <c r="L44"/>
      <c r="M44"/>
      <c r="N44"/>
      <c r="O44"/>
      <c r="P44"/>
      <c r="S44" s="59"/>
      <c r="T44" s="59"/>
      <c r="U44" s="59"/>
    </row>
    <row r="45" spans="1:23">
      <c r="A45" s="57"/>
      <c r="C45" s="202" t="s">
        <v>145</v>
      </c>
      <c r="D45" s="183">
        <f>SUM(D43:D44)</f>
        <v>280083</v>
      </c>
      <c r="Q45" s="207"/>
      <c r="R45"/>
      <c r="S45" t="s">
        <v>155</v>
      </c>
      <c r="T45"/>
      <c r="U45" s="282">
        <v>-117953</v>
      </c>
      <c r="V45"/>
      <c r="W45" s="283">
        <v>2025</v>
      </c>
    </row>
    <row r="46" spans="1:23" ht="15.75">
      <c r="A46" s="57"/>
      <c r="B46" s="21"/>
      <c r="C46" s="202"/>
      <c r="Q46" s="195"/>
      <c r="R46"/>
      <c r="S46"/>
      <c r="T46"/>
      <c r="U46" s="282">
        <v>-116133</v>
      </c>
      <c r="V46"/>
      <c r="W46">
        <v>2024</v>
      </c>
    </row>
    <row r="47" spans="1:23">
      <c r="A47" s="57"/>
      <c r="D47" s="195"/>
      <c r="Q47" s="195"/>
      <c r="R47"/>
      <c r="S47"/>
      <c r="T47"/>
      <c r="U47" s="282">
        <v>-113801</v>
      </c>
      <c r="V47"/>
      <c r="W47">
        <v>2023</v>
      </c>
    </row>
    <row r="48" spans="1:23">
      <c r="A48" s="57"/>
      <c r="Q48" s="211"/>
      <c r="R48"/>
      <c r="S48"/>
      <c r="T48"/>
      <c r="U48" s="282"/>
      <c r="V48"/>
      <c r="W48"/>
    </row>
    <row r="49" spans="1:23">
      <c r="A49" s="57"/>
      <c r="Q49" s="183"/>
      <c r="R49"/>
      <c r="S49"/>
      <c r="T49"/>
      <c r="U49"/>
      <c r="V49"/>
      <c r="W49"/>
    </row>
    <row r="50" spans="1:23">
      <c r="A50" s="57"/>
      <c r="D50" s="213"/>
      <c r="G50" s="61"/>
      <c r="R50"/>
      <c r="S50"/>
      <c r="T50" s="284"/>
      <c r="U50"/>
      <c r="V50"/>
      <c r="W50"/>
    </row>
    <row r="51" spans="1:23">
      <c r="A51" s="57"/>
      <c r="Q51" s="208"/>
      <c r="R51"/>
      <c r="S51" s="285" t="s">
        <v>193</v>
      </c>
      <c r="T51" s="286"/>
      <c r="U51"/>
      <c r="V51"/>
      <c r="W51"/>
    </row>
    <row r="52" spans="1:23">
      <c r="A52" s="57"/>
      <c r="Q52" s="208"/>
      <c r="R52"/>
      <c r="S52" s="287">
        <v>2023</v>
      </c>
      <c r="T52" s="287"/>
      <c r="U52" s="287">
        <v>2024</v>
      </c>
      <c r="V52" s="287"/>
      <c r="W52" s="287">
        <v>2025</v>
      </c>
    </row>
    <row r="53" spans="1:23">
      <c r="A53" s="57"/>
      <c r="P53" s="57" t="s">
        <v>42</v>
      </c>
      <c r="Q53" s="212"/>
      <c r="R53" t="s">
        <v>148</v>
      </c>
      <c r="S53" s="288">
        <f>2485636-2400421</f>
        <v>85215</v>
      </c>
      <c r="T53" s="289"/>
      <c r="U53" s="288">
        <f>2585696-2485636</f>
        <v>100060</v>
      </c>
      <c r="V53" s="288"/>
      <c r="W53" s="290">
        <f>2683237-2585696-1789</f>
        <v>95752</v>
      </c>
    </row>
    <row r="54" spans="1:23">
      <c r="A54" s="57"/>
      <c r="Q54" s="212"/>
      <c r="R54" t="s">
        <v>194</v>
      </c>
      <c r="S54" s="291">
        <f>23291-22493</f>
        <v>798</v>
      </c>
      <c r="T54" s="292"/>
      <c r="U54" s="293">
        <f>23291-23291</f>
        <v>0</v>
      </c>
      <c r="V54" s="287"/>
      <c r="W54" s="287">
        <f>23291-23291</f>
        <v>0</v>
      </c>
    </row>
    <row r="55" spans="1:23">
      <c r="A55" s="57"/>
      <c r="Q55" s="59"/>
      <c r="R55" t="s">
        <v>195</v>
      </c>
      <c r="S55" s="291">
        <f>2114-2095</f>
        <v>19</v>
      </c>
      <c r="T55" s="292"/>
      <c r="U55" s="293">
        <f>13451-13451</f>
        <v>0</v>
      </c>
      <c r="V55" s="287"/>
      <c r="W55" s="287">
        <f>13451-13451</f>
        <v>0</v>
      </c>
    </row>
    <row r="56" spans="1:23">
      <c r="A56" s="57"/>
      <c r="Q56" s="59"/>
      <c r="R56"/>
      <c r="S56" s="287"/>
      <c r="T56" s="287"/>
      <c r="U56" s="287"/>
      <c r="V56" s="287"/>
      <c r="W56" s="287"/>
    </row>
    <row r="57" spans="1:23">
      <c r="A57" s="57"/>
      <c r="R57"/>
      <c r="S57" s="287"/>
      <c r="T57" s="287"/>
      <c r="U57" s="287"/>
      <c r="V57" s="287"/>
      <c r="W57" s="287"/>
    </row>
    <row r="58" spans="1:23">
      <c r="R58"/>
      <c r="S58" s="291"/>
      <c r="T58" s="292"/>
      <c r="U58" s="292"/>
      <c r="V58" s="287"/>
      <c r="W58" s="287"/>
    </row>
    <row r="59" spans="1:23">
      <c r="R59" s="294"/>
      <c r="S59" s="295">
        <f>SUM(S53:S58)</f>
        <v>86032</v>
      </c>
      <c r="T59" s="295"/>
      <c r="U59" s="295">
        <f>SUM(U53:U58)</f>
        <v>100060</v>
      </c>
      <c r="V59" s="295"/>
      <c r="W59" s="295">
        <f t="shared" ref="W59" si="0">SUM(W53:W58)</f>
        <v>95752</v>
      </c>
    </row>
    <row r="61" spans="1:23">
      <c r="P61" s="346" t="s">
        <v>203</v>
      </c>
    </row>
    <row r="62" spans="1:23">
      <c r="P62" s="57" t="s">
        <v>215</v>
      </c>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5" orientation="landscape" r:id="rId1"/>
  <headerFooter alignWithMargins="0">
    <oddHeader>&amp;R Exh. KJC-2</oddHeader>
    <oddFooter>&amp;R&amp;8Page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9"/>
  <sheetViews>
    <sheetView zoomScaleNormal="100" workbookViewId="0">
      <selection activeCell="Q42" sqref="Q42"/>
    </sheetView>
    <sheetView workbookViewId="1">
      <selection sqref="A1:AC1"/>
    </sheetView>
  </sheetViews>
  <sheetFormatPr defaultColWidth="11.42578125" defaultRowHeight="11.25"/>
  <cols>
    <col min="1" max="1" width="3.7109375" style="230" customWidth="1"/>
    <col min="2" max="2" width="1.7109375" style="230" customWidth="1"/>
    <col min="3" max="3" width="16.140625" style="230"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5703125" style="85" customWidth="1"/>
    <col min="31" max="31" width="12.140625" style="85" customWidth="1"/>
    <col min="32" max="32" width="1.42578125" style="85" customWidth="1"/>
    <col min="33" max="33" width="6.28515625" style="85" bestFit="1" customWidth="1"/>
    <col min="34" max="16384" width="11.42578125" style="85"/>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45657</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157" customFormat="1">
      <c r="A5" s="236"/>
      <c r="B5" s="236"/>
      <c r="C5" s="236"/>
      <c r="D5" s="236"/>
      <c r="E5" s="233"/>
      <c r="F5" s="236"/>
      <c r="G5" s="237"/>
      <c r="H5" s="236"/>
      <c r="I5" s="233"/>
      <c r="J5" s="236"/>
      <c r="K5" s="233"/>
      <c r="L5" s="236"/>
      <c r="M5" s="233"/>
      <c r="N5" s="236"/>
      <c r="O5" s="233"/>
      <c r="P5" s="236"/>
      <c r="Q5" s="233"/>
      <c r="R5" s="236"/>
      <c r="S5" s="233"/>
      <c r="T5" s="236"/>
      <c r="U5" s="233"/>
      <c r="V5" s="236"/>
      <c r="W5" s="238"/>
      <c r="X5" s="236"/>
      <c r="Y5" s="233" t="s">
        <v>45</v>
      </c>
      <c r="Z5" s="236"/>
      <c r="AA5" s="233"/>
      <c r="AB5" s="236"/>
      <c r="AC5" s="236"/>
    </row>
    <row r="6" spans="1:32" s="157" customFormat="1">
      <c r="A6" s="236" t="s">
        <v>46</v>
      </c>
      <c r="B6" s="236"/>
      <c r="C6" s="236"/>
      <c r="D6" s="236"/>
      <c r="E6" s="233" t="s">
        <v>47</v>
      </c>
      <c r="F6" s="236"/>
      <c r="G6" s="237" t="s">
        <v>48</v>
      </c>
      <c r="H6" s="236"/>
      <c r="I6" s="233" t="s">
        <v>49</v>
      </c>
      <c r="J6" s="236"/>
      <c r="K6" s="233" t="s">
        <v>45</v>
      </c>
      <c r="L6" s="236"/>
      <c r="M6" s="233" t="s">
        <v>50</v>
      </c>
      <c r="N6" s="236"/>
      <c r="O6" s="236" t="s">
        <v>51</v>
      </c>
      <c r="P6" s="236"/>
      <c r="Q6" s="236" t="s">
        <v>52</v>
      </c>
      <c r="R6" s="236"/>
      <c r="S6" s="236" t="s">
        <v>53</v>
      </c>
      <c r="T6" s="236"/>
      <c r="U6" s="233" t="s">
        <v>54</v>
      </c>
      <c r="V6" s="236"/>
      <c r="W6" s="238" t="s">
        <v>55</v>
      </c>
      <c r="X6" s="236"/>
      <c r="Y6" s="233" t="s">
        <v>56</v>
      </c>
      <c r="Z6" s="236"/>
      <c r="AA6" s="233" t="s">
        <v>57</v>
      </c>
      <c r="AB6" s="236"/>
      <c r="AC6" s="236" t="s">
        <v>46</v>
      </c>
    </row>
    <row r="7" spans="1:32" s="157" customFormat="1">
      <c r="A7" s="239" t="s">
        <v>58</v>
      </c>
      <c r="B7" s="236"/>
      <c r="C7" s="239" t="s">
        <v>59</v>
      </c>
      <c r="D7" s="236"/>
      <c r="E7" s="240" t="s">
        <v>60</v>
      </c>
      <c r="F7" s="239"/>
      <c r="G7" s="241" t="s">
        <v>61</v>
      </c>
      <c r="H7" s="236"/>
      <c r="I7" s="240" t="s">
        <v>61</v>
      </c>
      <c r="J7" s="236"/>
      <c r="K7" s="240" t="s">
        <v>38</v>
      </c>
      <c r="L7" s="236"/>
      <c r="M7" s="240" t="s">
        <v>62</v>
      </c>
      <c r="N7" s="236"/>
      <c r="O7" s="239" t="s">
        <v>63</v>
      </c>
      <c r="P7" s="236"/>
      <c r="Q7" s="239" t="s">
        <v>64</v>
      </c>
      <c r="R7" s="236"/>
      <c r="S7" s="239" t="s">
        <v>65</v>
      </c>
      <c r="T7" s="236"/>
      <c r="U7" s="240" t="s">
        <v>66</v>
      </c>
      <c r="V7" s="236"/>
      <c r="W7" s="242" t="s">
        <v>48</v>
      </c>
      <c r="X7" s="236"/>
      <c r="Y7" s="243">
        <f>+A3</f>
        <v>45657</v>
      </c>
      <c r="Z7" s="236"/>
      <c r="AA7" s="240" t="s">
        <v>40</v>
      </c>
      <c r="AB7" s="236"/>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v>5.8599999999999999E-2</v>
      </c>
      <c r="F9" s="230">
        <v>1</v>
      </c>
      <c r="G9" s="247">
        <v>50192</v>
      </c>
      <c r="H9" s="248"/>
      <c r="I9" s="247">
        <v>35584</v>
      </c>
      <c r="K9" s="249">
        <v>40000000</v>
      </c>
      <c r="L9" s="249"/>
      <c r="M9" s="249">
        <v>1296086</v>
      </c>
      <c r="N9" s="249"/>
      <c r="O9" s="249">
        <v>0</v>
      </c>
      <c r="P9" s="231"/>
      <c r="Q9" s="249">
        <v>0</v>
      </c>
      <c r="R9" s="249"/>
      <c r="S9" s="249">
        <v>-1769125</v>
      </c>
      <c r="T9" s="249"/>
      <c r="U9" s="249">
        <f t="shared" ref="U9:U15" si="0">IF(K9&gt;0,K9-SUM(M9:S9),0)</f>
        <v>40473039</v>
      </c>
      <c r="W9" s="165">
        <f t="shared" ref="W9:W25" si="1">IF(K9&gt;0,YIELD(I9,G9,E9,U9/K9*100,100,2,0),"")</f>
        <v>5.7837817205093116E-2</v>
      </c>
      <c r="Y9" s="249">
        <f t="shared" ref="Y9:Y27" si="2">IF(G9&gt;$Y$7,K9,"")</f>
        <v>40000000</v>
      </c>
      <c r="Z9" s="249"/>
      <c r="AA9" s="249">
        <f t="shared" ref="AA9:AA27" si="3">IF(AND(G9&gt;$Y$7,K9&gt;0),Y9*W9,IF(G9&gt;$Y$7,M9/((YEAR(G9)-YEAR(I9))*12+MONTH(G9)-MONTH(I9))*12,0))</f>
        <v>2313512.6882037246</v>
      </c>
      <c r="AC9" s="230">
        <f t="shared" ref="AC9:AC42" si="4">+A9</f>
        <v>1</v>
      </c>
      <c r="AD9" s="158"/>
      <c r="AE9" s="166"/>
      <c r="AF9" s="159"/>
    </row>
    <row r="10" spans="1:32">
      <c r="A10" s="230">
        <v>2</v>
      </c>
      <c r="C10" s="230" t="s">
        <v>141</v>
      </c>
      <c r="E10" s="245">
        <v>6.3700000000000007E-2</v>
      </c>
      <c r="G10" s="247">
        <v>46923</v>
      </c>
      <c r="H10" s="248"/>
      <c r="I10" s="247">
        <v>35965</v>
      </c>
      <c r="K10" s="249">
        <v>25000000</v>
      </c>
      <c r="L10" s="249"/>
      <c r="M10" s="249">
        <v>158303.79</v>
      </c>
      <c r="N10" s="249"/>
      <c r="O10" s="249">
        <v>0</v>
      </c>
      <c r="P10" s="231"/>
      <c r="Q10" s="249">
        <v>0</v>
      </c>
      <c r="R10" s="249"/>
      <c r="S10" s="249">
        <v>188649</v>
      </c>
      <c r="T10" s="249"/>
      <c r="U10" s="249">
        <f t="shared" si="0"/>
        <v>24653047.210000001</v>
      </c>
      <c r="W10" s="165">
        <f t="shared" si="1"/>
        <v>6.4754538518065133E-2</v>
      </c>
      <c r="Y10" s="249">
        <f t="shared" si="2"/>
        <v>25000000</v>
      </c>
      <c r="Z10" s="249"/>
      <c r="AA10" s="249">
        <f t="shared" si="3"/>
        <v>1618863.4629516283</v>
      </c>
      <c r="AC10" s="230">
        <f t="shared" si="4"/>
        <v>2</v>
      </c>
      <c r="AD10" s="158"/>
      <c r="AE10" s="166"/>
      <c r="AF10" s="159"/>
    </row>
    <row r="11" spans="1:32">
      <c r="A11" s="230">
        <v>3</v>
      </c>
      <c r="C11" s="230" t="s">
        <v>79</v>
      </c>
      <c r="E11" s="245">
        <v>6.25E-2</v>
      </c>
      <c r="G11" s="247">
        <v>49644</v>
      </c>
      <c r="H11" s="248"/>
      <c r="I11" s="247">
        <v>38673</v>
      </c>
      <c r="K11" s="249">
        <v>150000000</v>
      </c>
      <c r="L11" s="249"/>
      <c r="M11" s="249">
        <v>1812935.49</v>
      </c>
      <c r="N11" s="249"/>
      <c r="O11" s="249">
        <v>-4445000</v>
      </c>
      <c r="P11" s="231"/>
      <c r="Q11" s="249">
        <v>367500</v>
      </c>
      <c r="R11" s="249"/>
      <c r="S11" s="249">
        <v>1700376.3864715428</v>
      </c>
      <c r="T11" s="249"/>
      <c r="U11" s="249">
        <f t="shared" si="0"/>
        <v>150564188.12352845</v>
      </c>
      <c r="W11" s="165">
        <f t="shared" si="1"/>
        <v>6.2219270186626811E-2</v>
      </c>
      <c r="Y11" s="249">
        <f t="shared" si="2"/>
        <v>150000000</v>
      </c>
      <c r="Z11" s="249"/>
      <c r="AA11" s="249">
        <f t="shared" si="3"/>
        <v>9332890.5279940218</v>
      </c>
      <c r="AC11" s="230">
        <f t="shared" si="4"/>
        <v>3</v>
      </c>
      <c r="AD11" s="158"/>
      <c r="AE11" s="166"/>
      <c r="AF11" s="159"/>
    </row>
    <row r="12" spans="1:32">
      <c r="A12" s="230">
        <v>4</v>
      </c>
      <c r="C12" s="230" t="s">
        <v>80</v>
      </c>
      <c r="E12" s="245">
        <v>5.7000000000000002E-2</v>
      </c>
      <c r="F12" s="246"/>
      <c r="G12" s="247">
        <v>50222</v>
      </c>
      <c r="H12" s="248"/>
      <c r="I12" s="247">
        <v>39066</v>
      </c>
      <c r="K12" s="249">
        <v>150000000</v>
      </c>
      <c r="L12" s="249"/>
      <c r="M12" s="249">
        <v>4702304.129999999</v>
      </c>
      <c r="N12" s="249"/>
      <c r="O12" s="249">
        <v>3738000</v>
      </c>
      <c r="P12" s="231"/>
      <c r="Q12" s="249">
        <v>222000</v>
      </c>
      <c r="R12" s="249"/>
      <c r="S12" s="249">
        <v>0</v>
      </c>
      <c r="T12" s="249"/>
      <c r="U12" s="249">
        <f t="shared" si="0"/>
        <v>141337695.87</v>
      </c>
      <c r="W12" s="165">
        <f>IF(K12&gt;0,YIELD(I12,G12,E12,U12/K12*100,100,2,0),"")</f>
        <v>6.1197829079802084E-2</v>
      </c>
      <c r="Y12" s="249">
        <f t="shared" si="2"/>
        <v>150000000</v>
      </c>
      <c r="Z12" s="249"/>
      <c r="AA12" s="249">
        <f t="shared" si="3"/>
        <v>9179674.3619703129</v>
      </c>
      <c r="AC12" s="230">
        <f t="shared" si="4"/>
        <v>4</v>
      </c>
      <c r="AD12" s="158"/>
      <c r="AE12" s="166"/>
      <c r="AF12" s="159"/>
    </row>
    <row r="13" spans="1:32">
      <c r="A13" s="230">
        <v>6</v>
      </c>
      <c r="C13" s="230" t="s">
        <v>81</v>
      </c>
      <c r="D13" s="250"/>
      <c r="E13" s="245">
        <v>5.5500000000000001E-2</v>
      </c>
      <c r="F13" s="251"/>
      <c r="G13" s="247">
        <v>51490</v>
      </c>
      <c r="H13" s="252"/>
      <c r="I13" s="247">
        <v>40532</v>
      </c>
      <c r="J13" s="253"/>
      <c r="K13" s="249">
        <v>35000000</v>
      </c>
      <c r="L13" s="254"/>
      <c r="M13" s="249">
        <v>258833.51792323033</v>
      </c>
      <c r="N13" s="254"/>
      <c r="O13" s="249">
        <v>0</v>
      </c>
      <c r="P13" s="255"/>
      <c r="Q13" s="249">
        <v>0</v>
      </c>
      <c r="R13" s="254"/>
      <c r="S13" s="249">
        <v>5263821.6495898366</v>
      </c>
      <c r="T13" s="254"/>
      <c r="U13" s="249">
        <f t="shared" si="0"/>
        <v>29477344.832486935</v>
      </c>
      <c r="V13" s="253"/>
      <c r="W13" s="165">
        <f t="shared" si="1"/>
        <v>6.7882497516345841E-2</v>
      </c>
      <c r="X13" s="253"/>
      <c r="Y13" s="249">
        <f t="shared" si="2"/>
        <v>35000000</v>
      </c>
      <c r="Z13" s="254"/>
      <c r="AA13" s="249">
        <f t="shared" si="3"/>
        <v>2375887.4130721046</v>
      </c>
      <c r="AC13" s="230">
        <f t="shared" si="4"/>
        <v>6</v>
      </c>
      <c r="AD13" s="158"/>
      <c r="AE13" s="166"/>
      <c r="AF13" s="159"/>
    </row>
    <row r="14" spans="1:32">
      <c r="A14" s="230">
        <v>7</v>
      </c>
      <c r="C14" s="230" t="s">
        <v>82</v>
      </c>
      <c r="D14" s="250"/>
      <c r="E14" s="245">
        <v>4.4499999999999998E-2</v>
      </c>
      <c r="F14" s="251"/>
      <c r="G14" s="247">
        <v>51849</v>
      </c>
      <c r="H14" s="252"/>
      <c r="I14" s="247">
        <v>40891</v>
      </c>
      <c r="J14" s="253"/>
      <c r="K14" s="249">
        <v>85000000</v>
      </c>
      <c r="L14" s="254"/>
      <c r="M14" s="249">
        <v>692833.13</v>
      </c>
      <c r="N14" s="254"/>
      <c r="O14" s="249">
        <v>10557000</v>
      </c>
      <c r="P14" s="255"/>
      <c r="Q14" s="249">
        <v>0</v>
      </c>
      <c r="R14" s="254"/>
      <c r="S14" s="249">
        <v>0</v>
      </c>
      <c r="T14" s="254"/>
      <c r="U14" s="249">
        <f t="shared" si="0"/>
        <v>73750166.870000005</v>
      </c>
      <c r="V14" s="253"/>
      <c r="W14" s="165">
        <f t="shared" si="1"/>
        <v>5.3398480565838784E-2</v>
      </c>
      <c r="X14" s="253"/>
      <c r="Y14" s="249">
        <f t="shared" si="2"/>
        <v>85000000</v>
      </c>
      <c r="Z14" s="254"/>
      <c r="AA14" s="249">
        <f t="shared" si="3"/>
        <v>4538870.8480962962</v>
      </c>
      <c r="AC14" s="230">
        <f t="shared" si="4"/>
        <v>7</v>
      </c>
      <c r="AD14" s="224"/>
      <c r="AE14" s="166"/>
      <c r="AF14" s="159"/>
    </row>
    <row r="15" spans="1:32">
      <c r="A15" s="230">
        <v>8</v>
      </c>
      <c r="C15" s="230" t="s">
        <v>140</v>
      </c>
      <c r="D15" s="250"/>
      <c r="E15" s="245">
        <v>4.2299999999999997E-2</v>
      </c>
      <c r="F15" s="251"/>
      <c r="G15" s="247">
        <v>54025</v>
      </c>
      <c r="H15" s="252"/>
      <c r="I15" s="247">
        <v>41243</v>
      </c>
      <c r="J15" s="253"/>
      <c r="K15" s="249">
        <v>80000000</v>
      </c>
      <c r="L15" s="254"/>
      <c r="M15" s="249">
        <v>730832.49999999988</v>
      </c>
      <c r="N15" s="254"/>
      <c r="O15" s="249">
        <v>18546870</v>
      </c>
      <c r="P15" s="255"/>
      <c r="Q15" s="249">
        <v>0</v>
      </c>
      <c r="R15" s="254"/>
      <c r="S15" s="249">
        <v>105020.45965535883</v>
      </c>
      <c r="T15" s="254"/>
      <c r="U15" s="249">
        <f t="shared" si="0"/>
        <v>60617277.040344641</v>
      </c>
      <c r="V15" s="253"/>
      <c r="W15" s="165">
        <f t="shared" si="1"/>
        <v>5.8681663596242842E-2</v>
      </c>
      <c r="X15" s="253"/>
      <c r="Y15" s="249">
        <f t="shared" si="2"/>
        <v>80000000</v>
      </c>
      <c r="Z15" s="254"/>
      <c r="AA15" s="249">
        <f t="shared" si="3"/>
        <v>4694533.0876994273</v>
      </c>
      <c r="AC15" s="230">
        <f t="shared" si="4"/>
        <v>8</v>
      </c>
      <c r="AD15" s="224"/>
      <c r="AE15" s="166"/>
      <c r="AF15" s="159"/>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ref="U16:U25" si="5">IF(K16&gt;0,K16-SUM(M16:S16),0)</f>
        <v>65000794.82</v>
      </c>
      <c r="W16" s="165">
        <f t="shared" si="1"/>
        <v>3.650066521046285E-2</v>
      </c>
      <c r="Y16" s="249">
        <f t="shared" si="2"/>
        <v>60000000</v>
      </c>
      <c r="Z16" s="249"/>
      <c r="AA16" s="249">
        <f t="shared" si="3"/>
        <v>2190039.912627771</v>
      </c>
      <c r="AC16" s="230">
        <f t="shared" si="4"/>
        <v>9</v>
      </c>
      <c r="AD16" s="224"/>
      <c r="AF16" s="159"/>
    </row>
    <row r="17" spans="1:37">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1"/>
        <v>5.0168887208326574E-2</v>
      </c>
      <c r="Y17" s="249">
        <f t="shared" si="2"/>
        <v>100000000</v>
      </c>
      <c r="Z17" s="249"/>
      <c r="AA17" s="249">
        <f t="shared" si="3"/>
        <v>5016888.7208326571</v>
      </c>
      <c r="AC17" s="230">
        <f t="shared" si="4"/>
        <v>10</v>
      </c>
      <c r="AD17" s="223"/>
      <c r="AF17" s="159"/>
    </row>
    <row r="18" spans="1:37">
      <c r="A18" s="230">
        <v>11</v>
      </c>
      <c r="C18" s="230" t="s">
        <v>172</v>
      </c>
      <c r="E18" s="245">
        <v>3.5400000000000001E-2</v>
      </c>
      <c r="G18" s="247">
        <v>55488</v>
      </c>
      <c r="I18" s="247">
        <v>42719</v>
      </c>
      <c r="K18" s="249">
        <v>175000000</v>
      </c>
      <c r="L18" s="249"/>
      <c r="M18" s="249">
        <v>1042569.48</v>
      </c>
      <c r="N18" s="249"/>
      <c r="O18" s="249">
        <v>53966197.25</v>
      </c>
      <c r="Q18" s="249">
        <v>0</v>
      </c>
      <c r="R18" s="249"/>
      <c r="S18" s="249">
        <v>0</v>
      </c>
      <c r="T18" s="249"/>
      <c r="U18" s="249">
        <f t="shared" si="5"/>
        <v>119991233.27000001</v>
      </c>
      <c r="W18" s="165">
        <f t="shared" si="1"/>
        <v>5.5983104331726943E-2</v>
      </c>
      <c r="Y18" s="249">
        <f t="shared" si="2"/>
        <v>175000000</v>
      </c>
      <c r="Z18" s="249"/>
      <c r="AA18" s="249">
        <f t="shared" si="3"/>
        <v>9797043.258052215</v>
      </c>
      <c r="AC18" s="230">
        <f t="shared" si="4"/>
        <v>11</v>
      </c>
      <c r="AD18" s="60"/>
      <c r="AF18" s="159"/>
    </row>
    <row r="19" spans="1:37">
      <c r="A19" s="230">
        <v>12</v>
      </c>
      <c r="C19" s="230" t="s">
        <v>166</v>
      </c>
      <c r="E19" s="245">
        <v>3.9100000000000003E-2</v>
      </c>
      <c r="G19" s="247">
        <v>54027</v>
      </c>
      <c r="I19" s="247">
        <v>43083</v>
      </c>
      <c r="K19" s="249">
        <v>90000000</v>
      </c>
      <c r="L19" s="249"/>
      <c r="M19" s="249">
        <v>552538.96000000008</v>
      </c>
      <c r="N19" s="249"/>
      <c r="O19" s="249">
        <v>8823321.5700000003</v>
      </c>
      <c r="Q19" s="249">
        <v>0</v>
      </c>
      <c r="R19" s="249"/>
      <c r="S19" s="249">
        <v>0</v>
      </c>
      <c r="T19" s="249"/>
      <c r="U19" s="249">
        <f t="shared" si="5"/>
        <v>80624139.469999999</v>
      </c>
      <c r="W19" s="165">
        <f t="shared" si="1"/>
        <v>4.5502447848242804E-2</v>
      </c>
      <c r="Y19" s="249">
        <f t="shared" si="2"/>
        <v>90000000</v>
      </c>
      <c r="Z19" s="249"/>
      <c r="AA19" s="249">
        <f t="shared" si="3"/>
        <v>4095220.3063418525</v>
      </c>
      <c r="AC19" s="230">
        <f t="shared" si="4"/>
        <v>12</v>
      </c>
      <c r="AD19" s="60"/>
      <c r="AF19" s="159"/>
    </row>
    <row r="20" spans="1:37">
      <c r="A20" s="230">
        <v>13</v>
      </c>
      <c r="C20" s="230" t="s">
        <v>167</v>
      </c>
      <c r="E20" s="245">
        <v>4.3499999999999997E-2</v>
      </c>
      <c r="G20" s="247">
        <v>54210</v>
      </c>
      <c r="I20" s="247">
        <v>43242</v>
      </c>
      <c r="K20" s="249">
        <v>375000000</v>
      </c>
      <c r="L20" s="249"/>
      <c r="M20" s="249">
        <v>4246447.95</v>
      </c>
      <c r="N20" s="249"/>
      <c r="O20" s="249">
        <v>26580102</v>
      </c>
      <c r="Q20" s="249">
        <v>378750</v>
      </c>
      <c r="R20" s="249"/>
      <c r="S20" s="249">
        <v>0</v>
      </c>
      <c r="T20" s="249"/>
      <c r="U20" s="249">
        <f t="shared" si="5"/>
        <v>343794700.05000001</v>
      </c>
      <c r="W20" s="165">
        <f t="shared" si="1"/>
        <v>4.8808927553560574E-2</v>
      </c>
      <c r="Y20" s="249">
        <f t="shared" si="2"/>
        <v>375000000</v>
      </c>
      <c r="Z20" s="249"/>
      <c r="AA20" s="249">
        <f t="shared" si="3"/>
        <v>18303347.832585216</v>
      </c>
      <c r="AC20" s="230">
        <f t="shared" si="4"/>
        <v>13</v>
      </c>
      <c r="AD20" s="60"/>
      <c r="AF20" s="159"/>
    </row>
    <row r="21" spans="1:37">
      <c r="A21" s="230">
        <v>14</v>
      </c>
      <c r="C21" s="230" t="s">
        <v>173</v>
      </c>
      <c r="E21" s="245">
        <v>3.4299999999999997E-2</v>
      </c>
      <c r="G21" s="247">
        <v>54758</v>
      </c>
      <c r="I21" s="247">
        <v>43795</v>
      </c>
      <c r="K21" s="249">
        <v>180000000</v>
      </c>
      <c r="L21" s="249"/>
      <c r="M21" s="249">
        <v>1108340.2299999997</v>
      </c>
      <c r="N21" s="249"/>
      <c r="O21" s="249">
        <v>13330106.050000001</v>
      </c>
      <c r="Q21" s="249">
        <v>0</v>
      </c>
      <c r="R21" s="249"/>
      <c r="S21" s="249">
        <v>0</v>
      </c>
      <c r="T21" s="249"/>
      <c r="U21" s="249">
        <f t="shared" si="5"/>
        <v>165561553.72</v>
      </c>
      <c r="W21" s="165">
        <f t="shared" si="1"/>
        <v>3.8849750081245867E-2</v>
      </c>
      <c r="Y21" s="249">
        <f t="shared" si="2"/>
        <v>180000000</v>
      </c>
      <c r="Z21" s="249"/>
      <c r="AA21" s="249">
        <f t="shared" si="3"/>
        <v>6992955.0146242557</v>
      </c>
      <c r="AC21" s="230">
        <f t="shared" si="4"/>
        <v>14</v>
      </c>
      <c r="AD21" s="60"/>
    </row>
    <row r="22" spans="1:37">
      <c r="A22" s="230">
        <v>15</v>
      </c>
      <c r="C22" s="230" t="s">
        <v>174</v>
      </c>
      <c r="E22" s="245">
        <v>3.0700000000000002E-2</v>
      </c>
      <c r="G22" s="247">
        <v>55061</v>
      </c>
      <c r="I22" s="247">
        <v>44104</v>
      </c>
      <c r="K22" s="249">
        <v>165000000</v>
      </c>
      <c r="M22" s="249">
        <v>1074990.1399999999</v>
      </c>
      <c r="O22" s="249">
        <v>33503118.890000001</v>
      </c>
      <c r="Q22" s="249">
        <v>0</v>
      </c>
      <c r="S22" s="249">
        <v>0</v>
      </c>
      <c r="U22" s="249">
        <f t="shared" si="5"/>
        <v>130421890.97</v>
      </c>
      <c r="W22" s="165">
        <f t="shared" si="1"/>
        <v>4.323414388763628E-2</v>
      </c>
      <c r="Y22" s="249">
        <f t="shared" si="2"/>
        <v>165000000</v>
      </c>
      <c r="Z22" s="249"/>
      <c r="AA22" s="249">
        <f t="shared" si="3"/>
        <v>7133633.7414599862</v>
      </c>
      <c r="AC22" s="230">
        <f t="shared" si="4"/>
        <v>15</v>
      </c>
      <c r="AD22" s="60"/>
    </row>
    <row r="23" spans="1:37">
      <c r="A23" s="230">
        <v>16</v>
      </c>
      <c r="C23" s="230" t="s">
        <v>175</v>
      </c>
      <c r="E23" s="245">
        <v>2.9000000000000001E-2</v>
      </c>
      <c r="G23" s="247">
        <v>55427</v>
      </c>
      <c r="I23" s="247">
        <v>44467</v>
      </c>
      <c r="K23" s="249">
        <v>140000000</v>
      </c>
      <c r="M23" s="249">
        <v>1100000</v>
      </c>
      <c r="O23" s="249">
        <v>17244100</v>
      </c>
      <c r="Q23" s="249">
        <v>0</v>
      </c>
      <c r="S23" s="249">
        <v>0</v>
      </c>
      <c r="U23" s="249">
        <f t="shared" si="5"/>
        <v>121655900</v>
      </c>
      <c r="W23" s="165">
        <f t="shared" si="1"/>
        <v>3.6194384822435866E-2</v>
      </c>
      <c r="Y23" s="249">
        <f t="shared" si="2"/>
        <v>140000000</v>
      </c>
      <c r="Z23" s="249"/>
      <c r="AA23" s="249">
        <f t="shared" si="3"/>
        <v>5067213.8751410209</v>
      </c>
      <c r="AC23" s="230">
        <f t="shared" si="4"/>
        <v>16</v>
      </c>
      <c r="AD23" s="60"/>
    </row>
    <row r="24" spans="1:37">
      <c r="A24" s="230">
        <v>17</v>
      </c>
      <c r="C24" s="230" t="s">
        <v>200</v>
      </c>
      <c r="E24" s="245">
        <v>0.04</v>
      </c>
      <c r="G24" s="247">
        <v>55610</v>
      </c>
      <c r="I24" s="247">
        <v>44637</v>
      </c>
      <c r="K24" s="249">
        <v>400000000</v>
      </c>
      <c r="M24" s="249">
        <v>4579992.8499999996</v>
      </c>
      <c r="O24" s="249">
        <v>17035229.649999999</v>
      </c>
      <c r="Q24" s="249"/>
      <c r="S24" s="249"/>
      <c r="U24" s="249">
        <f t="shared" si="5"/>
        <v>378384777.5</v>
      </c>
      <c r="W24" s="165">
        <f t="shared" si="1"/>
        <v>4.3228862281406558E-2</v>
      </c>
      <c r="Y24" s="249">
        <f t="shared" si="2"/>
        <v>400000000</v>
      </c>
      <c r="Z24" s="249"/>
      <c r="AA24" s="249">
        <f t="shared" si="3"/>
        <v>17291544.912562624</v>
      </c>
      <c r="AC24" s="230">
        <f t="shared" si="4"/>
        <v>17</v>
      </c>
      <c r="AD24" s="60"/>
    </row>
    <row r="25" spans="1:37">
      <c r="A25" s="230">
        <v>18</v>
      </c>
      <c r="C25" s="230" t="s">
        <v>201</v>
      </c>
      <c r="E25" s="245">
        <v>5.6599999999999998E-2</v>
      </c>
      <c r="G25" s="247">
        <v>55975</v>
      </c>
      <c r="I25" s="247">
        <v>45014</v>
      </c>
      <c r="K25" s="249">
        <v>250000000</v>
      </c>
      <c r="M25" s="249">
        <v>1443848.52</v>
      </c>
      <c r="O25" s="249">
        <v>-7459930</v>
      </c>
      <c r="Q25" s="249"/>
      <c r="S25" s="249"/>
      <c r="U25" s="249">
        <f t="shared" si="5"/>
        <v>256016081.47999999</v>
      </c>
      <c r="W25" s="165">
        <f t="shared" si="1"/>
        <v>5.4953710594270497E-2</v>
      </c>
      <c r="Y25" s="249">
        <f t="shared" si="2"/>
        <v>250000000</v>
      </c>
      <c r="AA25" s="249">
        <f t="shared" si="3"/>
        <v>13738427.648567624</v>
      </c>
      <c r="AC25" s="230">
        <f t="shared" si="4"/>
        <v>18</v>
      </c>
      <c r="AD25" s="60"/>
    </row>
    <row r="26" spans="1:37">
      <c r="A26" s="230">
        <v>19</v>
      </c>
      <c r="C26" s="230" t="s">
        <v>204</v>
      </c>
      <c r="E26" s="245">
        <v>4.9000000000000002E-2</v>
      </c>
      <c r="G26" s="247">
        <v>48488</v>
      </c>
      <c r="I26" s="247">
        <v>45352</v>
      </c>
      <c r="K26" s="249">
        <v>66700000</v>
      </c>
      <c r="M26" s="249">
        <v>500000</v>
      </c>
      <c r="O26" s="249">
        <v>-5522550</v>
      </c>
      <c r="Q26" s="249"/>
      <c r="S26" s="249"/>
      <c r="U26" s="249">
        <f>IF(K26&gt;0,K26-SUM(M26:S26),0)</f>
        <v>71722550</v>
      </c>
      <c r="W26" s="165">
        <f>IF(K26&gt;0,YIELD(I26,G26,E26,U26/K26*100,100,2,0),"")</f>
        <v>3.8605348070218815E-2</v>
      </c>
      <c r="Y26" s="249">
        <f t="shared" si="2"/>
        <v>66700000</v>
      </c>
      <c r="AA26" s="249">
        <f t="shared" si="3"/>
        <v>2574976.7162835947</v>
      </c>
      <c r="AC26" s="230">
        <f t="shared" si="4"/>
        <v>19</v>
      </c>
      <c r="AD26" s="60"/>
    </row>
    <row r="27" spans="1:37">
      <c r="A27" s="230">
        <v>20</v>
      </c>
      <c r="C27" s="230" t="s">
        <v>204</v>
      </c>
      <c r="E27" s="245">
        <v>4.9000000000000002E-2</v>
      </c>
      <c r="G27" s="247">
        <v>49004</v>
      </c>
      <c r="I27" s="247">
        <v>45352</v>
      </c>
      <c r="K27" s="249">
        <v>17000000</v>
      </c>
      <c r="M27" s="249">
        <v>200000</v>
      </c>
      <c r="O27" s="249"/>
      <c r="Q27" s="249"/>
      <c r="S27" s="249"/>
      <c r="U27" s="249">
        <f>IF(K27&gt;0,K27-SUM(M27:S27),0)</f>
        <v>16800000</v>
      </c>
      <c r="W27" s="165">
        <f>IF(K27&gt;0,YIELD(I27,G27,E27,U27/K27*100,100,2,0),"")</f>
        <v>5.0513003695766986E-2</v>
      </c>
      <c r="Y27" s="249">
        <f t="shared" si="2"/>
        <v>17000000</v>
      </c>
      <c r="AA27" s="249">
        <f t="shared" si="3"/>
        <v>858721.06282803882</v>
      </c>
      <c r="AC27" s="230">
        <f t="shared" si="4"/>
        <v>20</v>
      </c>
    </row>
    <row r="28" spans="1:37">
      <c r="A28" s="230">
        <f t="shared" ref="A28:A42" si="6">+A27+1</f>
        <v>21</v>
      </c>
      <c r="E28" s="245"/>
      <c r="G28" s="247"/>
      <c r="I28" s="247"/>
      <c r="K28" s="249"/>
      <c r="M28" s="249"/>
      <c r="O28" s="249"/>
      <c r="U28" s="249"/>
      <c r="W28" s="165"/>
      <c r="Y28" s="256">
        <f>+SUM(Y9:Y27)</f>
        <v>2583700000</v>
      </c>
      <c r="Z28" s="256"/>
      <c r="AA28" s="256">
        <f>+SUM(AA9:AA27)</f>
        <v>127114245.39189437</v>
      </c>
      <c r="AC28" s="230">
        <f t="shared" si="4"/>
        <v>21</v>
      </c>
    </row>
    <row r="29" spans="1:37">
      <c r="A29" s="230">
        <f t="shared" si="6"/>
        <v>22</v>
      </c>
      <c r="E29" s="245"/>
      <c r="G29" s="247"/>
      <c r="I29" s="247"/>
      <c r="K29" s="249"/>
      <c r="M29" s="249"/>
      <c r="O29" s="249"/>
      <c r="U29" s="249"/>
      <c r="W29" s="165"/>
      <c r="Y29" s="164"/>
      <c r="AA29" s="164"/>
      <c r="AC29" s="230">
        <f t="shared" si="4"/>
        <v>22</v>
      </c>
      <c r="AD29" s="84"/>
    </row>
    <row r="30" spans="1:37">
      <c r="A30" s="230">
        <f t="shared" si="6"/>
        <v>23</v>
      </c>
      <c r="C30" s="230" t="s">
        <v>83</v>
      </c>
      <c r="D30" s="251">
        <v>2</v>
      </c>
      <c r="E30" s="257">
        <v>8.8499999999999995E-2</v>
      </c>
      <c r="G30" s="258">
        <v>46909</v>
      </c>
      <c r="H30" s="248"/>
      <c r="I30" s="247">
        <v>37400</v>
      </c>
      <c r="K30" s="231">
        <v>10000000</v>
      </c>
      <c r="S30" s="259">
        <v>-2228153</v>
      </c>
      <c r="U30" s="231">
        <f>K30-M30-S30</f>
        <v>12228153</v>
      </c>
      <c r="W30" s="163">
        <f>YIELD(I30,G30,E30,U30/K30*100,100,2,0)</f>
        <v>6.9809831044499712E-2</v>
      </c>
      <c r="Z30" s="251">
        <v>3</v>
      </c>
      <c r="AA30" s="260">
        <f>-PMT(W30,(YEAR(G30)-YEAR(I30)),S30)</f>
        <v>-188084.26632318582</v>
      </c>
      <c r="AC30" s="230">
        <f t="shared" si="4"/>
        <v>23</v>
      </c>
      <c r="AD30" s="84"/>
    </row>
    <row r="31" spans="1:37">
      <c r="A31" s="230">
        <f t="shared" si="6"/>
        <v>24</v>
      </c>
      <c r="C31" s="230" t="s">
        <v>83</v>
      </c>
      <c r="D31" s="251">
        <v>2</v>
      </c>
      <c r="E31" s="257">
        <v>8.8300000000000003E-2</v>
      </c>
      <c r="G31" s="258">
        <v>46909</v>
      </c>
      <c r="H31" s="248"/>
      <c r="I31" s="247">
        <v>37714</v>
      </c>
      <c r="K31" s="231">
        <v>10000000</v>
      </c>
      <c r="S31" s="259">
        <v>-450768.99999999994</v>
      </c>
      <c r="U31" s="231">
        <f>K31-M31-S31</f>
        <v>10450769</v>
      </c>
      <c r="W31" s="163">
        <f>YIELD(I31,G31,E31,U31/K31*100,100,2,0)</f>
        <v>8.3949643464908075E-2</v>
      </c>
      <c r="X31" s="35"/>
      <c r="Z31" s="251">
        <v>3</v>
      </c>
      <c r="AA31" s="260">
        <f>-PMT(W31,(YEAR(G31)-YEAR(I31)),S31)</f>
        <v>-43661.153827584989</v>
      </c>
      <c r="AC31" s="230">
        <f t="shared" si="4"/>
        <v>24</v>
      </c>
      <c r="AD31" s="84"/>
    </row>
    <row r="32" spans="1:37" s="35" customFormat="1">
      <c r="A32" s="230">
        <f t="shared" si="6"/>
        <v>25</v>
      </c>
      <c r="C32" s="230" t="s">
        <v>83</v>
      </c>
      <c r="D32" s="251">
        <v>2</v>
      </c>
      <c r="E32" s="257">
        <v>8.8300000000000003E-2</v>
      </c>
      <c r="F32" s="230"/>
      <c r="G32" s="258">
        <v>44924</v>
      </c>
      <c r="H32" s="248"/>
      <c r="I32" s="247">
        <v>37691</v>
      </c>
      <c r="J32" s="230"/>
      <c r="K32" s="231">
        <v>5000000</v>
      </c>
      <c r="L32" s="230"/>
      <c r="M32" s="231"/>
      <c r="N32" s="230"/>
      <c r="O32" s="231"/>
      <c r="P32" s="230"/>
      <c r="Q32" s="231"/>
      <c r="R32" s="230"/>
      <c r="S32" s="259">
        <v>92363.000000000029</v>
      </c>
      <c r="T32" s="230"/>
      <c r="U32" s="231">
        <f>K32-M32-S32</f>
        <v>4907637</v>
      </c>
      <c r="V32" s="230"/>
      <c r="W32" s="163">
        <f>YIELD(I32,G32,E32,U32/K32*100,100,2,0)</f>
        <v>9.0293815979527764E-2</v>
      </c>
      <c r="Y32" s="231"/>
      <c r="Z32" s="251">
        <v>3</v>
      </c>
      <c r="AA32" s="260">
        <f>-PMT(W32,(YEAR(G32)-YEAR(I32)),S32)</f>
        <v>10340.693165648814</v>
      </c>
      <c r="AB32" s="230"/>
      <c r="AC32" s="230">
        <f t="shared" si="4"/>
        <v>25</v>
      </c>
      <c r="AD32" s="85"/>
      <c r="AH32" s="85"/>
      <c r="AI32" s="85"/>
      <c r="AJ32" s="83"/>
      <c r="AK32" s="83"/>
    </row>
    <row r="33" spans="1:37" s="35" customFormat="1">
      <c r="A33" s="230">
        <f t="shared" si="6"/>
        <v>26</v>
      </c>
      <c r="C33" s="230" t="s">
        <v>83</v>
      </c>
      <c r="D33" s="251">
        <v>2</v>
      </c>
      <c r="E33" s="261">
        <v>5.7169999999999999E-2</v>
      </c>
      <c r="G33" s="262">
        <v>49004</v>
      </c>
      <c r="I33" s="262">
        <v>40177</v>
      </c>
      <c r="K33" s="83">
        <v>17000000</v>
      </c>
      <c r="M33" s="83"/>
      <c r="S33" s="263">
        <v>1916297.1170360595</v>
      </c>
      <c r="U33" s="231">
        <f>K33-M33-S33</f>
        <v>15083702.882963941</v>
      </c>
      <c r="W33" s="163">
        <f>YIELD(I33,G33,E33,U33/K33*100,100,2,0)</f>
        <v>6.6608254872293382E-2</v>
      </c>
      <c r="X33" s="230"/>
      <c r="Y33" s="83"/>
      <c r="Z33" s="251">
        <v>3</v>
      </c>
      <c r="AA33" s="83">
        <f>-PMT(W33,(YEAR(G33)-YEAR(I33)),S33)</f>
        <v>159445.77488649805</v>
      </c>
      <c r="AB33" s="230"/>
      <c r="AC33" s="230">
        <f t="shared" si="4"/>
        <v>26</v>
      </c>
      <c r="AD33" s="85"/>
      <c r="AH33" s="85"/>
      <c r="AI33" s="85"/>
      <c r="AJ33" s="83"/>
      <c r="AK33" s="83"/>
    </row>
    <row r="34" spans="1:37">
      <c r="A34" s="230">
        <f t="shared" si="6"/>
        <v>27</v>
      </c>
      <c r="C34" s="230" t="s">
        <v>83</v>
      </c>
      <c r="D34" s="251">
        <v>2</v>
      </c>
      <c r="E34" s="261">
        <v>6.5500000000000003E-2</v>
      </c>
      <c r="F34" s="35"/>
      <c r="G34" s="262">
        <v>48488</v>
      </c>
      <c r="H34" s="35"/>
      <c r="I34" s="262">
        <v>39813</v>
      </c>
      <c r="J34" s="35"/>
      <c r="K34" s="83">
        <v>66700000</v>
      </c>
      <c r="L34" s="35"/>
      <c r="M34" s="83"/>
      <c r="N34" s="35"/>
      <c r="O34" s="35"/>
      <c r="P34" s="35"/>
      <c r="Q34" s="35"/>
      <c r="R34" s="35"/>
      <c r="S34" s="263">
        <v>3709174.4508350072</v>
      </c>
      <c r="T34" s="35"/>
      <c r="U34" s="231">
        <f>K34-M34-S34</f>
        <v>62990825.549164996</v>
      </c>
      <c r="V34" s="35"/>
      <c r="W34" s="163">
        <f>YIELD(I34,G34,E34,U34/K34*100,100,2,0)</f>
        <v>7.0338383648514316E-2</v>
      </c>
      <c r="Y34" s="264"/>
      <c r="Z34" s="251">
        <v>3</v>
      </c>
      <c r="AA34" s="264">
        <f>-PMT(W34,(YEAR(G34)-YEAR(I34)),S34)</f>
        <v>324360.47034696245</v>
      </c>
      <c r="AC34" s="230">
        <f t="shared" si="4"/>
        <v>27</v>
      </c>
    </row>
    <row r="35" spans="1:37" ht="12.95" customHeight="1">
      <c r="A35" s="230">
        <f t="shared" si="6"/>
        <v>28</v>
      </c>
      <c r="E35" s="230"/>
      <c r="G35" s="230"/>
      <c r="I35" s="230"/>
      <c r="K35" s="230"/>
      <c r="S35" s="230"/>
      <c r="U35" s="230"/>
      <c r="W35" s="163"/>
      <c r="Y35" s="231">
        <f>+SUM(Y28:Y34)</f>
        <v>2583700000</v>
      </c>
      <c r="AA35" s="260">
        <f>+SUM(AA28:AA34)</f>
        <v>127376646.91014272</v>
      </c>
      <c r="AC35" s="230">
        <f t="shared" si="4"/>
        <v>28</v>
      </c>
      <c r="AD35" s="86"/>
    </row>
    <row r="36" spans="1:37">
      <c r="A36" s="230">
        <f t="shared" si="6"/>
        <v>29</v>
      </c>
      <c r="D36" s="251">
        <v>3</v>
      </c>
      <c r="E36" s="231" t="s">
        <v>139</v>
      </c>
      <c r="F36" s="253"/>
      <c r="K36" s="231">
        <v>100000000</v>
      </c>
      <c r="W36" s="162">
        <f>+'Exhibit No.  KJC-2 2024'!P20</f>
        <v>6.5878581777777778E-2</v>
      </c>
      <c r="Y36" s="265">
        <f>+K36</f>
        <v>100000000</v>
      </c>
      <c r="AA36" s="265">
        <f>+W36*Y36</f>
        <v>6587858.1777777774</v>
      </c>
      <c r="AC36" s="230">
        <f t="shared" si="4"/>
        <v>29</v>
      </c>
    </row>
    <row r="37" spans="1:37" ht="12" thickBot="1">
      <c r="A37" s="230">
        <f t="shared" si="6"/>
        <v>30</v>
      </c>
      <c r="U37" s="266"/>
      <c r="W37" s="230"/>
      <c r="Y37" s="267">
        <f>SUM(Y35:Y36)</f>
        <v>2683700000</v>
      </c>
      <c r="AA37" s="267">
        <f>SUM(AA35:AA36)</f>
        <v>133964505.0879205</v>
      </c>
      <c r="AC37" s="230">
        <f t="shared" si="4"/>
        <v>30</v>
      </c>
    </row>
    <row r="38" spans="1:37" ht="12" thickTop="1">
      <c r="A38" s="230">
        <f t="shared" si="6"/>
        <v>31</v>
      </c>
      <c r="U38" s="268"/>
      <c r="AC38" s="230">
        <f t="shared" si="4"/>
        <v>31</v>
      </c>
    </row>
    <row r="39" spans="1:37">
      <c r="A39" s="230">
        <f t="shared" si="6"/>
        <v>32</v>
      </c>
      <c r="B39" s="251"/>
      <c r="F39" s="161" t="str">
        <f>"WASHINGTON'S TOTAL DEBT OUTSTANDING AND COST OF DEBT AT "&amp;TEXT(Y7,"mmmm d, yyyy")</f>
        <v>WASHINGTON'S TOTAL DEBT OUTSTANDING AND COST OF DEBT AT December 31, 2024</v>
      </c>
      <c r="R39" s="269"/>
      <c r="S39" s="160"/>
      <c r="T39" s="269"/>
      <c r="U39" s="265"/>
      <c r="V39" s="269"/>
      <c r="W39" s="228">
        <f>AA37/Y37</f>
        <v>4.9917839210016211E-2</v>
      </c>
      <c r="Y39" s="230"/>
      <c r="AA39" s="230"/>
      <c r="AC39" s="230">
        <f t="shared" si="4"/>
        <v>32</v>
      </c>
    </row>
    <row r="40" spans="1:37" ht="24.75" customHeight="1">
      <c r="A40" s="230">
        <f t="shared" si="6"/>
        <v>33</v>
      </c>
      <c r="B40" s="251"/>
      <c r="D40" s="246">
        <f>+F12</f>
        <v>0</v>
      </c>
      <c r="E40" s="231" t="s">
        <v>177</v>
      </c>
      <c r="N40" s="231"/>
      <c r="O40" s="230"/>
      <c r="P40" s="231"/>
      <c r="Q40" s="230"/>
      <c r="R40" s="231"/>
      <c r="S40" s="231" t="s">
        <v>211</v>
      </c>
      <c r="U40" s="268"/>
      <c r="AC40" s="230">
        <f t="shared" si="4"/>
        <v>33</v>
      </c>
    </row>
    <row r="41" spans="1:37">
      <c r="A41" s="230">
        <f t="shared" si="6"/>
        <v>34</v>
      </c>
      <c r="B41" s="251"/>
      <c r="D41" s="246">
        <f>+D30</f>
        <v>2</v>
      </c>
      <c r="E41" s="230" t="s">
        <v>178</v>
      </c>
      <c r="G41" s="230"/>
      <c r="N41" s="231"/>
      <c r="O41" s="230"/>
      <c r="P41" s="231"/>
      <c r="Q41" s="230"/>
      <c r="R41" s="231"/>
      <c r="U41" s="268"/>
      <c r="W41" s="158"/>
      <c r="AC41" s="230">
        <f t="shared" si="4"/>
        <v>34</v>
      </c>
    </row>
    <row r="42" spans="1:37">
      <c r="A42" s="230">
        <f t="shared" si="6"/>
        <v>35</v>
      </c>
      <c r="B42" s="251"/>
      <c r="D42" s="246">
        <f>+Z32</f>
        <v>3</v>
      </c>
      <c r="E42" s="231" t="s">
        <v>179</v>
      </c>
      <c r="I42" s="230"/>
      <c r="N42" s="231"/>
      <c r="O42" s="230"/>
      <c r="P42" s="231"/>
      <c r="Q42" s="230"/>
      <c r="R42" s="231"/>
      <c r="AC42" s="230">
        <f t="shared" si="4"/>
        <v>35</v>
      </c>
    </row>
    <row r="43" spans="1:37">
      <c r="A43" s="230">
        <f t="shared" ref="A43:A46" si="7">+A42+1</f>
        <v>36</v>
      </c>
      <c r="B43" s="251"/>
      <c r="N43" s="231"/>
      <c r="O43" s="230"/>
      <c r="P43" s="231"/>
      <c r="Q43" s="230"/>
      <c r="R43" s="231"/>
      <c r="AC43" s="230">
        <f t="shared" ref="AC43:AC44" si="8">+A43</f>
        <v>36</v>
      </c>
    </row>
    <row r="44" spans="1:37">
      <c r="A44" s="230">
        <f t="shared" si="7"/>
        <v>37</v>
      </c>
      <c r="B44" s="251"/>
      <c r="N44" s="231"/>
      <c r="O44" s="230"/>
      <c r="P44" s="231"/>
      <c r="Q44" s="230"/>
      <c r="R44" s="231"/>
      <c r="AC44" s="230">
        <f t="shared" si="8"/>
        <v>37</v>
      </c>
    </row>
    <row r="45" spans="1:37">
      <c r="A45" s="230">
        <f t="shared" si="7"/>
        <v>38</v>
      </c>
      <c r="B45" s="251"/>
      <c r="N45" s="231"/>
      <c r="O45" s="230"/>
      <c r="P45" s="231"/>
      <c r="Q45" s="230"/>
      <c r="R45" s="231"/>
    </row>
    <row r="46" spans="1:37">
      <c r="A46" s="230">
        <f t="shared" si="7"/>
        <v>39</v>
      </c>
      <c r="B46" s="251"/>
      <c r="N46" s="231"/>
      <c r="O46" s="230"/>
      <c r="P46" s="231"/>
      <c r="Q46" s="230"/>
      <c r="R46" s="231"/>
    </row>
    <row r="47" spans="1:37">
      <c r="B47" s="251"/>
      <c r="N47" s="231"/>
      <c r="O47" s="230"/>
      <c r="P47" s="231"/>
      <c r="Q47" s="230"/>
      <c r="R47" s="231"/>
    </row>
    <row r="48" spans="1:37">
      <c r="G48" s="231"/>
      <c r="N48" s="231"/>
      <c r="O48" s="230"/>
      <c r="P48" s="231"/>
      <c r="Q48" s="230"/>
      <c r="R48" s="231"/>
    </row>
    <row r="49" spans="14:18">
      <c r="N49" s="231"/>
      <c r="O49" s="230"/>
      <c r="P49" s="231"/>
      <c r="Q49" s="230"/>
      <c r="R49" s="231"/>
    </row>
    <row r="50" spans="14:18">
      <c r="N50" s="231"/>
      <c r="O50" s="230"/>
      <c r="P50" s="231"/>
      <c r="Q50" s="230"/>
      <c r="R50" s="231"/>
    </row>
    <row r="51" spans="14:18">
      <c r="N51" s="231"/>
      <c r="O51" s="230"/>
      <c r="P51" s="231"/>
      <c r="Q51" s="230"/>
      <c r="R51" s="231"/>
    </row>
    <row r="52" spans="14:18">
      <c r="N52" s="231"/>
      <c r="O52" s="230"/>
      <c r="P52" s="231"/>
      <c r="Q52" s="230"/>
      <c r="R52" s="231"/>
    </row>
    <row r="53" spans="14:18">
      <c r="N53" s="231"/>
      <c r="O53" s="230"/>
      <c r="P53" s="231"/>
      <c r="Q53" s="230"/>
      <c r="R53" s="231"/>
    </row>
    <row r="54" spans="14:18">
      <c r="N54" s="231"/>
      <c r="O54" s="230"/>
      <c r="P54" s="231"/>
      <c r="Q54" s="230"/>
      <c r="R54" s="231"/>
    </row>
    <row r="55" spans="14:18">
      <c r="N55" s="231"/>
      <c r="O55" s="230"/>
      <c r="P55" s="231"/>
      <c r="Q55" s="230"/>
      <c r="R55" s="231"/>
    </row>
    <row r="56" spans="14:18">
      <c r="N56" s="231"/>
      <c r="O56" s="230"/>
      <c r="P56" s="231"/>
      <c r="Q56" s="230"/>
      <c r="R56" s="231"/>
    </row>
    <row r="57" spans="14:18">
      <c r="N57" s="231"/>
      <c r="O57" s="230"/>
      <c r="P57" s="231"/>
      <c r="Q57" s="230"/>
      <c r="R57" s="231"/>
    </row>
    <row r="58" spans="14:18" ht="5.25" customHeight="1">
      <c r="N58" s="231"/>
      <c r="O58" s="230"/>
      <c r="P58" s="231"/>
      <c r="Q58" s="230"/>
      <c r="R58" s="231"/>
    </row>
    <row r="59" spans="14:18">
      <c r="N59" s="231"/>
      <c r="O59" s="230"/>
      <c r="P59" s="231"/>
      <c r="Q59" s="230"/>
      <c r="R59" s="231"/>
    </row>
  </sheetData>
  <mergeCells count="3">
    <mergeCell ref="A1:AC1"/>
    <mergeCell ref="A2:AC2"/>
    <mergeCell ref="A3:AC3"/>
  </mergeCells>
  <conditionalFormatting sqref="G9:G19 I9:I19">
    <cfRule type="expression" dxfId="9" priority="3" stopIfTrue="1">
      <formula>(G9&lt;#REF!)</formula>
    </cfRule>
  </conditionalFormatting>
  <conditionalFormatting sqref="G20 I20">
    <cfRule type="expression" dxfId="8" priority="2" stopIfTrue="1">
      <formula>(G20&lt;#REF!)</formula>
    </cfRule>
  </conditionalFormatting>
  <conditionalFormatting sqref="G21:G29 I21:I29">
    <cfRule type="expression" dxfId="7" priority="1" stopIfTrue="1">
      <formula>(G21&lt;#REF!)</formula>
    </cfRule>
  </conditionalFormatting>
  <pageMargins left="0.48" right="0.48" top="0.75" bottom="0.5" header="0.5" footer="0.5"/>
  <pageSetup scale="72" orientation="landscape" r:id="rId1"/>
  <headerFooter scaleWithDoc="0" alignWithMargins="0">
    <oddHeader>&amp;RExh. KJC-2</oddHeader>
    <oddFooter>&amp;R&amp;12Page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8E9-0A38-44D0-A5BE-80DC6CA9AD65}">
  <sheetPr>
    <pageSetUpPr fitToPage="1"/>
  </sheetPr>
  <dimension ref="A1:S47"/>
  <sheetViews>
    <sheetView zoomScaleNormal="100" workbookViewId="0">
      <selection activeCell="D43" sqref="D43"/>
    </sheetView>
    <sheetView workbookViewId="1">
      <selection sqref="A1:P1"/>
    </sheetView>
  </sheetViews>
  <sheetFormatPr defaultRowHeight="12.75"/>
  <cols>
    <col min="1" max="1" width="3.28515625" style="315" bestFit="1" customWidth="1"/>
    <col min="2" max="2" width="33.5703125" style="315" customWidth="1"/>
    <col min="3" max="14" width="11.5703125" style="315" bestFit="1" customWidth="1"/>
    <col min="15" max="15" width="12" style="315" customWidth="1"/>
    <col min="16" max="16" width="11.5703125" style="315" bestFit="1" customWidth="1"/>
    <col min="17" max="17" width="1.5703125" style="315" customWidth="1"/>
    <col min="18" max="18" width="14.42578125" style="315" bestFit="1" customWidth="1"/>
    <col min="19" max="19" width="14" style="315" bestFit="1" customWidth="1"/>
    <col min="20" max="256" width="9.140625" style="315"/>
    <col min="257" max="257" width="4.7109375" style="315" customWidth="1"/>
    <col min="258" max="258" width="24.28515625" style="315" customWidth="1"/>
    <col min="259" max="259" width="8" style="315" customWidth="1"/>
    <col min="260" max="260" width="12.7109375" style="315" customWidth="1"/>
    <col min="261" max="261" width="10.140625" style="315" bestFit="1" customWidth="1"/>
    <col min="262" max="263" width="8.140625" style="315" customWidth="1"/>
    <col min="264" max="266" width="8.28515625" style="315" customWidth="1"/>
    <col min="267" max="268" width="8.42578125" style="315" customWidth="1"/>
    <col min="269" max="269" width="8.28515625" style="315" customWidth="1"/>
    <col min="270" max="270" width="8.140625" style="315" customWidth="1"/>
    <col min="271" max="271" width="8.28515625" style="315" customWidth="1"/>
    <col min="272" max="272" width="11.28515625" style="315" customWidth="1"/>
    <col min="273" max="273" width="9.85546875" style="315" bestFit="1" customWidth="1"/>
    <col min="274" max="512" width="9.140625" style="315"/>
    <col min="513" max="513" width="4.7109375" style="315" customWidth="1"/>
    <col min="514" max="514" width="24.28515625" style="315" customWidth="1"/>
    <col min="515" max="515" width="8" style="315" customWidth="1"/>
    <col min="516" max="516" width="12.7109375" style="315" customWidth="1"/>
    <col min="517" max="517" width="10.140625" style="315" bestFit="1" customWidth="1"/>
    <col min="518" max="519" width="8.140625" style="315" customWidth="1"/>
    <col min="520" max="522" width="8.28515625" style="315" customWidth="1"/>
    <col min="523" max="524" width="8.42578125" style="315" customWidth="1"/>
    <col min="525" max="525" width="8.28515625" style="315" customWidth="1"/>
    <col min="526" max="526" width="8.140625" style="315" customWidth="1"/>
    <col min="527" max="527" width="8.28515625" style="315" customWidth="1"/>
    <col min="528" max="528" width="11.28515625" style="315" customWidth="1"/>
    <col min="529" max="529" width="9.85546875" style="315" bestFit="1" customWidth="1"/>
    <col min="530" max="768" width="9.140625" style="315"/>
    <col min="769" max="769" width="4.7109375" style="315" customWidth="1"/>
    <col min="770" max="770" width="24.28515625" style="315" customWidth="1"/>
    <col min="771" max="771" width="8" style="315" customWidth="1"/>
    <col min="772" max="772" width="12.7109375" style="315" customWidth="1"/>
    <col min="773" max="773" width="10.140625" style="315" bestFit="1" customWidth="1"/>
    <col min="774" max="775" width="8.140625" style="315" customWidth="1"/>
    <col min="776" max="778" width="8.28515625" style="315" customWidth="1"/>
    <col min="779" max="780" width="8.42578125" style="315" customWidth="1"/>
    <col min="781" max="781" width="8.28515625" style="315" customWidth="1"/>
    <col min="782" max="782" width="8.140625" style="315" customWidth="1"/>
    <col min="783" max="783" width="8.28515625" style="315" customWidth="1"/>
    <col min="784" max="784" width="11.28515625" style="315" customWidth="1"/>
    <col min="785" max="785" width="9.85546875" style="315" bestFit="1" customWidth="1"/>
    <col min="786" max="1024" width="9.140625" style="315"/>
    <col min="1025" max="1025" width="4.7109375" style="315" customWidth="1"/>
    <col min="1026" max="1026" width="24.28515625" style="315" customWidth="1"/>
    <col min="1027" max="1027" width="8" style="315" customWidth="1"/>
    <col min="1028" max="1028" width="12.7109375" style="315" customWidth="1"/>
    <col min="1029" max="1029" width="10.140625" style="315" bestFit="1" customWidth="1"/>
    <col min="1030" max="1031" width="8.140625" style="315" customWidth="1"/>
    <col min="1032" max="1034" width="8.28515625" style="315" customWidth="1"/>
    <col min="1035" max="1036" width="8.42578125" style="315" customWidth="1"/>
    <col min="1037" max="1037" width="8.28515625" style="315" customWidth="1"/>
    <col min="1038" max="1038" width="8.140625" style="315" customWidth="1"/>
    <col min="1039" max="1039" width="8.28515625" style="315" customWidth="1"/>
    <col min="1040" max="1040" width="11.28515625" style="315" customWidth="1"/>
    <col min="1041" max="1041" width="9.85546875" style="315" bestFit="1" customWidth="1"/>
    <col min="1042" max="1280" width="9.140625" style="315"/>
    <col min="1281" max="1281" width="4.7109375" style="315" customWidth="1"/>
    <col min="1282" max="1282" width="24.28515625" style="315" customWidth="1"/>
    <col min="1283" max="1283" width="8" style="315" customWidth="1"/>
    <col min="1284" max="1284" width="12.7109375" style="315" customWidth="1"/>
    <col min="1285" max="1285" width="10.140625" style="315" bestFit="1" customWidth="1"/>
    <col min="1286" max="1287" width="8.140625" style="315" customWidth="1"/>
    <col min="1288" max="1290" width="8.28515625" style="315" customWidth="1"/>
    <col min="1291" max="1292" width="8.42578125" style="315" customWidth="1"/>
    <col min="1293" max="1293" width="8.28515625" style="315" customWidth="1"/>
    <col min="1294" max="1294" width="8.140625" style="315" customWidth="1"/>
    <col min="1295" max="1295" width="8.28515625" style="315" customWidth="1"/>
    <col min="1296" max="1296" width="11.28515625" style="315" customWidth="1"/>
    <col min="1297" max="1297" width="9.85546875" style="315" bestFit="1" customWidth="1"/>
    <col min="1298" max="1536" width="9.140625" style="315"/>
    <col min="1537" max="1537" width="4.7109375" style="315" customWidth="1"/>
    <col min="1538" max="1538" width="24.28515625" style="315" customWidth="1"/>
    <col min="1539" max="1539" width="8" style="315" customWidth="1"/>
    <col min="1540" max="1540" width="12.7109375" style="315" customWidth="1"/>
    <col min="1541" max="1541" width="10.140625" style="315" bestFit="1" customWidth="1"/>
    <col min="1542" max="1543" width="8.140625" style="315" customWidth="1"/>
    <col min="1544" max="1546" width="8.28515625" style="315" customWidth="1"/>
    <col min="1547" max="1548" width="8.42578125" style="315" customWidth="1"/>
    <col min="1549" max="1549" width="8.28515625" style="315" customWidth="1"/>
    <col min="1550" max="1550" width="8.140625" style="315" customWidth="1"/>
    <col min="1551" max="1551" width="8.28515625" style="315" customWidth="1"/>
    <col min="1552" max="1552" width="11.28515625" style="315" customWidth="1"/>
    <col min="1553" max="1553" width="9.85546875" style="315" bestFit="1" customWidth="1"/>
    <col min="1554" max="1792" width="9.140625" style="315"/>
    <col min="1793" max="1793" width="4.7109375" style="315" customWidth="1"/>
    <col min="1794" max="1794" width="24.28515625" style="315" customWidth="1"/>
    <col min="1795" max="1795" width="8" style="315" customWidth="1"/>
    <col min="1796" max="1796" width="12.7109375" style="315" customWidth="1"/>
    <col min="1797" max="1797" width="10.140625" style="315" bestFit="1" customWidth="1"/>
    <col min="1798" max="1799" width="8.140625" style="315" customWidth="1"/>
    <col min="1800" max="1802" width="8.28515625" style="315" customWidth="1"/>
    <col min="1803" max="1804" width="8.42578125" style="315" customWidth="1"/>
    <col min="1805" max="1805" width="8.28515625" style="315" customWidth="1"/>
    <col min="1806" max="1806" width="8.140625" style="315" customWidth="1"/>
    <col min="1807" max="1807" width="8.28515625" style="315" customWidth="1"/>
    <col min="1808" max="1808" width="11.28515625" style="315" customWidth="1"/>
    <col min="1809" max="1809" width="9.85546875" style="315" bestFit="1" customWidth="1"/>
    <col min="1810" max="2048" width="9.140625" style="315"/>
    <col min="2049" max="2049" width="4.7109375" style="315" customWidth="1"/>
    <col min="2050" max="2050" width="24.28515625" style="315" customWidth="1"/>
    <col min="2051" max="2051" width="8" style="315" customWidth="1"/>
    <col min="2052" max="2052" width="12.7109375" style="315" customWidth="1"/>
    <col min="2053" max="2053" width="10.140625" style="315" bestFit="1" customWidth="1"/>
    <col min="2054" max="2055" width="8.140625" style="315" customWidth="1"/>
    <col min="2056" max="2058" width="8.28515625" style="315" customWidth="1"/>
    <col min="2059" max="2060" width="8.42578125" style="315" customWidth="1"/>
    <col min="2061" max="2061" width="8.28515625" style="315" customWidth="1"/>
    <col min="2062" max="2062" width="8.140625" style="315" customWidth="1"/>
    <col min="2063" max="2063" width="8.28515625" style="315" customWidth="1"/>
    <col min="2064" max="2064" width="11.28515625" style="315" customWidth="1"/>
    <col min="2065" max="2065" width="9.85546875" style="315" bestFit="1" customWidth="1"/>
    <col min="2066" max="2304" width="9.140625" style="315"/>
    <col min="2305" max="2305" width="4.7109375" style="315" customWidth="1"/>
    <col min="2306" max="2306" width="24.28515625" style="315" customWidth="1"/>
    <col min="2307" max="2307" width="8" style="315" customWidth="1"/>
    <col min="2308" max="2308" width="12.7109375" style="315" customWidth="1"/>
    <col min="2309" max="2309" width="10.140625" style="315" bestFit="1" customWidth="1"/>
    <col min="2310" max="2311" width="8.140625" style="315" customWidth="1"/>
    <col min="2312" max="2314" width="8.28515625" style="315" customWidth="1"/>
    <col min="2315" max="2316" width="8.42578125" style="315" customWidth="1"/>
    <col min="2317" max="2317" width="8.28515625" style="315" customWidth="1"/>
    <col min="2318" max="2318" width="8.140625" style="315" customWidth="1"/>
    <col min="2319" max="2319" width="8.28515625" style="315" customWidth="1"/>
    <col min="2320" max="2320" width="11.28515625" style="315" customWidth="1"/>
    <col min="2321" max="2321" width="9.85546875" style="315" bestFit="1" customWidth="1"/>
    <col min="2322" max="2560" width="9.140625" style="315"/>
    <col min="2561" max="2561" width="4.7109375" style="315" customWidth="1"/>
    <col min="2562" max="2562" width="24.28515625" style="315" customWidth="1"/>
    <col min="2563" max="2563" width="8" style="315" customWidth="1"/>
    <col min="2564" max="2564" width="12.7109375" style="315" customWidth="1"/>
    <col min="2565" max="2565" width="10.140625" style="315" bestFit="1" customWidth="1"/>
    <col min="2566" max="2567" width="8.140625" style="315" customWidth="1"/>
    <col min="2568" max="2570" width="8.28515625" style="315" customWidth="1"/>
    <col min="2571" max="2572" width="8.42578125" style="315" customWidth="1"/>
    <col min="2573" max="2573" width="8.28515625" style="315" customWidth="1"/>
    <col min="2574" max="2574" width="8.140625" style="315" customWidth="1"/>
    <col min="2575" max="2575" width="8.28515625" style="315" customWidth="1"/>
    <col min="2576" max="2576" width="11.28515625" style="315" customWidth="1"/>
    <col min="2577" max="2577" width="9.85546875" style="315" bestFit="1" customWidth="1"/>
    <col min="2578" max="2816" width="9.140625" style="315"/>
    <col min="2817" max="2817" width="4.7109375" style="315" customWidth="1"/>
    <col min="2818" max="2818" width="24.28515625" style="315" customWidth="1"/>
    <col min="2819" max="2819" width="8" style="315" customWidth="1"/>
    <col min="2820" max="2820" width="12.7109375" style="315" customWidth="1"/>
    <col min="2821" max="2821" width="10.140625" style="315" bestFit="1" customWidth="1"/>
    <col min="2822" max="2823" width="8.140625" style="315" customWidth="1"/>
    <col min="2824" max="2826" width="8.28515625" style="315" customWidth="1"/>
    <col min="2827" max="2828" width="8.42578125" style="315" customWidth="1"/>
    <col min="2829" max="2829" width="8.28515625" style="315" customWidth="1"/>
    <col min="2830" max="2830" width="8.140625" style="315" customWidth="1"/>
    <col min="2831" max="2831" width="8.28515625" style="315" customWidth="1"/>
    <col min="2832" max="2832" width="11.28515625" style="315" customWidth="1"/>
    <col min="2833" max="2833" width="9.85546875" style="315" bestFit="1" customWidth="1"/>
    <col min="2834" max="3072" width="9.140625" style="315"/>
    <col min="3073" max="3073" width="4.7109375" style="315" customWidth="1"/>
    <col min="3074" max="3074" width="24.28515625" style="315" customWidth="1"/>
    <col min="3075" max="3075" width="8" style="315" customWidth="1"/>
    <col min="3076" max="3076" width="12.7109375" style="315" customWidth="1"/>
    <col min="3077" max="3077" width="10.140625" style="315" bestFit="1" customWidth="1"/>
    <col min="3078" max="3079" width="8.140625" style="315" customWidth="1"/>
    <col min="3080" max="3082" width="8.28515625" style="315" customWidth="1"/>
    <col min="3083" max="3084" width="8.42578125" style="315" customWidth="1"/>
    <col min="3085" max="3085" width="8.28515625" style="315" customWidth="1"/>
    <col min="3086" max="3086" width="8.140625" style="315" customWidth="1"/>
    <col min="3087" max="3087" width="8.28515625" style="315" customWidth="1"/>
    <col min="3088" max="3088" width="11.28515625" style="315" customWidth="1"/>
    <col min="3089" max="3089" width="9.85546875" style="315" bestFit="1" customWidth="1"/>
    <col min="3090" max="3328" width="9.140625" style="315"/>
    <col min="3329" max="3329" width="4.7109375" style="315" customWidth="1"/>
    <col min="3330" max="3330" width="24.28515625" style="315" customWidth="1"/>
    <col min="3331" max="3331" width="8" style="315" customWidth="1"/>
    <col min="3332" max="3332" width="12.7109375" style="315" customWidth="1"/>
    <col min="3333" max="3333" width="10.140625" style="315" bestFit="1" customWidth="1"/>
    <col min="3334" max="3335" width="8.140625" style="315" customWidth="1"/>
    <col min="3336" max="3338" width="8.28515625" style="315" customWidth="1"/>
    <col min="3339" max="3340" width="8.42578125" style="315" customWidth="1"/>
    <col min="3341" max="3341" width="8.28515625" style="315" customWidth="1"/>
    <col min="3342" max="3342" width="8.140625" style="315" customWidth="1"/>
    <col min="3343" max="3343" width="8.28515625" style="315" customWidth="1"/>
    <col min="3344" max="3344" width="11.28515625" style="315" customWidth="1"/>
    <col min="3345" max="3345" width="9.85546875" style="315" bestFit="1" customWidth="1"/>
    <col min="3346" max="3584" width="9.140625" style="315"/>
    <col min="3585" max="3585" width="4.7109375" style="315" customWidth="1"/>
    <col min="3586" max="3586" width="24.28515625" style="315" customWidth="1"/>
    <col min="3587" max="3587" width="8" style="315" customWidth="1"/>
    <col min="3588" max="3588" width="12.7109375" style="315" customWidth="1"/>
    <col min="3589" max="3589" width="10.140625" style="315" bestFit="1" customWidth="1"/>
    <col min="3590" max="3591" width="8.140625" style="315" customWidth="1"/>
    <col min="3592" max="3594" width="8.28515625" style="315" customWidth="1"/>
    <col min="3595" max="3596" width="8.42578125" style="315" customWidth="1"/>
    <col min="3597" max="3597" width="8.28515625" style="315" customWidth="1"/>
    <col min="3598" max="3598" width="8.140625" style="315" customWidth="1"/>
    <col min="3599" max="3599" width="8.28515625" style="315" customWidth="1"/>
    <col min="3600" max="3600" width="11.28515625" style="315" customWidth="1"/>
    <col min="3601" max="3601" width="9.85546875" style="315" bestFit="1" customWidth="1"/>
    <col min="3602" max="3840" width="9.140625" style="315"/>
    <col min="3841" max="3841" width="4.7109375" style="315" customWidth="1"/>
    <col min="3842" max="3842" width="24.28515625" style="315" customWidth="1"/>
    <col min="3843" max="3843" width="8" style="315" customWidth="1"/>
    <col min="3844" max="3844" width="12.7109375" style="315" customWidth="1"/>
    <col min="3845" max="3845" width="10.140625" style="315" bestFit="1" customWidth="1"/>
    <col min="3846" max="3847" width="8.140625" style="315" customWidth="1"/>
    <col min="3848" max="3850" width="8.28515625" style="315" customWidth="1"/>
    <col min="3851" max="3852" width="8.42578125" style="315" customWidth="1"/>
    <col min="3853" max="3853" width="8.28515625" style="315" customWidth="1"/>
    <col min="3854" max="3854" width="8.140625" style="315" customWidth="1"/>
    <col min="3855" max="3855" width="8.28515625" style="315" customWidth="1"/>
    <col min="3856" max="3856" width="11.28515625" style="315" customWidth="1"/>
    <col min="3857" max="3857" width="9.85546875" style="315" bestFit="1" customWidth="1"/>
    <col min="3858" max="4096" width="9.140625" style="315"/>
    <col min="4097" max="4097" width="4.7109375" style="315" customWidth="1"/>
    <col min="4098" max="4098" width="24.28515625" style="315" customWidth="1"/>
    <col min="4099" max="4099" width="8" style="315" customWidth="1"/>
    <col min="4100" max="4100" width="12.7109375" style="315" customWidth="1"/>
    <col min="4101" max="4101" width="10.140625" style="315" bestFit="1" customWidth="1"/>
    <col min="4102" max="4103" width="8.140625" style="315" customWidth="1"/>
    <col min="4104" max="4106" width="8.28515625" style="315" customWidth="1"/>
    <col min="4107" max="4108" width="8.42578125" style="315" customWidth="1"/>
    <col min="4109" max="4109" width="8.28515625" style="315" customWidth="1"/>
    <col min="4110" max="4110" width="8.140625" style="315" customWidth="1"/>
    <col min="4111" max="4111" width="8.28515625" style="315" customWidth="1"/>
    <col min="4112" max="4112" width="11.28515625" style="315" customWidth="1"/>
    <col min="4113" max="4113" width="9.85546875" style="315" bestFit="1" customWidth="1"/>
    <col min="4114" max="4352" width="9.140625" style="315"/>
    <col min="4353" max="4353" width="4.7109375" style="315" customWidth="1"/>
    <col min="4354" max="4354" width="24.28515625" style="315" customWidth="1"/>
    <col min="4355" max="4355" width="8" style="315" customWidth="1"/>
    <col min="4356" max="4356" width="12.7109375" style="315" customWidth="1"/>
    <col min="4357" max="4357" width="10.140625" style="315" bestFit="1" customWidth="1"/>
    <col min="4358" max="4359" width="8.140625" style="315" customWidth="1"/>
    <col min="4360" max="4362" width="8.28515625" style="315" customWidth="1"/>
    <col min="4363" max="4364" width="8.42578125" style="315" customWidth="1"/>
    <col min="4365" max="4365" width="8.28515625" style="315" customWidth="1"/>
    <col min="4366" max="4366" width="8.140625" style="315" customWidth="1"/>
    <col min="4367" max="4367" width="8.28515625" style="315" customWidth="1"/>
    <col min="4368" max="4368" width="11.28515625" style="315" customWidth="1"/>
    <col min="4369" max="4369" width="9.85546875" style="315" bestFit="1" customWidth="1"/>
    <col min="4370" max="4608" width="9.140625" style="315"/>
    <col min="4609" max="4609" width="4.7109375" style="315" customWidth="1"/>
    <col min="4610" max="4610" width="24.28515625" style="315" customWidth="1"/>
    <col min="4611" max="4611" width="8" style="315" customWidth="1"/>
    <col min="4612" max="4612" width="12.7109375" style="315" customWidth="1"/>
    <col min="4613" max="4613" width="10.140625" style="315" bestFit="1" customWidth="1"/>
    <col min="4614" max="4615" width="8.140625" style="315" customWidth="1"/>
    <col min="4616" max="4618" width="8.28515625" style="315" customWidth="1"/>
    <col min="4619" max="4620" width="8.42578125" style="315" customWidth="1"/>
    <col min="4621" max="4621" width="8.28515625" style="315" customWidth="1"/>
    <col min="4622" max="4622" width="8.140625" style="315" customWidth="1"/>
    <col min="4623" max="4623" width="8.28515625" style="315" customWidth="1"/>
    <col min="4624" max="4624" width="11.28515625" style="315" customWidth="1"/>
    <col min="4625" max="4625" width="9.85546875" style="315" bestFit="1" customWidth="1"/>
    <col min="4626" max="4864" width="9.140625" style="315"/>
    <col min="4865" max="4865" width="4.7109375" style="315" customWidth="1"/>
    <col min="4866" max="4866" width="24.28515625" style="315" customWidth="1"/>
    <col min="4867" max="4867" width="8" style="315" customWidth="1"/>
    <col min="4868" max="4868" width="12.7109375" style="315" customWidth="1"/>
    <col min="4869" max="4869" width="10.140625" style="315" bestFit="1" customWidth="1"/>
    <col min="4870" max="4871" width="8.140625" style="315" customWidth="1"/>
    <col min="4872" max="4874" width="8.28515625" style="315" customWidth="1"/>
    <col min="4875" max="4876" width="8.42578125" style="315" customWidth="1"/>
    <col min="4877" max="4877" width="8.28515625" style="315" customWidth="1"/>
    <col min="4878" max="4878" width="8.140625" style="315" customWidth="1"/>
    <col min="4879" max="4879" width="8.28515625" style="315" customWidth="1"/>
    <col min="4880" max="4880" width="11.28515625" style="315" customWidth="1"/>
    <col min="4881" max="4881" width="9.85546875" style="315" bestFit="1" customWidth="1"/>
    <col min="4882" max="5120" width="9.140625" style="315"/>
    <col min="5121" max="5121" width="4.7109375" style="315" customWidth="1"/>
    <col min="5122" max="5122" width="24.28515625" style="315" customWidth="1"/>
    <col min="5123" max="5123" width="8" style="315" customWidth="1"/>
    <col min="5124" max="5124" width="12.7109375" style="315" customWidth="1"/>
    <col min="5125" max="5125" width="10.140625" style="315" bestFit="1" customWidth="1"/>
    <col min="5126" max="5127" width="8.140625" style="315" customWidth="1"/>
    <col min="5128" max="5130" width="8.28515625" style="315" customWidth="1"/>
    <col min="5131" max="5132" width="8.42578125" style="315" customWidth="1"/>
    <col min="5133" max="5133" width="8.28515625" style="315" customWidth="1"/>
    <col min="5134" max="5134" width="8.140625" style="315" customWidth="1"/>
    <col min="5135" max="5135" width="8.28515625" style="315" customWidth="1"/>
    <col min="5136" max="5136" width="11.28515625" style="315" customWidth="1"/>
    <col min="5137" max="5137" width="9.85546875" style="315" bestFit="1" customWidth="1"/>
    <col min="5138" max="5376" width="9.140625" style="315"/>
    <col min="5377" max="5377" width="4.7109375" style="315" customWidth="1"/>
    <col min="5378" max="5378" width="24.28515625" style="315" customWidth="1"/>
    <col min="5379" max="5379" width="8" style="315" customWidth="1"/>
    <col min="5380" max="5380" width="12.7109375" style="315" customWidth="1"/>
    <col min="5381" max="5381" width="10.140625" style="315" bestFit="1" customWidth="1"/>
    <col min="5382" max="5383" width="8.140625" style="315" customWidth="1"/>
    <col min="5384" max="5386" width="8.28515625" style="315" customWidth="1"/>
    <col min="5387" max="5388" width="8.42578125" style="315" customWidth="1"/>
    <col min="5389" max="5389" width="8.28515625" style="315" customWidth="1"/>
    <col min="5390" max="5390" width="8.140625" style="315" customWidth="1"/>
    <col min="5391" max="5391" width="8.28515625" style="315" customWidth="1"/>
    <col min="5392" max="5392" width="11.28515625" style="315" customWidth="1"/>
    <col min="5393" max="5393" width="9.85546875" style="315" bestFit="1" customWidth="1"/>
    <col min="5394" max="5632" width="9.140625" style="315"/>
    <col min="5633" max="5633" width="4.7109375" style="315" customWidth="1"/>
    <col min="5634" max="5634" width="24.28515625" style="315" customWidth="1"/>
    <col min="5635" max="5635" width="8" style="315" customWidth="1"/>
    <col min="5636" max="5636" width="12.7109375" style="315" customWidth="1"/>
    <col min="5637" max="5637" width="10.140625" style="315" bestFit="1" customWidth="1"/>
    <col min="5638" max="5639" width="8.140625" style="315" customWidth="1"/>
    <col min="5640" max="5642" width="8.28515625" style="315" customWidth="1"/>
    <col min="5643" max="5644" width="8.42578125" style="315" customWidth="1"/>
    <col min="5645" max="5645" width="8.28515625" style="315" customWidth="1"/>
    <col min="5646" max="5646" width="8.140625" style="315" customWidth="1"/>
    <col min="5647" max="5647" width="8.28515625" style="315" customWidth="1"/>
    <col min="5648" max="5648" width="11.28515625" style="315" customWidth="1"/>
    <col min="5649" max="5649" width="9.85546875" style="315" bestFit="1" customWidth="1"/>
    <col min="5650" max="5888" width="9.140625" style="315"/>
    <col min="5889" max="5889" width="4.7109375" style="315" customWidth="1"/>
    <col min="5890" max="5890" width="24.28515625" style="315" customWidth="1"/>
    <col min="5891" max="5891" width="8" style="315" customWidth="1"/>
    <col min="5892" max="5892" width="12.7109375" style="315" customWidth="1"/>
    <col min="5893" max="5893" width="10.140625" style="315" bestFit="1" customWidth="1"/>
    <col min="5894" max="5895" width="8.140625" style="315" customWidth="1"/>
    <col min="5896" max="5898" width="8.28515625" style="315" customWidth="1"/>
    <col min="5899" max="5900" width="8.42578125" style="315" customWidth="1"/>
    <col min="5901" max="5901" width="8.28515625" style="315" customWidth="1"/>
    <col min="5902" max="5902" width="8.140625" style="315" customWidth="1"/>
    <col min="5903" max="5903" width="8.28515625" style="315" customWidth="1"/>
    <col min="5904" max="5904" width="11.28515625" style="315" customWidth="1"/>
    <col min="5905" max="5905" width="9.85546875" style="315" bestFit="1" customWidth="1"/>
    <col min="5906" max="6144" width="9.140625" style="315"/>
    <col min="6145" max="6145" width="4.7109375" style="315" customWidth="1"/>
    <col min="6146" max="6146" width="24.28515625" style="315" customWidth="1"/>
    <col min="6147" max="6147" width="8" style="315" customWidth="1"/>
    <col min="6148" max="6148" width="12.7109375" style="315" customWidth="1"/>
    <col min="6149" max="6149" width="10.140625" style="315" bestFit="1" customWidth="1"/>
    <col min="6150" max="6151" width="8.140625" style="315" customWidth="1"/>
    <col min="6152" max="6154" width="8.28515625" style="315" customWidth="1"/>
    <col min="6155" max="6156" width="8.42578125" style="315" customWidth="1"/>
    <col min="6157" max="6157" width="8.28515625" style="315" customWidth="1"/>
    <col min="6158" max="6158" width="8.140625" style="315" customWidth="1"/>
    <col min="6159" max="6159" width="8.28515625" style="315" customWidth="1"/>
    <col min="6160" max="6160" width="11.28515625" style="315" customWidth="1"/>
    <col min="6161" max="6161" width="9.85546875" style="315" bestFit="1" customWidth="1"/>
    <col min="6162" max="6400" width="9.140625" style="315"/>
    <col min="6401" max="6401" width="4.7109375" style="315" customWidth="1"/>
    <col min="6402" max="6402" width="24.28515625" style="315" customWidth="1"/>
    <col min="6403" max="6403" width="8" style="315" customWidth="1"/>
    <col min="6404" max="6404" width="12.7109375" style="315" customWidth="1"/>
    <col min="6405" max="6405" width="10.140625" style="315" bestFit="1" customWidth="1"/>
    <col min="6406" max="6407" width="8.140625" style="315" customWidth="1"/>
    <col min="6408" max="6410" width="8.28515625" style="315" customWidth="1"/>
    <col min="6411" max="6412" width="8.42578125" style="315" customWidth="1"/>
    <col min="6413" max="6413" width="8.28515625" style="315" customWidth="1"/>
    <col min="6414" max="6414" width="8.140625" style="315" customWidth="1"/>
    <col min="6415" max="6415" width="8.28515625" style="315" customWidth="1"/>
    <col min="6416" max="6416" width="11.28515625" style="315" customWidth="1"/>
    <col min="6417" max="6417" width="9.85546875" style="315" bestFit="1" customWidth="1"/>
    <col min="6418" max="6656" width="9.140625" style="315"/>
    <col min="6657" max="6657" width="4.7109375" style="315" customWidth="1"/>
    <col min="6658" max="6658" width="24.28515625" style="315" customWidth="1"/>
    <col min="6659" max="6659" width="8" style="315" customWidth="1"/>
    <col min="6660" max="6660" width="12.7109375" style="315" customWidth="1"/>
    <col min="6661" max="6661" width="10.140625" style="315" bestFit="1" customWidth="1"/>
    <col min="6662" max="6663" width="8.140625" style="315" customWidth="1"/>
    <col min="6664" max="6666" width="8.28515625" style="315" customWidth="1"/>
    <col min="6667" max="6668" width="8.42578125" style="315" customWidth="1"/>
    <col min="6669" max="6669" width="8.28515625" style="315" customWidth="1"/>
    <col min="6670" max="6670" width="8.140625" style="315" customWidth="1"/>
    <col min="6671" max="6671" width="8.28515625" style="315" customWidth="1"/>
    <col min="6672" max="6672" width="11.28515625" style="315" customWidth="1"/>
    <col min="6673" max="6673" width="9.85546875" style="315" bestFit="1" customWidth="1"/>
    <col min="6674" max="6912" width="9.140625" style="315"/>
    <col min="6913" max="6913" width="4.7109375" style="315" customWidth="1"/>
    <col min="6914" max="6914" width="24.28515625" style="315" customWidth="1"/>
    <col min="6915" max="6915" width="8" style="315" customWidth="1"/>
    <col min="6916" max="6916" width="12.7109375" style="315" customWidth="1"/>
    <col min="6917" max="6917" width="10.140625" style="315" bestFit="1" customWidth="1"/>
    <col min="6918" max="6919" width="8.140625" style="315" customWidth="1"/>
    <col min="6920" max="6922" width="8.28515625" style="315" customWidth="1"/>
    <col min="6923" max="6924" width="8.42578125" style="315" customWidth="1"/>
    <col min="6925" max="6925" width="8.28515625" style="315" customWidth="1"/>
    <col min="6926" max="6926" width="8.140625" style="315" customWidth="1"/>
    <col min="6927" max="6927" width="8.28515625" style="315" customWidth="1"/>
    <col min="6928" max="6928" width="11.28515625" style="315" customWidth="1"/>
    <col min="6929" max="6929" width="9.85546875" style="315" bestFit="1" customWidth="1"/>
    <col min="6930" max="7168" width="9.140625" style="315"/>
    <col min="7169" max="7169" width="4.7109375" style="315" customWidth="1"/>
    <col min="7170" max="7170" width="24.28515625" style="315" customWidth="1"/>
    <col min="7171" max="7171" width="8" style="315" customWidth="1"/>
    <col min="7172" max="7172" width="12.7109375" style="315" customWidth="1"/>
    <col min="7173" max="7173" width="10.140625" style="315" bestFit="1" customWidth="1"/>
    <col min="7174" max="7175" width="8.140625" style="315" customWidth="1"/>
    <col min="7176" max="7178" width="8.28515625" style="315" customWidth="1"/>
    <col min="7179" max="7180" width="8.42578125" style="315" customWidth="1"/>
    <col min="7181" max="7181" width="8.28515625" style="315" customWidth="1"/>
    <col min="7182" max="7182" width="8.140625" style="315" customWidth="1"/>
    <col min="7183" max="7183" width="8.28515625" style="315" customWidth="1"/>
    <col min="7184" max="7184" width="11.28515625" style="315" customWidth="1"/>
    <col min="7185" max="7185" width="9.85546875" style="315" bestFit="1" customWidth="1"/>
    <col min="7186" max="7424" width="9.140625" style="315"/>
    <col min="7425" max="7425" width="4.7109375" style="315" customWidth="1"/>
    <col min="7426" max="7426" width="24.28515625" style="315" customWidth="1"/>
    <col min="7427" max="7427" width="8" style="315" customWidth="1"/>
    <col min="7428" max="7428" width="12.7109375" style="315" customWidth="1"/>
    <col min="7429" max="7429" width="10.140625" style="315" bestFit="1" customWidth="1"/>
    <col min="7430" max="7431" width="8.140625" style="315" customWidth="1"/>
    <col min="7432" max="7434" width="8.28515625" style="315" customWidth="1"/>
    <col min="7435" max="7436" width="8.42578125" style="315" customWidth="1"/>
    <col min="7437" max="7437" width="8.28515625" style="315" customWidth="1"/>
    <col min="7438" max="7438" width="8.140625" style="315" customWidth="1"/>
    <col min="7439" max="7439" width="8.28515625" style="315" customWidth="1"/>
    <col min="7440" max="7440" width="11.28515625" style="315" customWidth="1"/>
    <col min="7441" max="7441" width="9.85546875" style="315" bestFit="1" customWidth="1"/>
    <col min="7442" max="7680" width="9.140625" style="315"/>
    <col min="7681" max="7681" width="4.7109375" style="315" customWidth="1"/>
    <col min="7682" max="7682" width="24.28515625" style="315" customWidth="1"/>
    <col min="7683" max="7683" width="8" style="315" customWidth="1"/>
    <col min="7684" max="7684" width="12.7109375" style="315" customWidth="1"/>
    <col min="7685" max="7685" width="10.140625" style="315" bestFit="1" customWidth="1"/>
    <col min="7686" max="7687" width="8.140625" style="315" customWidth="1"/>
    <col min="7688" max="7690" width="8.28515625" style="315" customWidth="1"/>
    <col min="7691" max="7692" width="8.42578125" style="315" customWidth="1"/>
    <col min="7693" max="7693" width="8.28515625" style="315" customWidth="1"/>
    <col min="7694" max="7694" width="8.140625" style="315" customWidth="1"/>
    <col min="7695" max="7695" width="8.28515625" style="315" customWidth="1"/>
    <col min="7696" max="7696" width="11.28515625" style="315" customWidth="1"/>
    <col min="7697" max="7697" width="9.85546875" style="315" bestFit="1" customWidth="1"/>
    <col min="7698" max="7936" width="9.140625" style="315"/>
    <col min="7937" max="7937" width="4.7109375" style="315" customWidth="1"/>
    <col min="7938" max="7938" width="24.28515625" style="315" customWidth="1"/>
    <col min="7939" max="7939" width="8" style="315" customWidth="1"/>
    <col min="7940" max="7940" width="12.7109375" style="315" customWidth="1"/>
    <col min="7941" max="7941" width="10.140625" style="315" bestFit="1" customWidth="1"/>
    <col min="7942" max="7943" width="8.140625" style="315" customWidth="1"/>
    <col min="7944" max="7946" width="8.28515625" style="315" customWidth="1"/>
    <col min="7947" max="7948" width="8.42578125" style="315" customWidth="1"/>
    <col min="7949" max="7949" width="8.28515625" style="315" customWidth="1"/>
    <col min="7950" max="7950" width="8.140625" style="315" customWidth="1"/>
    <col min="7951" max="7951" width="8.28515625" style="315" customWidth="1"/>
    <col min="7952" max="7952" width="11.28515625" style="315" customWidth="1"/>
    <col min="7953" max="7953" width="9.85546875" style="315" bestFit="1" customWidth="1"/>
    <col min="7954" max="8192" width="9.140625" style="315"/>
    <col min="8193" max="8193" width="4.7109375" style="315" customWidth="1"/>
    <col min="8194" max="8194" width="24.28515625" style="315" customWidth="1"/>
    <col min="8195" max="8195" width="8" style="315" customWidth="1"/>
    <col min="8196" max="8196" width="12.7109375" style="315" customWidth="1"/>
    <col min="8197" max="8197" width="10.140625" style="315" bestFit="1" customWidth="1"/>
    <col min="8198" max="8199" width="8.140625" style="315" customWidth="1"/>
    <col min="8200" max="8202" width="8.28515625" style="315" customWidth="1"/>
    <col min="8203" max="8204" width="8.42578125" style="315" customWidth="1"/>
    <col min="8205" max="8205" width="8.28515625" style="315" customWidth="1"/>
    <col min="8206" max="8206" width="8.140625" style="315" customWidth="1"/>
    <col min="8207" max="8207" width="8.28515625" style="315" customWidth="1"/>
    <col min="8208" max="8208" width="11.28515625" style="315" customWidth="1"/>
    <col min="8209" max="8209" width="9.85546875" style="315" bestFit="1" customWidth="1"/>
    <col min="8210" max="8448" width="9.140625" style="315"/>
    <col min="8449" max="8449" width="4.7109375" style="315" customWidth="1"/>
    <col min="8450" max="8450" width="24.28515625" style="315" customWidth="1"/>
    <col min="8451" max="8451" width="8" style="315" customWidth="1"/>
    <col min="8452" max="8452" width="12.7109375" style="315" customWidth="1"/>
    <col min="8453" max="8453" width="10.140625" style="315" bestFit="1" customWidth="1"/>
    <col min="8454" max="8455" width="8.140625" style="315" customWidth="1"/>
    <col min="8456" max="8458" width="8.28515625" style="315" customWidth="1"/>
    <col min="8459" max="8460" width="8.42578125" style="315" customWidth="1"/>
    <col min="8461" max="8461" width="8.28515625" style="315" customWidth="1"/>
    <col min="8462" max="8462" width="8.140625" style="315" customWidth="1"/>
    <col min="8463" max="8463" width="8.28515625" style="315" customWidth="1"/>
    <col min="8464" max="8464" width="11.28515625" style="315" customWidth="1"/>
    <col min="8465" max="8465" width="9.85546875" style="315" bestFit="1" customWidth="1"/>
    <col min="8466" max="8704" width="9.140625" style="315"/>
    <col min="8705" max="8705" width="4.7109375" style="315" customWidth="1"/>
    <col min="8706" max="8706" width="24.28515625" style="315" customWidth="1"/>
    <col min="8707" max="8707" width="8" style="315" customWidth="1"/>
    <col min="8708" max="8708" width="12.7109375" style="315" customWidth="1"/>
    <col min="8709" max="8709" width="10.140625" style="315" bestFit="1" customWidth="1"/>
    <col min="8710" max="8711" width="8.140625" style="315" customWidth="1"/>
    <col min="8712" max="8714" width="8.28515625" style="315" customWidth="1"/>
    <col min="8715" max="8716" width="8.42578125" style="315" customWidth="1"/>
    <col min="8717" max="8717" width="8.28515625" style="315" customWidth="1"/>
    <col min="8718" max="8718" width="8.140625" style="315" customWidth="1"/>
    <col min="8719" max="8719" width="8.28515625" style="315" customWidth="1"/>
    <col min="8720" max="8720" width="11.28515625" style="315" customWidth="1"/>
    <col min="8721" max="8721" width="9.85546875" style="315" bestFit="1" customWidth="1"/>
    <col min="8722" max="8960" width="9.140625" style="315"/>
    <col min="8961" max="8961" width="4.7109375" style="315" customWidth="1"/>
    <col min="8962" max="8962" width="24.28515625" style="315" customWidth="1"/>
    <col min="8963" max="8963" width="8" style="315" customWidth="1"/>
    <col min="8964" max="8964" width="12.7109375" style="315" customWidth="1"/>
    <col min="8965" max="8965" width="10.140625" style="315" bestFit="1" customWidth="1"/>
    <col min="8966" max="8967" width="8.140625" style="315" customWidth="1"/>
    <col min="8968" max="8970" width="8.28515625" style="315" customWidth="1"/>
    <col min="8971" max="8972" width="8.42578125" style="315" customWidth="1"/>
    <col min="8973" max="8973" width="8.28515625" style="315" customWidth="1"/>
    <col min="8974" max="8974" width="8.140625" style="315" customWidth="1"/>
    <col min="8975" max="8975" width="8.28515625" style="315" customWidth="1"/>
    <col min="8976" max="8976" width="11.28515625" style="315" customWidth="1"/>
    <col min="8977" max="8977" width="9.85546875" style="315" bestFit="1" customWidth="1"/>
    <col min="8978" max="9216" width="9.140625" style="315"/>
    <col min="9217" max="9217" width="4.7109375" style="315" customWidth="1"/>
    <col min="9218" max="9218" width="24.28515625" style="315" customWidth="1"/>
    <col min="9219" max="9219" width="8" style="315" customWidth="1"/>
    <col min="9220" max="9220" width="12.7109375" style="315" customWidth="1"/>
    <col min="9221" max="9221" width="10.140625" style="315" bestFit="1" customWidth="1"/>
    <col min="9222" max="9223" width="8.140625" style="315" customWidth="1"/>
    <col min="9224" max="9226" width="8.28515625" style="315" customWidth="1"/>
    <col min="9227" max="9228" width="8.42578125" style="315" customWidth="1"/>
    <col min="9229" max="9229" width="8.28515625" style="315" customWidth="1"/>
    <col min="9230" max="9230" width="8.140625" style="315" customWidth="1"/>
    <col min="9231" max="9231" width="8.28515625" style="315" customWidth="1"/>
    <col min="9232" max="9232" width="11.28515625" style="315" customWidth="1"/>
    <col min="9233" max="9233" width="9.85546875" style="315" bestFit="1" customWidth="1"/>
    <col min="9234" max="9472" width="9.140625" style="315"/>
    <col min="9473" max="9473" width="4.7109375" style="315" customWidth="1"/>
    <col min="9474" max="9474" width="24.28515625" style="315" customWidth="1"/>
    <col min="9475" max="9475" width="8" style="315" customWidth="1"/>
    <col min="9476" max="9476" width="12.7109375" style="315" customWidth="1"/>
    <col min="9477" max="9477" width="10.140625" style="315" bestFit="1" customWidth="1"/>
    <col min="9478" max="9479" width="8.140625" style="315" customWidth="1"/>
    <col min="9480" max="9482" width="8.28515625" style="315" customWidth="1"/>
    <col min="9483" max="9484" width="8.42578125" style="315" customWidth="1"/>
    <col min="9485" max="9485" width="8.28515625" style="315" customWidth="1"/>
    <col min="9486" max="9486" width="8.140625" style="315" customWidth="1"/>
    <col min="9487" max="9487" width="8.28515625" style="315" customWidth="1"/>
    <col min="9488" max="9488" width="11.28515625" style="315" customWidth="1"/>
    <col min="9489" max="9489" width="9.85546875" style="315" bestFit="1" customWidth="1"/>
    <col min="9490" max="9728" width="9.140625" style="315"/>
    <col min="9729" max="9729" width="4.7109375" style="315" customWidth="1"/>
    <col min="9730" max="9730" width="24.28515625" style="315" customWidth="1"/>
    <col min="9731" max="9731" width="8" style="315" customWidth="1"/>
    <col min="9732" max="9732" width="12.7109375" style="315" customWidth="1"/>
    <col min="9733" max="9733" width="10.140625" style="315" bestFit="1" customWidth="1"/>
    <col min="9734" max="9735" width="8.140625" style="315" customWidth="1"/>
    <col min="9736" max="9738" width="8.28515625" style="315" customWidth="1"/>
    <col min="9739" max="9740" width="8.42578125" style="315" customWidth="1"/>
    <col min="9741" max="9741" width="8.28515625" style="315" customWidth="1"/>
    <col min="9742" max="9742" width="8.140625" style="315" customWidth="1"/>
    <col min="9743" max="9743" width="8.28515625" style="315" customWidth="1"/>
    <col min="9744" max="9744" width="11.28515625" style="315" customWidth="1"/>
    <col min="9745" max="9745" width="9.85546875" style="315" bestFit="1" customWidth="1"/>
    <col min="9746" max="9984" width="9.140625" style="315"/>
    <col min="9985" max="9985" width="4.7109375" style="315" customWidth="1"/>
    <col min="9986" max="9986" width="24.28515625" style="315" customWidth="1"/>
    <col min="9987" max="9987" width="8" style="315" customWidth="1"/>
    <col min="9988" max="9988" width="12.7109375" style="315" customWidth="1"/>
    <col min="9989" max="9989" width="10.140625" style="315" bestFit="1" customWidth="1"/>
    <col min="9990" max="9991" width="8.140625" style="315" customWidth="1"/>
    <col min="9992" max="9994" width="8.28515625" style="315" customWidth="1"/>
    <col min="9995" max="9996" width="8.42578125" style="315" customWidth="1"/>
    <col min="9997" max="9997" width="8.28515625" style="315" customWidth="1"/>
    <col min="9998" max="9998" width="8.140625" style="315" customWidth="1"/>
    <col min="9999" max="9999" width="8.28515625" style="315" customWidth="1"/>
    <col min="10000" max="10000" width="11.28515625" style="315" customWidth="1"/>
    <col min="10001" max="10001" width="9.85546875" style="315" bestFit="1" customWidth="1"/>
    <col min="10002" max="10240" width="9.140625" style="315"/>
    <col min="10241" max="10241" width="4.7109375" style="315" customWidth="1"/>
    <col min="10242" max="10242" width="24.28515625" style="315" customWidth="1"/>
    <col min="10243" max="10243" width="8" style="315" customWidth="1"/>
    <col min="10244" max="10244" width="12.7109375" style="315" customWidth="1"/>
    <col min="10245" max="10245" width="10.140625" style="315" bestFit="1" customWidth="1"/>
    <col min="10246" max="10247" width="8.140625" style="315" customWidth="1"/>
    <col min="10248" max="10250" width="8.28515625" style="315" customWidth="1"/>
    <col min="10251" max="10252" width="8.42578125" style="315" customWidth="1"/>
    <col min="10253" max="10253" width="8.28515625" style="315" customWidth="1"/>
    <col min="10254" max="10254" width="8.140625" style="315" customWidth="1"/>
    <col min="10255" max="10255" width="8.28515625" style="315" customWidth="1"/>
    <col min="10256" max="10256" width="11.28515625" style="315" customWidth="1"/>
    <col min="10257" max="10257" width="9.85546875" style="315" bestFit="1" customWidth="1"/>
    <col min="10258" max="10496" width="9.140625" style="315"/>
    <col min="10497" max="10497" width="4.7109375" style="315" customWidth="1"/>
    <col min="10498" max="10498" width="24.28515625" style="315" customWidth="1"/>
    <col min="10499" max="10499" width="8" style="315" customWidth="1"/>
    <col min="10500" max="10500" width="12.7109375" style="315" customWidth="1"/>
    <col min="10501" max="10501" width="10.140625" style="315" bestFit="1" customWidth="1"/>
    <col min="10502" max="10503" width="8.140625" style="315" customWidth="1"/>
    <col min="10504" max="10506" width="8.28515625" style="315" customWidth="1"/>
    <col min="10507" max="10508" width="8.42578125" style="315" customWidth="1"/>
    <col min="10509" max="10509" width="8.28515625" style="315" customWidth="1"/>
    <col min="10510" max="10510" width="8.140625" style="315" customWidth="1"/>
    <col min="10511" max="10511" width="8.28515625" style="315" customWidth="1"/>
    <col min="10512" max="10512" width="11.28515625" style="315" customWidth="1"/>
    <col min="10513" max="10513" width="9.85546875" style="315" bestFit="1" customWidth="1"/>
    <col min="10514" max="10752" width="9.140625" style="315"/>
    <col min="10753" max="10753" width="4.7109375" style="315" customWidth="1"/>
    <col min="10754" max="10754" width="24.28515625" style="315" customWidth="1"/>
    <col min="10755" max="10755" width="8" style="315" customWidth="1"/>
    <col min="10756" max="10756" width="12.7109375" style="315" customWidth="1"/>
    <col min="10757" max="10757" width="10.140625" style="315" bestFit="1" customWidth="1"/>
    <col min="10758" max="10759" width="8.140625" style="315" customWidth="1"/>
    <col min="10760" max="10762" width="8.28515625" style="315" customWidth="1"/>
    <col min="10763" max="10764" width="8.42578125" style="315" customWidth="1"/>
    <col min="10765" max="10765" width="8.28515625" style="315" customWidth="1"/>
    <col min="10766" max="10766" width="8.140625" style="315" customWidth="1"/>
    <col min="10767" max="10767" width="8.28515625" style="315" customWidth="1"/>
    <col min="10768" max="10768" width="11.28515625" style="315" customWidth="1"/>
    <col min="10769" max="10769" width="9.85546875" style="315" bestFit="1" customWidth="1"/>
    <col min="10770" max="11008" width="9.140625" style="315"/>
    <col min="11009" max="11009" width="4.7109375" style="315" customWidth="1"/>
    <col min="11010" max="11010" width="24.28515625" style="315" customWidth="1"/>
    <col min="11011" max="11011" width="8" style="315" customWidth="1"/>
    <col min="11012" max="11012" width="12.7109375" style="315" customWidth="1"/>
    <col min="11013" max="11013" width="10.140625" style="315" bestFit="1" customWidth="1"/>
    <col min="11014" max="11015" width="8.140625" style="315" customWidth="1"/>
    <col min="11016" max="11018" width="8.28515625" style="315" customWidth="1"/>
    <col min="11019" max="11020" width="8.42578125" style="315" customWidth="1"/>
    <col min="11021" max="11021" width="8.28515625" style="315" customWidth="1"/>
    <col min="11022" max="11022" width="8.140625" style="315" customWidth="1"/>
    <col min="11023" max="11023" width="8.28515625" style="315" customWidth="1"/>
    <col min="11024" max="11024" width="11.28515625" style="315" customWidth="1"/>
    <col min="11025" max="11025" width="9.85546875" style="315" bestFit="1" customWidth="1"/>
    <col min="11026" max="11264" width="9.140625" style="315"/>
    <col min="11265" max="11265" width="4.7109375" style="315" customWidth="1"/>
    <col min="11266" max="11266" width="24.28515625" style="315" customWidth="1"/>
    <col min="11267" max="11267" width="8" style="315" customWidth="1"/>
    <col min="11268" max="11268" width="12.7109375" style="315" customWidth="1"/>
    <col min="11269" max="11269" width="10.140625" style="315" bestFit="1" customWidth="1"/>
    <col min="11270" max="11271" width="8.140625" style="315" customWidth="1"/>
    <col min="11272" max="11274" width="8.28515625" style="315" customWidth="1"/>
    <col min="11275" max="11276" width="8.42578125" style="315" customWidth="1"/>
    <col min="11277" max="11277" width="8.28515625" style="315" customWidth="1"/>
    <col min="11278" max="11278" width="8.140625" style="315" customWidth="1"/>
    <col min="11279" max="11279" width="8.28515625" style="315" customWidth="1"/>
    <col min="11280" max="11280" width="11.28515625" style="315" customWidth="1"/>
    <col min="11281" max="11281" width="9.85546875" style="315" bestFit="1" customWidth="1"/>
    <col min="11282" max="11520" width="9.140625" style="315"/>
    <col min="11521" max="11521" width="4.7109375" style="315" customWidth="1"/>
    <col min="11522" max="11522" width="24.28515625" style="315" customWidth="1"/>
    <col min="11523" max="11523" width="8" style="315" customWidth="1"/>
    <col min="11524" max="11524" width="12.7109375" style="315" customWidth="1"/>
    <col min="11525" max="11525" width="10.140625" style="315" bestFit="1" customWidth="1"/>
    <col min="11526" max="11527" width="8.140625" style="315" customWidth="1"/>
    <col min="11528" max="11530" width="8.28515625" style="315" customWidth="1"/>
    <col min="11531" max="11532" width="8.42578125" style="315" customWidth="1"/>
    <col min="11533" max="11533" width="8.28515625" style="315" customWidth="1"/>
    <col min="11534" max="11534" width="8.140625" style="315" customWidth="1"/>
    <col min="11535" max="11535" width="8.28515625" style="315" customWidth="1"/>
    <col min="11536" max="11536" width="11.28515625" style="315" customWidth="1"/>
    <col min="11537" max="11537" width="9.85546875" style="315" bestFit="1" customWidth="1"/>
    <col min="11538" max="11776" width="9.140625" style="315"/>
    <col min="11777" max="11777" width="4.7109375" style="315" customWidth="1"/>
    <col min="11778" max="11778" width="24.28515625" style="315" customWidth="1"/>
    <col min="11779" max="11779" width="8" style="315" customWidth="1"/>
    <col min="11780" max="11780" width="12.7109375" style="315" customWidth="1"/>
    <col min="11781" max="11781" width="10.140625" style="315" bestFit="1" customWidth="1"/>
    <col min="11782" max="11783" width="8.140625" style="315" customWidth="1"/>
    <col min="11784" max="11786" width="8.28515625" style="315" customWidth="1"/>
    <col min="11787" max="11788" width="8.42578125" style="315" customWidth="1"/>
    <col min="11789" max="11789" width="8.28515625" style="315" customWidth="1"/>
    <col min="11790" max="11790" width="8.140625" style="315" customWidth="1"/>
    <col min="11791" max="11791" width="8.28515625" style="315" customWidth="1"/>
    <col min="11792" max="11792" width="11.28515625" style="315" customWidth="1"/>
    <col min="11793" max="11793" width="9.85546875" style="315" bestFit="1" customWidth="1"/>
    <col min="11794" max="12032" width="9.140625" style="315"/>
    <col min="12033" max="12033" width="4.7109375" style="315" customWidth="1"/>
    <col min="12034" max="12034" width="24.28515625" style="315" customWidth="1"/>
    <col min="12035" max="12035" width="8" style="315" customWidth="1"/>
    <col min="12036" max="12036" width="12.7109375" style="315" customWidth="1"/>
    <col min="12037" max="12037" width="10.140625" style="315" bestFit="1" customWidth="1"/>
    <col min="12038" max="12039" width="8.140625" style="315" customWidth="1"/>
    <col min="12040" max="12042" width="8.28515625" style="315" customWidth="1"/>
    <col min="12043" max="12044" width="8.42578125" style="315" customWidth="1"/>
    <col min="12045" max="12045" width="8.28515625" style="315" customWidth="1"/>
    <col min="12046" max="12046" width="8.140625" style="315" customWidth="1"/>
    <col min="12047" max="12047" width="8.28515625" style="315" customWidth="1"/>
    <col min="12048" max="12048" width="11.28515625" style="315" customWidth="1"/>
    <col min="12049" max="12049" width="9.85546875" style="315" bestFit="1" customWidth="1"/>
    <col min="12050" max="12288" width="9.140625" style="315"/>
    <col min="12289" max="12289" width="4.7109375" style="315" customWidth="1"/>
    <col min="12290" max="12290" width="24.28515625" style="315" customWidth="1"/>
    <col min="12291" max="12291" width="8" style="315" customWidth="1"/>
    <col min="12292" max="12292" width="12.7109375" style="315" customWidth="1"/>
    <col min="12293" max="12293" width="10.140625" style="315" bestFit="1" customWidth="1"/>
    <col min="12294" max="12295" width="8.140625" style="315" customWidth="1"/>
    <col min="12296" max="12298" width="8.28515625" style="315" customWidth="1"/>
    <col min="12299" max="12300" width="8.42578125" style="315" customWidth="1"/>
    <col min="12301" max="12301" width="8.28515625" style="315" customWidth="1"/>
    <col min="12302" max="12302" width="8.140625" style="315" customWidth="1"/>
    <col min="12303" max="12303" width="8.28515625" style="315" customWidth="1"/>
    <col min="12304" max="12304" width="11.28515625" style="315" customWidth="1"/>
    <col min="12305" max="12305" width="9.85546875" style="315" bestFit="1" customWidth="1"/>
    <col min="12306" max="12544" width="9.140625" style="315"/>
    <col min="12545" max="12545" width="4.7109375" style="315" customWidth="1"/>
    <col min="12546" max="12546" width="24.28515625" style="315" customWidth="1"/>
    <col min="12547" max="12547" width="8" style="315" customWidth="1"/>
    <col min="12548" max="12548" width="12.7109375" style="315" customWidth="1"/>
    <col min="12549" max="12549" width="10.140625" style="315" bestFit="1" customWidth="1"/>
    <col min="12550" max="12551" width="8.140625" style="315" customWidth="1"/>
    <col min="12552" max="12554" width="8.28515625" style="315" customWidth="1"/>
    <col min="12555" max="12556" width="8.42578125" style="315" customWidth="1"/>
    <col min="12557" max="12557" width="8.28515625" style="315" customWidth="1"/>
    <col min="12558" max="12558" width="8.140625" style="315" customWidth="1"/>
    <col min="12559" max="12559" width="8.28515625" style="315" customWidth="1"/>
    <col min="12560" max="12560" width="11.28515625" style="315" customWidth="1"/>
    <col min="12561" max="12561" width="9.85546875" style="315" bestFit="1" customWidth="1"/>
    <col min="12562" max="12800" width="9.140625" style="315"/>
    <col min="12801" max="12801" width="4.7109375" style="315" customWidth="1"/>
    <col min="12802" max="12802" width="24.28515625" style="315" customWidth="1"/>
    <col min="12803" max="12803" width="8" style="315" customWidth="1"/>
    <col min="12804" max="12804" width="12.7109375" style="315" customWidth="1"/>
    <col min="12805" max="12805" width="10.140625" style="315" bestFit="1" customWidth="1"/>
    <col min="12806" max="12807" width="8.140625" style="315" customWidth="1"/>
    <col min="12808" max="12810" width="8.28515625" style="315" customWidth="1"/>
    <col min="12811" max="12812" width="8.42578125" style="315" customWidth="1"/>
    <col min="12813" max="12813" width="8.28515625" style="315" customWidth="1"/>
    <col min="12814" max="12814" width="8.140625" style="315" customWidth="1"/>
    <col min="12815" max="12815" width="8.28515625" style="315" customWidth="1"/>
    <col min="12816" max="12816" width="11.28515625" style="315" customWidth="1"/>
    <col min="12817" max="12817" width="9.85546875" style="315" bestFit="1" customWidth="1"/>
    <col min="12818" max="13056" width="9.140625" style="315"/>
    <col min="13057" max="13057" width="4.7109375" style="315" customWidth="1"/>
    <col min="13058" max="13058" width="24.28515625" style="315" customWidth="1"/>
    <col min="13059" max="13059" width="8" style="315" customWidth="1"/>
    <col min="13060" max="13060" width="12.7109375" style="315" customWidth="1"/>
    <col min="13061" max="13061" width="10.140625" style="315" bestFit="1" customWidth="1"/>
    <col min="13062" max="13063" width="8.140625" style="315" customWidth="1"/>
    <col min="13064" max="13066" width="8.28515625" style="315" customWidth="1"/>
    <col min="13067" max="13068" width="8.42578125" style="315" customWidth="1"/>
    <col min="13069" max="13069" width="8.28515625" style="315" customWidth="1"/>
    <col min="13070" max="13070" width="8.140625" style="315" customWidth="1"/>
    <col min="13071" max="13071" width="8.28515625" style="315" customWidth="1"/>
    <col min="13072" max="13072" width="11.28515625" style="315" customWidth="1"/>
    <col min="13073" max="13073" width="9.85546875" style="315" bestFit="1" customWidth="1"/>
    <col min="13074" max="13312" width="9.140625" style="315"/>
    <col min="13313" max="13313" width="4.7109375" style="315" customWidth="1"/>
    <col min="13314" max="13314" width="24.28515625" style="315" customWidth="1"/>
    <col min="13315" max="13315" width="8" style="315" customWidth="1"/>
    <col min="13316" max="13316" width="12.7109375" style="315" customWidth="1"/>
    <col min="13317" max="13317" width="10.140625" style="315" bestFit="1" customWidth="1"/>
    <col min="13318" max="13319" width="8.140625" style="315" customWidth="1"/>
    <col min="13320" max="13322" width="8.28515625" style="315" customWidth="1"/>
    <col min="13323" max="13324" width="8.42578125" style="315" customWidth="1"/>
    <col min="13325" max="13325" width="8.28515625" style="315" customWidth="1"/>
    <col min="13326" max="13326" width="8.140625" style="315" customWidth="1"/>
    <col min="13327" max="13327" width="8.28515625" style="315" customWidth="1"/>
    <col min="13328" max="13328" width="11.28515625" style="315" customWidth="1"/>
    <col min="13329" max="13329" width="9.85546875" style="315" bestFit="1" customWidth="1"/>
    <col min="13330" max="13568" width="9.140625" style="315"/>
    <col min="13569" max="13569" width="4.7109375" style="315" customWidth="1"/>
    <col min="13570" max="13570" width="24.28515625" style="315" customWidth="1"/>
    <col min="13571" max="13571" width="8" style="315" customWidth="1"/>
    <col min="13572" max="13572" width="12.7109375" style="315" customWidth="1"/>
    <col min="13573" max="13573" width="10.140625" style="315" bestFit="1" customWidth="1"/>
    <col min="13574" max="13575" width="8.140625" style="315" customWidth="1"/>
    <col min="13576" max="13578" width="8.28515625" style="315" customWidth="1"/>
    <col min="13579" max="13580" width="8.42578125" style="315" customWidth="1"/>
    <col min="13581" max="13581" width="8.28515625" style="315" customWidth="1"/>
    <col min="13582" max="13582" width="8.140625" style="315" customWidth="1"/>
    <col min="13583" max="13583" width="8.28515625" style="315" customWidth="1"/>
    <col min="13584" max="13584" width="11.28515625" style="315" customWidth="1"/>
    <col min="13585" max="13585" width="9.85546875" style="315" bestFit="1" customWidth="1"/>
    <col min="13586" max="13824" width="9.140625" style="315"/>
    <col min="13825" max="13825" width="4.7109375" style="315" customWidth="1"/>
    <col min="13826" max="13826" width="24.28515625" style="315" customWidth="1"/>
    <col min="13827" max="13827" width="8" style="315" customWidth="1"/>
    <col min="13828" max="13828" width="12.7109375" style="315" customWidth="1"/>
    <col min="13829" max="13829" width="10.140625" style="315" bestFit="1" customWidth="1"/>
    <col min="13830" max="13831" width="8.140625" style="315" customWidth="1"/>
    <col min="13832" max="13834" width="8.28515625" style="315" customWidth="1"/>
    <col min="13835" max="13836" width="8.42578125" style="315" customWidth="1"/>
    <col min="13837" max="13837" width="8.28515625" style="315" customWidth="1"/>
    <col min="13838" max="13838" width="8.140625" style="315" customWidth="1"/>
    <col min="13839" max="13839" width="8.28515625" style="315" customWidth="1"/>
    <col min="13840" max="13840" width="11.28515625" style="315" customWidth="1"/>
    <col min="13841" max="13841" width="9.85546875" style="315" bestFit="1" customWidth="1"/>
    <col min="13842" max="14080" width="9.140625" style="315"/>
    <col min="14081" max="14081" width="4.7109375" style="315" customWidth="1"/>
    <col min="14082" max="14082" width="24.28515625" style="315" customWidth="1"/>
    <col min="14083" max="14083" width="8" style="315" customWidth="1"/>
    <col min="14084" max="14084" width="12.7109375" style="315" customWidth="1"/>
    <col min="14085" max="14085" width="10.140625" style="315" bestFit="1" customWidth="1"/>
    <col min="14086" max="14087" width="8.140625" style="315" customWidth="1"/>
    <col min="14088" max="14090" width="8.28515625" style="315" customWidth="1"/>
    <col min="14091" max="14092" width="8.42578125" style="315" customWidth="1"/>
    <col min="14093" max="14093" width="8.28515625" style="315" customWidth="1"/>
    <col min="14094" max="14094" width="8.140625" style="315" customWidth="1"/>
    <col min="14095" max="14095" width="8.28515625" style="315" customWidth="1"/>
    <col min="14096" max="14096" width="11.28515625" style="315" customWidth="1"/>
    <col min="14097" max="14097" width="9.85546875" style="315" bestFit="1" customWidth="1"/>
    <col min="14098" max="14336" width="9.140625" style="315"/>
    <col min="14337" max="14337" width="4.7109375" style="315" customWidth="1"/>
    <col min="14338" max="14338" width="24.28515625" style="315" customWidth="1"/>
    <col min="14339" max="14339" width="8" style="315" customWidth="1"/>
    <col min="14340" max="14340" width="12.7109375" style="315" customWidth="1"/>
    <col min="14341" max="14341" width="10.140625" style="315" bestFit="1" customWidth="1"/>
    <col min="14342" max="14343" width="8.140625" style="315" customWidth="1"/>
    <col min="14344" max="14346" width="8.28515625" style="315" customWidth="1"/>
    <col min="14347" max="14348" width="8.42578125" style="315" customWidth="1"/>
    <col min="14349" max="14349" width="8.28515625" style="315" customWidth="1"/>
    <col min="14350" max="14350" width="8.140625" style="315" customWidth="1"/>
    <col min="14351" max="14351" width="8.28515625" style="315" customWidth="1"/>
    <col min="14352" max="14352" width="11.28515625" style="315" customWidth="1"/>
    <col min="14353" max="14353" width="9.85546875" style="315" bestFit="1" customWidth="1"/>
    <col min="14354" max="14592" width="9.140625" style="315"/>
    <col min="14593" max="14593" width="4.7109375" style="315" customWidth="1"/>
    <col min="14594" max="14594" width="24.28515625" style="315" customWidth="1"/>
    <col min="14595" max="14595" width="8" style="315" customWidth="1"/>
    <col min="14596" max="14596" width="12.7109375" style="315" customWidth="1"/>
    <col min="14597" max="14597" width="10.140625" style="315" bestFit="1" customWidth="1"/>
    <col min="14598" max="14599" width="8.140625" style="315" customWidth="1"/>
    <col min="14600" max="14602" width="8.28515625" style="315" customWidth="1"/>
    <col min="14603" max="14604" width="8.42578125" style="315" customWidth="1"/>
    <col min="14605" max="14605" width="8.28515625" style="315" customWidth="1"/>
    <col min="14606" max="14606" width="8.140625" style="315" customWidth="1"/>
    <col min="14607" max="14607" width="8.28515625" style="315" customWidth="1"/>
    <col min="14608" max="14608" width="11.28515625" style="315" customWidth="1"/>
    <col min="14609" max="14609" width="9.85546875" style="315" bestFit="1" customWidth="1"/>
    <col min="14610" max="14848" width="9.140625" style="315"/>
    <col min="14849" max="14849" width="4.7109375" style="315" customWidth="1"/>
    <col min="14850" max="14850" width="24.28515625" style="315" customWidth="1"/>
    <col min="14851" max="14851" width="8" style="315" customWidth="1"/>
    <col min="14852" max="14852" width="12.7109375" style="315" customWidth="1"/>
    <col min="14853" max="14853" width="10.140625" style="315" bestFit="1" customWidth="1"/>
    <col min="14854" max="14855" width="8.140625" style="315" customWidth="1"/>
    <col min="14856" max="14858" width="8.28515625" style="315" customWidth="1"/>
    <col min="14859" max="14860" width="8.42578125" style="315" customWidth="1"/>
    <col min="14861" max="14861" width="8.28515625" style="315" customWidth="1"/>
    <col min="14862" max="14862" width="8.140625" style="315" customWidth="1"/>
    <col min="14863" max="14863" width="8.28515625" style="315" customWidth="1"/>
    <col min="14864" max="14864" width="11.28515625" style="315" customWidth="1"/>
    <col min="14865" max="14865" width="9.85546875" style="315" bestFit="1" customWidth="1"/>
    <col min="14866" max="15104" width="9.140625" style="315"/>
    <col min="15105" max="15105" width="4.7109375" style="315" customWidth="1"/>
    <col min="15106" max="15106" width="24.28515625" style="315" customWidth="1"/>
    <col min="15107" max="15107" width="8" style="315" customWidth="1"/>
    <col min="15108" max="15108" width="12.7109375" style="315" customWidth="1"/>
    <col min="15109" max="15109" width="10.140625" style="315" bestFit="1" customWidth="1"/>
    <col min="15110" max="15111" width="8.140625" style="315" customWidth="1"/>
    <col min="15112" max="15114" width="8.28515625" style="315" customWidth="1"/>
    <col min="15115" max="15116" width="8.42578125" style="315" customWidth="1"/>
    <col min="15117" max="15117" width="8.28515625" style="315" customWidth="1"/>
    <col min="15118" max="15118" width="8.140625" style="315" customWidth="1"/>
    <col min="15119" max="15119" width="8.28515625" style="315" customWidth="1"/>
    <col min="15120" max="15120" width="11.28515625" style="315" customWidth="1"/>
    <col min="15121" max="15121" width="9.85546875" style="315" bestFit="1" customWidth="1"/>
    <col min="15122" max="15360" width="9.140625" style="315"/>
    <col min="15361" max="15361" width="4.7109375" style="315" customWidth="1"/>
    <col min="15362" max="15362" width="24.28515625" style="315" customWidth="1"/>
    <col min="15363" max="15363" width="8" style="315" customWidth="1"/>
    <col min="15364" max="15364" width="12.7109375" style="315" customWidth="1"/>
    <col min="15365" max="15365" width="10.140625" style="315" bestFit="1" customWidth="1"/>
    <col min="15366" max="15367" width="8.140625" style="315" customWidth="1"/>
    <col min="15368" max="15370" width="8.28515625" style="315" customWidth="1"/>
    <col min="15371" max="15372" width="8.42578125" style="315" customWidth="1"/>
    <col min="15373" max="15373" width="8.28515625" style="315" customWidth="1"/>
    <col min="15374" max="15374" width="8.140625" style="315" customWidth="1"/>
    <col min="15375" max="15375" width="8.28515625" style="315" customWidth="1"/>
    <col min="15376" max="15376" width="11.28515625" style="315" customWidth="1"/>
    <col min="15377" max="15377" width="9.85546875" style="315" bestFit="1" customWidth="1"/>
    <col min="15378" max="15616" width="9.140625" style="315"/>
    <col min="15617" max="15617" width="4.7109375" style="315" customWidth="1"/>
    <col min="15618" max="15618" width="24.28515625" style="315" customWidth="1"/>
    <col min="15619" max="15619" width="8" style="315" customWidth="1"/>
    <col min="15620" max="15620" width="12.7109375" style="315" customWidth="1"/>
    <col min="15621" max="15621" width="10.140625" style="315" bestFit="1" customWidth="1"/>
    <col min="15622" max="15623" width="8.140625" style="315" customWidth="1"/>
    <col min="15624" max="15626" width="8.28515625" style="315" customWidth="1"/>
    <col min="15627" max="15628" width="8.42578125" style="315" customWidth="1"/>
    <col min="15629" max="15629" width="8.28515625" style="315" customWidth="1"/>
    <col min="15630" max="15630" width="8.140625" style="315" customWidth="1"/>
    <col min="15631" max="15631" width="8.28515625" style="315" customWidth="1"/>
    <col min="15632" max="15632" width="11.28515625" style="315" customWidth="1"/>
    <col min="15633" max="15633" width="9.85546875" style="315" bestFit="1" customWidth="1"/>
    <col min="15634" max="15872" width="9.140625" style="315"/>
    <col min="15873" max="15873" width="4.7109375" style="315" customWidth="1"/>
    <col min="15874" max="15874" width="24.28515625" style="315" customWidth="1"/>
    <col min="15875" max="15875" width="8" style="315" customWidth="1"/>
    <col min="15876" max="15876" width="12.7109375" style="315" customWidth="1"/>
    <col min="15877" max="15877" width="10.140625" style="315" bestFit="1" customWidth="1"/>
    <col min="15878" max="15879" width="8.140625" style="315" customWidth="1"/>
    <col min="15880" max="15882" width="8.28515625" style="315" customWidth="1"/>
    <col min="15883" max="15884" width="8.42578125" style="315" customWidth="1"/>
    <col min="15885" max="15885" width="8.28515625" style="315" customWidth="1"/>
    <col min="15886" max="15886" width="8.140625" style="315" customWidth="1"/>
    <col min="15887" max="15887" width="8.28515625" style="315" customWidth="1"/>
    <col min="15888" max="15888" width="11.28515625" style="315" customWidth="1"/>
    <col min="15889" max="15889" width="9.85546875" style="315" bestFit="1" customWidth="1"/>
    <col min="15890" max="16128" width="9.140625" style="315"/>
    <col min="16129" max="16129" width="4.7109375" style="315" customWidth="1"/>
    <col min="16130" max="16130" width="24.28515625" style="315" customWidth="1"/>
    <col min="16131" max="16131" width="8" style="315" customWidth="1"/>
    <col min="16132" max="16132" width="12.7109375" style="315" customWidth="1"/>
    <col min="16133" max="16133" width="10.140625" style="315" bestFit="1" customWidth="1"/>
    <col min="16134" max="16135" width="8.140625" style="315" customWidth="1"/>
    <col min="16136" max="16138" width="8.28515625" style="315" customWidth="1"/>
    <col min="16139" max="16140" width="8.42578125" style="315" customWidth="1"/>
    <col min="16141" max="16141" width="8.28515625" style="315" customWidth="1"/>
    <col min="16142" max="16142" width="8.140625" style="315" customWidth="1"/>
    <col min="16143" max="16143" width="8.28515625" style="315" customWidth="1"/>
    <col min="16144" max="16144" width="11.28515625" style="315" customWidth="1"/>
    <col min="16145" max="16145" width="9.85546875" style="315" bestFit="1" customWidth="1"/>
    <col min="16146" max="16384" width="9.140625" style="315"/>
  </cols>
  <sheetData>
    <row r="1" spans="1:19" s="230" customFormat="1" ht="11.25">
      <c r="A1" s="368" t="s">
        <v>0</v>
      </c>
      <c r="B1" s="368"/>
      <c r="C1" s="368"/>
      <c r="D1" s="368"/>
      <c r="E1" s="368"/>
      <c r="F1" s="368"/>
      <c r="G1" s="368"/>
      <c r="H1" s="368"/>
      <c r="I1" s="368"/>
      <c r="J1" s="368"/>
      <c r="K1" s="368"/>
      <c r="L1" s="368"/>
      <c r="M1" s="368"/>
      <c r="N1" s="368"/>
      <c r="O1" s="368"/>
      <c r="P1" s="368"/>
    </row>
    <row r="2" spans="1:19" s="230" customFormat="1" ht="11.25">
      <c r="A2" s="369" t="s">
        <v>91</v>
      </c>
      <c r="B2" s="369"/>
      <c r="C2" s="369"/>
      <c r="D2" s="369"/>
      <c r="E2" s="369"/>
      <c r="F2" s="369"/>
      <c r="G2" s="369"/>
      <c r="H2" s="369"/>
      <c r="I2" s="369"/>
      <c r="J2" s="369"/>
      <c r="K2" s="369"/>
      <c r="L2" s="369"/>
      <c r="M2" s="369"/>
      <c r="N2" s="369"/>
      <c r="O2" s="369"/>
      <c r="P2" s="369"/>
    </row>
    <row r="3" spans="1:19" s="230" customFormat="1" ht="12.75" customHeight="1">
      <c r="A3" s="370">
        <v>45657</v>
      </c>
      <c r="B3" s="370"/>
      <c r="C3" s="370"/>
      <c r="D3" s="370"/>
      <c r="E3" s="370"/>
      <c r="F3" s="370"/>
      <c r="G3" s="370"/>
      <c r="H3" s="370"/>
      <c r="I3" s="370"/>
      <c r="J3" s="370"/>
      <c r="K3" s="370"/>
      <c r="L3" s="370"/>
      <c r="M3" s="370"/>
      <c r="N3" s="370"/>
      <c r="O3" s="370"/>
      <c r="P3" s="370"/>
    </row>
    <row r="4" spans="1:19">
      <c r="A4" s="313"/>
      <c r="B4" s="161"/>
      <c r="C4" s="314"/>
      <c r="D4" s="313"/>
      <c r="E4" s="313"/>
      <c r="F4" s="313"/>
      <c r="G4" s="313"/>
      <c r="H4" s="313"/>
      <c r="I4" s="313"/>
      <c r="J4" s="313"/>
      <c r="K4" s="313"/>
      <c r="L4" s="313"/>
      <c r="M4" s="313"/>
      <c r="N4" s="313"/>
      <c r="O4" s="313"/>
      <c r="P4" s="313"/>
    </row>
    <row r="5" spans="1:19">
      <c r="A5" s="316">
        <v>1</v>
      </c>
      <c r="B5" s="313"/>
      <c r="C5" s="317">
        <f>+EOMONTH(A3,-12)</f>
        <v>45291</v>
      </c>
      <c r="D5" s="317">
        <f t="shared" ref="D5:O5" si="0">EOMONTH(C5,1)</f>
        <v>45322</v>
      </c>
      <c r="E5" s="317">
        <f t="shared" si="0"/>
        <v>45351</v>
      </c>
      <c r="F5" s="317">
        <f t="shared" si="0"/>
        <v>45382</v>
      </c>
      <c r="G5" s="317">
        <f t="shared" si="0"/>
        <v>45412</v>
      </c>
      <c r="H5" s="317">
        <f t="shared" si="0"/>
        <v>45443</v>
      </c>
      <c r="I5" s="317">
        <f t="shared" si="0"/>
        <v>45473</v>
      </c>
      <c r="J5" s="317">
        <f t="shared" si="0"/>
        <v>45504</v>
      </c>
      <c r="K5" s="317">
        <f t="shared" si="0"/>
        <v>45535</v>
      </c>
      <c r="L5" s="317">
        <f t="shared" si="0"/>
        <v>45565</v>
      </c>
      <c r="M5" s="317">
        <f t="shared" si="0"/>
        <v>45596</v>
      </c>
      <c r="N5" s="317">
        <f t="shared" si="0"/>
        <v>45626</v>
      </c>
      <c r="O5" s="317">
        <f t="shared" si="0"/>
        <v>45657</v>
      </c>
      <c r="P5" s="318" t="s">
        <v>85</v>
      </c>
    </row>
    <row r="6" spans="1:19">
      <c r="A6" s="316">
        <f>+A5+1</f>
        <v>2</v>
      </c>
      <c r="B6" s="316" t="s">
        <v>92</v>
      </c>
      <c r="C6" s="316" t="s">
        <v>93</v>
      </c>
      <c r="D6" s="316" t="s">
        <v>94</v>
      </c>
      <c r="E6" s="316" t="s">
        <v>95</v>
      </c>
      <c r="F6" s="316" t="s">
        <v>96</v>
      </c>
      <c r="G6" s="316" t="s">
        <v>97</v>
      </c>
      <c r="H6" s="316" t="s">
        <v>98</v>
      </c>
      <c r="I6" s="316" t="s">
        <v>99</v>
      </c>
      <c r="J6" s="316" t="s">
        <v>100</v>
      </c>
      <c r="K6" s="316" t="s">
        <v>101</v>
      </c>
      <c r="L6" s="316" t="s">
        <v>102</v>
      </c>
      <c r="M6" s="316" t="s">
        <v>103</v>
      </c>
      <c r="N6" s="316" t="s">
        <v>104</v>
      </c>
      <c r="O6" s="316" t="s">
        <v>105</v>
      </c>
      <c r="P6" s="316" t="s">
        <v>106</v>
      </c>
    </row>
    <row r="7" spans="1:19">
      <c r="A7" s="316">
        <f t="shared" ref="A7:A19" si="1">+A6+1</f>
        <v>3</v>
      </c>
      <c r="B7" s="313" t="s">
        <v>143</v>
      </c>
      <c r="C7" s="319">
        <v>100000000</v>
      </c>
      <c r="D7" s="319">
        <v>100000000</v>
      </c>
      <c r="E7" s="319">
        <v>100000000</v>
      </c>
      <c r="F7" s="319">
        <v>100000000</v>
      </c>
      <c r="G7" s="319">
        <v>100000000</v>
      </c>
      <c r="H7" s="319">
        <v>100000000</v>
      </c>
      <c r="I7" s="319">
        <v>100000000</v>
      </c>
      <c r="J7" s="319">
        <v>100000000</v>
      </c>
      <c r="K7" s="319">
        <v>100000000</v>
      </c>
      <c r="L7" s="319">
        <v>100000000</v>
      </c>
      <c r="M7" s="319">
        <v>100000000</v>
      </c>
      <c r="N7" s="319">
        <v>100000000</v>
      </c>
      <c r="O7" s="319">
        <v>100000000</v>
      </c>
      <c r="P7" s="320">
        <f>ROUND(((C7+O7)+(SUM(D7:N7)*2))/24,3)</f>
        <v>100000000</v>
      </c>
      <c r="Q7" s="321"/>
      <c r="R7" s="321"/>
    </row>
    <row r="8" spans="1:19">
      <c r="A8" s="316">
        <f t="shared" si="1"/>
        <v>4</v>
      </c>
      <c r="B8" s="313"/>
      <c r="D8" s="322"/>
      <c r="E8" s="322"/>
      <c r="F8" s="322"/>
      <c r="G8" s="322"/>
      <c r="H8" s="322"/>
      <c r="I8" s="322"/>
      <c r="J8" s="322"/>
      <c r="K8" s="322"/>
      <c r="L8" s="322"/>
      <c r="M8" s="322"/>
      <c r="N8" s="322"/>
      <c r="O8" s="322"/>
      <c r="P8" s="323"/>
      <c r="R8" s="321"/>
      <c r="S8" s="282"/>
    </row>
    <row r="9" spans="1:19">
      <c r="A9" s="316">
        <f t="shared" si="1"/>
        <v>5</v>
      </c>
      <c r="B9" s="313" t="s">
        <v>89</v>
      </c>
      <c r="C9" s="313">
        <v>31</v>
      </c>
      <c r="D9" s="50">
        <f t="shared" ref="D9:O9" si="2">+D5-C5</f>
        <v>31</v>
      </c>
      <c r="E9" s="313">
        <f t="shared" si="2"/>
        <v>29</v>
      </c>
      <c r="F9" s="313">
        <f t="shared" si="2"/>
        <v>31</v>
      </c>
      <c r="G9" s="313">
        <f t="shared" si="2"/>
        <v>30</v>
      </c>
      <c r="H9" s="313">
        <f t="shared" si="2"/>
        <v>31</v>
      </c>
      <c r="I9" s="313">
        <f t="shared" si="2"/>
        <v>30</v>
      </c>
      <c r="J9" s="313">
        <f t="shared" si="2"/>
        <v>31</v>
      </c>
      <c r="K9" s="313">
        <f t="shared" si="2"/>
        <v>31</v>
      </c>
      <c r="L9" s="313">
        <f t="shared" si="2"/>
        <v>30</v>
      </c>
      <c r="M9" s="313">
        <f t="shared" si="2"/>
        <v>31</v>
      </c>
      <c r="N9" s="313">
        <f t="shared" si="2"/>
        <v>30</v>
      </c>
      <c r="O9" s="313">
        <f t="shared" si="2"/>
        <v>31</v>
      </c>
      <c r="P9" s="313">
        <f>SUM(C9:O9)</f>
        <v>397</v>
      </c>
    </row>
    <row r="10" spans="1:19">
      <c r="A10" s="316">
        <f t="shared" si="1"/>
        <v>6</v>
      </c>
      <c r="B10" s="313"/>
      <c r="C10" s="313"/>
      <c r="D10" s="50"/>
      <c r="E10" s="313"/>
      <c r="F10" s="313"/>
      <c r="G10" s="313"/>
      <c r="H10" s="313"/>
      <c r="I10" s="313"/>
      <c r="J10" s="313"/>
      <c r="K10" s="313"/>
      <c r="L10" s="313"/>
      <c r="M10" s="313"/>
      <c r="N10" s="313"/>
      <c r="O10" s="313"/>
      <c r="P10" s="313"/>
      <c r="R10" s="321"/>
    </row>
    <row r="11" spans="1:19">
      <c r="A11" s="316">
        <f t="shared" si="1"/>
        <v>7</v>
      </c>
      <c r="B11" s="313" t="s">
        <v>168</v>
      </c>
      <c r="C11" s="324">
        <v>6.6299999999999998E-2</v>
      </c>
      <c r="D11" s="226">
        <v>6.6000000000000003E-2</v>
      </c>
      <c r="E11" s="226">
        <v>6.6000000000000003E-2</v>
      </c>
      <c r="F11" s="226">
        <v>6.6000000000000003E-2</v>
      </c>
      <c r="G11" s="226">
        <v>6.4100000000000004E-2</v>
      </c>
      <c r="H11" s="226">
        <v>6.4100000000000004E-2</v>
      </c>
      <c r="I11" s="226">
        <v>6.4100000000000004E-2</v>
      </c>
      <c r="J11" s="226">
        <v>6.0100000000000001E-2</v>
      </c>
      <c r="K11" s="226">
        <v>6.0100000000000001E-2</v>
      </c>
      <c r="L11" s="226">
        <v>6.0100000000000001E-2</v>
      </c>
      <c r="M11" s="226">
        <v>5.8500000000000003E-2</v>
      </c>
      <c r="N11" s="226">
        <v>5.8500000000000003E-2</v>
      </c>
      <c r="O11" s="226">
        <v>5.8500000000000003E-2</v>
      </c>
      <c r="P11" s="313"/>
    </row>
    <row r="12" spans="1:19" s="313" customFormat="1" ht="11.25">
      <c r="A12" s="316">
        <f t="shared" si="1"/>
        <v>8</v>
      </c>
    </row>
    <row r="13" spans="1:19">
      <c r="A13" s="316">
        <f t="shared" si="1"/>
        <v>9</v>
      </c>
      <c r="B13" s="325" t="s">
        <v>107</v>
      </c>
      <c r="C13" s="326">
        <f>+C7*C11/365*C9</f>
        <v>563095.89041095891</v>
      </c>
      <c r="D13" s="326">
        <f>+(D7+C7)/2*(LEFT(D11,7))/360*D9</f>
        <v>568333.33333333326</v>
      </c>
      <c r="E13" s="326">
        <f t="shared" ref="E13:J13" si="3">+(E7+D7)/2*(LEFT(E11,7))/360*E9</f>
        <v>531666.66666666663</v>
      </c>
      <c r="F13" s="326">
        <f t="shared" si="3"/>
        <v>568333.33333333326</v>
      </c>
      <c r="G13" s="326">
        <f t="shared" si="3"/>
        <v>534166.66666666663</v>
      </c>
      <c r="H13" s="326">
        <f t="shared" si="3"/>
        <v>551972.22222222225</v>
      </c>
      <c r="I13" s="326">
        <f t="shared" si="3"/>
        <v>534166.66666666663</v>
      </c>
      <c r="J13" s="326">
        <f t="shared" si="3"/>
        <v>517527.77777777781</v>
      </c>
      <c r="K13" s="326">
        <f>+(K7+J7)/2*(LEFT(K11,7))/360*K9</f>
        <v>517527.77777777781</v>
      </c>
      <c r="L13" s="326">
        <f>+(L7+K7)/2*(LEFT(L11,7))/360*L9</f>
        <v>500833.33333333337</v>
      </c>
      <c r="M13" s="326">
        <f>+(M7+L7)/2*(LEFT(M11,7))/360*M9</f>
        <v>503750</v>
      </c>
      <c r="N13" s="326">
        <f>+(N7+M7)/2*(LEFT(N11,7))/360*N9</f>
        <v>487500</v>
      </c>
      <c r="O13" s="326">
        <f>+(O7+N7)/2*(LEFT(O11,7))/360*O9</f>
        <v>503750</v>
      </c>
      <c r="P13" s="327">
        <f>SUM(D13:O13)</f>
        <v>6319527.7777777771</v>
      </c>
    </row>
    <row r="14" spans="1:19">
      <c r="A14" s="316">
        <f t="shared" si="1"/>
        <v>10</v>
      </c>
      <c r="B14" s="313" t="s">
        <v>208</v>
      </c>
      <c r="C14" s="227">
        <f>100000000*0.00125/12</f>
        <v>10416.666666666666</v>
      </c>
      <c r="D14" s="227">
        <f t="shared" ref="D14:O14" si="4">100000000*0.00125/12</f>
        <v>10416.666666666666</v>
      </c>
      <c r="E14" s="227">
        <f t="shared" si="4"/>
        <v>10416.666666666666</v>
      </c>
      <c r="F14" s="227">
        <f t="shared" si="4"/>
        <v>10416.666666666666</v>
      </c>
      <c r="G14" s="227">
        <f t="shared" si="4"/>
        <v>10416.666666666666</v>
      </c>
      <c r="H14" s="227">
        <f t="shared" si="4"/>
        <v>10416.666666666666</v>
      </c>
      <c r="I14" s="227">
        <f t="shared" si="4"/>
        <v>10416.666666666666</v>
      </c>
      <c r="J14" s="227">
        <f t="shared" si="4"/>
        <v>10416.666666666666</v>
      </c>
      <c r="K14" s="227">
        <f t="shared" si="4"/>
        <v>10416.666666666666</v>
      </c>
      <c r="L14" s="227">
        <f t="shared" si="4"/>
        <v>10416.666666666666</v>
      </c>
      <c r="M14" s="227">
        <f t="shared" si="4"/>
        <v>10416.666666666666</v>
      </c>
      <c r="N14" s="227">
        <f t="shared" si="4"/>
        <v>10416.666666666666</v>
      </c>
      <c r="O14" s="227">
        <f t="shared" si="4"/>
        <v>10416.666666666666</v>
      </c>
      <c r="P14" s="328">
        <f>SUM(D14:O14)</f>
        <v>125000.00000000001</v>
      </c>
    </row>
    <row r="15" spans="1:19">
      <c r="A15" s="316">
        <f t="shared" si="1"/>
        <v>11</v>
      </c>
      <c r="B15" s="313" t="s">
        <v>209</v>
      </c>
      <c r="C15" s="329">
        <f>59721*(0.2)</f>
        <v>11944.2</v>
      </c>
      <c r="D15" s="329">
        <f t="shared" ref="D15:O15" si="5">59721*(0.2)</f>
        <v>11944.2</v>
      </c>
      <c r="E15" s="329">
        <f t="shared" si="5"/>
        <v>11944.2</v>
      </c>
      <c r="F15" s="329">
        <f t="shared" si="5"/>
        <v>11944.2</v>
      </c>
      <c r="G15" s="329">
        <f t="shared" si="5"/>
        <v>11944.2</v>
      </c>
      <c r="H15" s="329">
        <f t="shared" si="5"/>
        <v>11944.2</v>
      </c>
      <c r="I15" s="329">
        <f t="shared" si="5"/>
        <v>11944.2</v>
      </c>
      <c r="J15" s="329">
        <f t="shared" si="5"/>
        <v>11944.2</v>
      </c>
      <c r="K15" s="329">
        <f t="shared" si="5"/>
        <v>11944.2</v>
      </c>
      <c r="L15" s="329">
        <f t="shared" si="5"/>
        <v>11944.2</v>
      </c>
      <c r="M15" s="329">
        <f t="shared" si="5"/>
        <v>11944.2</v>
      </c>
      <c r="N15" s="329">
        <f t="shared" si="5"/>
        <v>11944.2</v>
      </c>
      <c r="O15" s="329">
        <f t="shared" si="5"/>
        <v>11944.2</v>
      </c>
      <c r="P15" s="330">
        <f>SUM(D15:O15)</f>
        <v>143330.4</v>
      </c>
    </row>
    <row r="16" spans="1:19" ht="13.5" thickBot="1">
      <c r="A16" s="316">
        <f t="shared" si="1"/>
        <v>12</v>
      </c>
      <c r="B16" s="313" t="s">
        <v>108</v>
      </c>
      <c r="C16" s="331">
        <f t="shared" ref="C16:O16" si="6">+SUM(C13:C15)</f>
        <v>585456.75707762549</v>
      </c>
      <c r="D16" s="331">
        <f t="shared" si="6"/>
        <v>590694.19999999984</v>
      </c>
      <c r="E16" s="331">
        <f t="shared" si="6"/>
        <v>554027.53333333321</v>
      </c>
      <c r="F16" s="331">
        <f t="shared" si="6"/>
        <v>590694.19999999984</v>
      </c>
      <c r="G16" s="331">
        <f t="shared" si="6"/>
        <v>556527.53333333321</v>
      </c>
      <c r="H16" s="331">
        <f t="shared" si="6"/>
        <v>574333.08888888883</v>
      </c>
      <c r="I16" s="331">
        <f t="shared" si="6"/>
        <v>556527.53333333321</v>
      </c>
      <c r="J16" s="331">
        <f t="shared" si="6"/>
        <v>539888.64444444445</v>
      </c>
      <c r="K16" s="331">
        <f t="shared" si="6"/>
        <v>539888.64444444445</v>
      </c>
      <c r="L16" s="331">
        <f t="shared" si="6"/>
        <v>523194.20000000007</v>
      </c>
      <c r="M16" s="331">
        <f t="shared" si="6"/>
        <v>526110.8666666667</v>
      </c>
      <c r="N16" s="331">
        <f t="shared" si="6"/>
        <v>509860.8666666667</v>
      </c>
      <c r="O16" s="331">
        <f t="shared" si="6"/>
        <v>526110.8666666667</v>
      </c>
      <c r="P16" s="332">
        <f>SUM(P13:P15)</f>
        <v>6587858.1777777774</v>
      </c>
    </row>
    <row r="17" spans="1:18" ht="13.5" thickTop="1">
      <c r="A17" s="316">
        <f t="shared" si="1"/>
        <v>13</v>
      </c>
      <c r="B17" s="333"/>
      <c r="C17" s="334"/>
      <c r="D17" s="334"/>
      <c r="E17" s="334"/>
      <c r="F17" s="334"/>
      <c r="G17" s="334"/>
      <c r="H17" s="313"/>
      <c r="I17" s="313"/>
      <c r="J17" s="313"/>
      <c r="K17" s="313"/>
      <c r="L17" s="313"/>
      <c r="M17" s="313"/>
      <c r="N17" s="313"/>
      <c r="O17" s="313"/>
      <c r="P17" s="313"/>
    </row>
    <row r="18" spans="1:18">
      <c r="A18" s="316">
        <f t="shared" si="1"/>
        <v>14</v>
      </c>
      <c r="N18" s="325"/>
      <c r="O18" s="335" t="s">
        <v>109</v>
      </c>
      <c r="P18" s="336">
        <f>+P16</f>
        <v>6587858.1777777774</v>
      </c>
    </row>
    <row r="19" spans="1:18">
      <c r="A19" s="316">
        <f t="shared" si="1"/>
        <v>15</v>
      </c>
      <c r="B19" s="313" t="s">
        <v>158</v>
      </c>
      <c r="D19" s="337"/>
      <c r="E19" s="337"/>
      <c r="F19" s="337"/>
      <c r="G19" s="337"/>
      <c r="H19" s="337"/>
      <c r="I19" s="337"/>
      <c r="J19" s="337"/>
      <c r="K19" s="337"/>
      <c r="L19" s="337"/>
      <c r="M19" s="337"/>
      <c r="N19" s="325"/>
      <c r="O19" s="335" t="s">
        <v>110</v>
      </c>
      <c r="P19" s="338">
        <f>+P7</f>
        <v>100000000</v>
      </c>
    </row>
    <row r="20" spans="1:18">
      <c r="A20" s="316"/>
      <c r="C20" s="334"/>
      <c r="D20" s="62"/>
      <c r="E20" s="63"/>
      <c r="F20" s="63"/>
      <c r="G20" s="63"/>
      <c r="H20" s="63"/>
      <c r="I20" s="63"/>
      <c r="J20" s="63"/>
      <c r="K20" s="63"/>
      <c r="L20" s="63"/>
      <c r="M20" s="64"/>
      <c r="O20" s="335" t="s">
        <v>111</v>
      </c>
      <c r="P20" s="339">
        <f>+P18/P19</f>
        <v>6.5878581777777778E-2</v>
      </c>
      <c r="R20" s="340"/>
    </row>
    <row r="21" spans="1:18" ht="15.75">
      <c r="A21" s="341"/>
      <c r="B21" s="315" t="s">
        <v>210</v>
      </c>
      <c r="N21" s="371"/>
      <c r="O21" s="371"/>
      <c r="P21" s="371"/>
    </row>
    <row r="22" spans="1:18">
      <c r="C22" s="342"/>
      <c r="D22" s="342"/>
      <c r="E22" s="342"/>
      <c r="F22" s="342"/>
      <c r="G22" s="342"/>
      <c r="H22" s="342"/>
      <c r="I22" s="342"/>
      <c r="J22" s="342"/>
      <c r="K22" s="342"/>
      <c r="L22" s="342"/>
      <c r="M22" s="342"/>
      <c r="N22" s="342"/>
      <c r="O22" s="342"/>
      <c r="P22" s="321"/>
    </row>
    <row r="23" spans="1:18">
      <c r="C23" s="282"/>
      <c r="D23" s="282"/>
      <c r="E23" s="282"/>
      <c r="F23" s="282"/>
      <c r="G23" s="282"/>
      <c r="H23" s="282"/>
      <c r="I23" s="282"/>
      <c r="J23" s="282"/>
      <c r="K23" s="282"/>
      <c r="L23" s="282"/>
      <c r="M23" s="282"/>
      <c r="N23" s="282"/>
      <c r="O23" s="282"/>
    </row>
    <row r="24" spans="1:18">
      <c r="C24" s="343"/>
      <c r="D24" s="343"/>
      <c r="E24" s="343"/>
      <c r="F24" s="343"/>
      <c r="G24" s="343"/>
      <c r="H24" s="343"/>
      <c r="I24" s="343"/>
      <c r="J24" s="343"/>
      <c r="K24" s="343"/>
      <c r="L24" s="343"/>
      <c r="M24" s="343"/>
      <c r="N24" s="343"/>
      <c r="O24" s="343"/>
    </row>
    <row r="25" spans="1:18">
      <c r="D25" s="344"/>
    </row>
    <row r="47" spans="2:2" ht="15.75">
      <c r="B47" s="345"/>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 xml:space="preserve">&amp;RExh. MTT-2
</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8BDEC0653D6204DB4E9E8901B172BDA" ma:contentTypeVersion="12" ma:contentTypeDescription="" ma:contentTypeScope="" ma:versionID="a62138672b42b0a00d8b2cb47fd6bc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2024-01-18T08:00:00+00:00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240006</DocketNumber>
    <DelegatedOrder xmlns="dc463f71-b30c-4ab2-9473-d307f9d35888">false</DelegatedOrder>
  </documentManagement>
</p:properties>
</file>

<file path=customXml/itemProps1.xml><?xml version="1.0" encoding="utf-8"?>
<ds:datastoreItem xmlns:ds="http://schemas.openxmlformats.org/officeDocument/2006/customXml" ds:itemID="{E2056E28-0D4E-4E21-8BB2-1D1B2697AA4E}"/>
</file>

<file path=customXml/itemProps2.xml><?xml version="1.0" encoding="utf-8"?>
<ds:datastoreItem xmlns:ds="http://schemas.openxmlformats.org/officeDocument/2006/customXml" ds:itemID="{D634676A-C9BE-4BA9-B29D-2A3136446869}"/>
</file>

<file path=customXml/itemProps3.xml><?xml version="1.0" encoding="utf-8"?>
<ds:datastoreItem xmlns:ds="http://schemas.openxmlformats.org/officeDocument/2006/customXml" ds:itemID="{FD562502-445F-4390-BB37-AABB14B398E4}"/>
</file>

<file path=customXml/itemProps4.xml><?xml version="1.0" encoding="utf-8"?>
<ds:datastoreItem xmlns:ds="http://schemas.openxmlformats.org/officeDocument/2006/customXml" ds:itemID="{CC49AC91-3CD5-487A-ABD7-635385220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No.  KJC-2 Page 1</vt:lpstr>
      <vt:lpstr>Exhibit No.   KJC-2 Page 2</vt:lpstr>
      <vt:lpstr>Exhibit No.  KJC-2 Page 3</vt:lpstr>
      <vt:lpstr>Exhibit No.  KJC-2 Page 4</vt:lpstr>
      <vt:lpstr>Exhibit No.  KJC-2 Page 5</vt:lpstr>
      <vt:lpstr>Exhibit No.  KJC-2 Page 6</vt:lpstr>
      <vt:lpstr>Exhibit No. KJC-2 Pg 7Footnotes</vt:lpstr>
      <vt:lpstr>Exhibit No.  KJC-2-2024 </vt:lpstr>
      <vt:lpstr>Exhibit No.  KJC-2 2024</vt:lpstr>
      <vt:lpstr>'Exhibit No.   KJC-2 Page 2'!Print_Area</vt:lpstr>
      <vt:lpstr>'Exhibit No.  KJC-2 Page 3'!Print_Area</vt:lpstr>
      <vt:lpstr>'Exhibit No.  KJC-2 Page 4'!Print_Area</vt:lpstr>
      <vt:lpstr>'Exhibit No. KJC-2 Pg 7Footnotes'!Print_Area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Andrews, Liz</cp:lastModifiedBy>
  <cp:lastPrinted>2023-12-19T20:27:38Z</cp:lastPrinted>
  <dcterms:created xsi:type="dcterms:W3CDTF">2012-02-20T21:42:40Z</dcterms:created>
  <dcterms:modified xsi:type="dcterms:W3CDTF">2023-12-19T20:27:58Z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0x0101006E56B4D1795A2E4DB2F0B01679ED314A0088BDEC0653D6204DB4E9E8901B172BDA</vt:lpwstr>
  </property>
  <property fmtid="{D5CDD505-2E9C-101B-9397-08002B2CF9AE}" pid="3" name="_docset_NoMedatataSyncRequired">
    <vt:lpwstr>False</vt:lpwstr>
  </property>
</Properties>
</file>